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30"/>
  <workbookPr codeName="ThisWorkbook"/>
  <mc:AlternateContent xmlns:mc="http://schemas.openxmlformats.org/markup-compatibility/2006">
    <mc:Choice Requires="x15">
      <x15ac:absPath xmlns:x15ac="http://schemas.microsoft.com/office/spreadsheetml/2010/11/ac" url="/Users/hunterbell/Documents/"/>
    </mc:Choice>
  </mc:AlternateContent>
  <xr:revisionPtr revIDLastSave="0" documentId="13_ncr:1_{E5FE470C-94FC-B446-83A7-2AD77A85A8AE}" xr6:coauthVersionLast="47" xr6:coauthVersionMax="47" xr10:uidLastSave="{00000000-0000-0000-0000-000000000000}"/>
  <workbookProtection workbookAlgorithmName="SHA-512" workbookHashValue="uUaC8uHXuIV/REw9Z+xbukk/q17cC6zpV4dWq302kd3h+KVMnKbRB2vyufBhN0iuTSml97pexa1qzt6CMCAqgg==" workbookSaltValue="1kaiUA5x5/AL7EP9xNLGbw==" workbookSpinCount="100000" lockStructure="1"/>
  <bookViews>
    <workbookView xWindow="0" yWindow="500" windowWidth="38400" windowHeight="19880" tabRatio="888" firstSheet="1" xr2:uid="{00000000-000D-0000-FFFF-FFFF00000000}"/>
  </bookViews>
  <sheets>
    <sheet name="README" sheetId="47" r:id="rId1"/>
    <sheet name="Quick Guide" sheetId="46" r:id="rId2"/>
    <sheet name="Financial activity types " sheetId="21" r:id="rId3"/>
    <sheet name="LND Segmentation" sheetId="32" r:id="rId4"/>
    <sheet name="AOI Segmentation" sheetId="38" r:id="rId5"/>
    <sheet name="AMI Segmentation" sheetId="39" r:id="rId6"/>
    <sheet name="INS Segmentation" sheetId="41" r:id="rId7"/>
    <sheet name="CMA Segmentation" sheetId="42" r:id="rId8"/>
    <sheet name="Climate-Alignment Target" sheetId="43" r:id="rId9"/>
    <sheet name="Climate-Alignment Summary" sheetId="44" r:id="rId10"/>
    <sheet name="Sector Target-Setting Tool" sheetId="48" r:id="rId11"/>
    <sheet name="Sector Summary" sheetId="49" r:id="rId12"/>
    <sheet name="Calculator" sheetId="50" state="hidden" r:id="rId13"/>
    <sheet name="Lookup" sheetId="51" state="hidden" r:id="rId14"/>
    <sheet name="Pathway Database" sheetId="52" r:id="rId15"/>
  </sheets>
  <definedNames>
    <definedName name="_xlnm._FilterDatabase" localSheetId="9" hidden="1">'Climate-Alignment Summary'!$A$6:$C$36</definedName>
    <definedName name="_xlnm._FilterDatabase" localSheetId="14" hidden="1">'Pathway Database'!$B$3:$AZ$1075</definedName>
    <definedName name="air_transport_wtw_ttw">Lookup!$G$2:$G$3</definedName>
    <definedName name="base_year_options">Lookup!$A$2:$A$7</definedName>
    <definedName name="coal_currency_options">Lookup!$E$2:$E$12</definedName>
    <definedName name="coal_geography_options">Lookup!$I$2:$I$3</definedName>
    <definedName name="coal_nonOECD_target_years">Lookup!$K$2:$K$16</definedName>
    <definedName name="coal_OECDorGlobal_target_years">Lookup!$M$2:$M$6</definedName>
    <definedName name="pathway_database">'Pathway Database'!$B$4:$AM$28</definedName>
    <definedName name="pathway_database_metric_type">'Pathway Database'!$D$4:$D$28</definedName>
    <definedName name="pathway_database_pathway">'Pathway Database'!$F$4:$F$28</definedName>
    <definedName name="pathway_database_sector">'Pathway Database'!$B$4:$B$28</definedName>
    <definedName name="pathway_database_subsector">'Pathway Database'!$C$4:$C$28</definedName>
    <definedName name="Phaseout_Metric">Lookup!$O$2:$O$3</definedName>
    <definedName name="Proposed___Reduction_in_Absolute_Emissions">Lookup!$Q$2</definedName>
    <definedName name="target_year_options">Lookup!$C$2:$C$8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2" l="1"/>
  <c r="A4" i="41"/>
  <c r="A4" i="39"/>
  <c r="A4" i="38"/>
  <c r="A4" i="32"/>
  <c r="H63" i="44"/>
  <c r="I62" i="44"/>
  <c r="H62" i="44"/>
  <c r="I61" i="44"/>
  <c r="H61" i="44"/>
  <c r="I60" i="44"/>
  <c r="H60" i="44"/>
  <c r="I59" i="44"/>
  <c r="H59" i="44"/>
  <c r="I57" i="44"/>
  <c r="H57" i="44"/>
  <c r="I58" i="44"/>
  <c r="H58" i="44"/>
  <c r="I56" i="44"/>
  <c r="H56" i="44"/>
  <c r="I55" i="44"/>
  <c r="H55" i="44"/>
  <c r="I54" i="44"/>
  <c r="H54" i="44"/>
  <c r="I53" i="44"/>
  <c r="H53" i="44"/>
  <c r="I52" i="44"/>
  <c r="H52" i="44"/>
  <c r="I51" i="44"/>
  <c r="H51" i="44"/>
  <c r="I50" i="44"/>
  <c r="H50" i="44"/>
  <c r="I49" i="44"/>
  <c r="H49" i="44"/>
  <c r="I48" i="44"/>
  <c r="H48" i="44"/>
  <c r="I47" i="44"/>
  <c r="H46" i="44"/>
  <c r="I63" i="44"/>
  <c r="I64" i="44"/>
  <c r="H64" i="44"/>
  <c r="I65" i="44"/>
  <c r="H65" i="44"/>
  <c r="H47" i="44"/>
  <c r="I46" i="44"/>
  <c r="G65" i="44" l="1"/>
  <c r="G64" i="44"/>
  <c r="G63" i="44"/>
  <c r="G62" i="44"/>
  <c r="G61" i="44"/>
  <c r="G60" i="44"/>
  <c r="G59" i="44"/>
  <c r="G58" i="44"/>
  <c r="G57" i="44"/>
  <c r="G56" i="44"/>
  <c r="G55" i="44"/>
  <c r="G54" i="44"/>
  <c r="G53" i="44"/>
  <c r="G52" i="44"/>
  <c r="G51" i="44"/>
  <c r="G50" i="44"/>
  <c r="G49" i="44"/>
  <c r="G48" i="44"/>
  <c r="G47" i="44"/>
  <c r="G46" i="44"/>
  <c r="C111" i="48" l="1"/>
  <c r="D112" i="48"/>
  <c r="C15" i="49"/>
  <c r="C14" i="49"/>
  <c r="C13" i="49"/>
  <c r="C12" i="49"/>
  <c r="D69" i="48" l="1"/>
  <c r="D53" i="48"/>
  <c r="D40" i="48"/>
  <c r="D25" i="48"/>
  <c r="D98" i="48" l="1"/>
  <c r="S17" i="49" s="1"/>
  <c r="D16" i="49"/>
  <c r="D17" i="49"/>
  <c r="Q17" i="49"/>
  <c r="P16" i="49"/>
  <c r="M17" i="49"/>
  <c r="M15" i="49"/>
  <c r="M16" i="49"/>
  <c r="L17" i="49"/>
  <c r="L15" i="49"/>
  <c r="L16" i="49"/>
  <c r="L14" i="49"/>
  <c r="K17" i="49"/>
  <c r="J16" i="49"/>
  <c r="F16" i="49"/>
  <c r="F17" i="49"/>
  <c r="E17" i="49"/>
  <c r="E16" i="49"/>
  <c r="I17" i="49"/>
  <c r="I16" i="49"/>
  <c r="G13" i="49"/>
  <c r="G12" i="49"/>
  <c r="D33" i="48"/>
  <c r="D62" i="48"/>
  <c r="D82" i="48"/>
  <c r="R16" i="49" s="1"/>
  <c r="B391" i="50"/>
  <c r="B390" i="50"/>
  <c r="B389" i="50"/>
  <c r="B387" i="50"/>
  <c r="B376" i="50"/>
  <c r="B375" i="50"/>
  <c r="B374" i="50"/>
  <c r="B373" i="50"/>
  <c r="A386" i="50"/>
  <c r="A372" i="50"/>
  <c r="B379" i="50" l="1"/>
  <c r="D80" i="48" s="1"/>
  <c r="N16" i="49" s="1"/>
  <c r="B394" i="50"/>
  <c r="D96" i="48" s="1"/>
  <c r="O17" i="49" s="1"/>
  <c r="F13" i="49" l="1"/>
  <c r="B392" i="50"/>
  <c r="B393" i="50" s="1"/>
  <c r="C97" i="48"/>
  <c r="D92" i="48"/>
  <c r="B377" i="50"/>
  <c r="B378" i="50" s="1"/>
  <c r="C81" i="48"/>
  <c r="F15" i="49"/>
  <c r="C63" i="48"/>
  <c r="Q15" i="49"/>
  <c r="P14" i="49"/>
  <c r="Q13" i="49"/>
  <c r="P12" i="49"/>
  <c r="M14" i="49"/>
  <c r="M13" i="49"/>
  <c r="M12" i="49"/>
  <c r="J14" i="49"/>
  <c r="J12" i="49"/>
  <c r="K15" i="49"/>
  <c r="K13" i="49"/>
  <c r="I15" i="49"/>
  <c r="I14" i="49"/>
  <c r="I13" i="49"/>
  <c r="I12" i="49"/>
  <c r="F14" i="49"/>
  <c r="F12" i="49"/>
  <c r="E15" i="49"/>
  <c r="E14" i="49"/>
  <c r="E13" i="49"/>
  <c r="E12" i="49"/>
  <c r="D15" i="49"/>
  <c r="D14" i="49"/>
  <c r="D13" i="49"/>
  <c r="D12" i="49"/>
  <c r="S11" i="49" l="1" a="1"/>
  <c r="S11" i="49" s="1"/>
  <c r="K11" i="49" a="1"/>
  <c r="K11" i="49" s="1"/>
  <c r="C94" i="48"/>
  <c r="B388" i="50"/>
  <c r="R14" i="49"/>
  <c r="S15" i="49"/>
  <c r="C98" i="48"/>
  <c r="R12" i="49"/>
  <c r="S13" i="49"/>
  <c r="T15" i="49" l="1"/>
  <c r="T13" i="49"/>
  <c r="C34" i="48"/>
  <c r="T14" i="49"/>
  <c r="T12" i="49"/>
  <c r="M3" i="51"/>
  <c r="M4" i="51" s="1"/>
  <c r="M5" i="51" s="1"/>
  <c r="E618" i="43" l="1"/>
  <c r="E465" i="43"/>
  <c r="E312" i="43"/>
  <c r="E159" i="43"/>
  <c r="E8" i="43"/>
  <c r="C2" i="51"/>
  <c r="C170" i="48" l="1"/>
  <c r="C277" i="48"/>
  <c r="C258" i="48"/>
  <c r="C222" i="48"/>
  <c r="C199" i="48"/>
  <c r="C179" i="48"/>
  <c r="C149" i="48"/>
  <c r="C150" i="48"/>
  <c r="C131" i="48"/>
  <c r="B359" i="50"/>
  <c r="C239" i="48"/>
  <c r="C148" i="48"/>
  <c r="A3" i="51" l="1"/>
  <c r="A4" i="51" s="1"/>
  <c r="A5" i="51" s="1"/>
  <c r="A6" i="51" s="1"/>
  <c r="A7" i="51" s="1"/>
  <c r="A8" i="51" s="1"/>
  <c r="A9" i="51" s="1"/>
  <c r="A10" i="51" s="1"/>
  <c r="A11" i="51" s="1"/>
  <c r="A12" i="51" s="1"/>
  <c r="A13" i="51" s="1"/>
  <c r="A14" i="51" s="1"/>
  <c r="A15" i="51" s="1"/>
  <c r="A16" i="51" s="1"/>
  <c r="A17" i="51" s="1"/>
  <c r="A18" i="51" s="1"/>
  <c r="A19" i="51" s="1"/>
  <c r="A20" i="51" s="1"/>
  <c r="A21" i="51" s="1"/>
  <c r="A22" i="51" s="1"/>
  <c r="A23" i="51" s="1"/>
  <c r="A24" i="51" s="1"/>
  <c r="A25" i="51" s="1"/>
  <c r="A26" i="51" s="1"/>
  <c r="A27" i="51" s="1"/>
  <c r="A28" i="51" s="1"/>
  <c r="A29" i="51" s="1"/>
  <c r="A30" i="51" s="1"/>
  <c r="A31" i="51" s="1"/>
  <c r="A32" i="51" s="1"/>
  <c r="C3" i="51"/>
  <c r="C4" i="51" s="1"/>
  <c r="C5" i="51" s="1"/>
  <c r="C6" i="51" s="1"/>
  <c r="C7" i="51" s="1"/>
  <c r="C8" i="51" s="1"/>
  <c r="A371" i="50"/>
  <c r="B358" i="50"/>
  <c r="B360" i="50" s="1"/>
  <c r="B357" i="50"/>
  <c r="B356" i="50"/>
  <c r="B355" i="50"/>
  <c r="B365" i="50" s="1"/>
  <c r="B354" i="50"/>
  <c r="A353" i="50"/>
  <c r="B341" i="50"/>
  <c r="B347" i="50" s="1"/>
  <c r="B351" i="50" s="1"/>
  <c r="D465" i="48" s="1"/>
  <c r="S42" i="49" s="1"/>
  <c r="B338" i="50"/>
  <c r="B344" i="50" s="1"/>
  <c r="B337" i="50"/>
  <c r="B342" i="50" s="1"/>
  <c r="B348" i="50" s="1"/>
  <c r="D459" i="48" s="1"/>
  <c r="M42" i="49" s="1"/>
  <c r="B336" i="50"/>
  <c r="B335" i="50"/>
  <c r="B334" i="50"/>
  <c r="B322" i="50"/>
  <c r="B328" i="50" s="1"/>
  <c r="B332" i="50" s="1"/>
  <c r="D447" i="48" s="1"/>
  <c r="S41" i="49" s="1"/>
  <c r="B319" i="50"/>
  <c r="B325" i="50" s="1"/>
  <c r="B318" i="50"/>
  <c r="B323" i="50" s="1"/>
  <c r="B329" i="50" s="1"/>
  <c r="D441" i="48" s="1"/>
  <c r="M41" i="49" s="1"/>
  <c r="B317" i="50"/>
  <c r="B316" i="50"/>
  <c r="B315" i="50"/>
  <c r="B303" i="50"/>
  <c r="B309" i="50" s="1"/>
  <c r="B313" i="50" s="1"/>
  <c r="D429" i="48" s="1"/>
  <c r="S40" i="49" s="1"/>
  <c r="B300" i="50"/>
  <c r="B306" i="50" s="1"/>
  <c r="B299" i="50"/>
  <c r="B304" i="50" s="1"/>
  <c r="B310" i="50" s="1"/>
  <c r="D423" i="48" s="1"/>
  <c r="M40" i="49" s="1"/>
  <c r="B298" i="50"/>
  <c r="B297" i="50"/>
  <c r="B296" i="50"/>
  <c r="B284" i="50"/>
  <c r="B290" i="50" s="1"/>
  <c r="B294" i="50" s="1"/>
  <c r="D411" i="48" s="1"/>
  <c r="S39" i="49" s="1"/>
  <c r="B281" i="50"/>
  <c r="B287" i="50" s="1"/>
  <c r="B280" i="50"/>
  <c r="B285" i="50" s="1"/>
  <c r="B291" i="50" s="1"/>
  <c r="D405" i="48" s="1"/>
  <c r="M39" i="49" s="1"/>
  <c r="B279" i="50"/>
  <c r="B278" i="50"/>
  <c r="B277" i="50"/>
  <c r="B265" i="50"/>
  <c r="B271" i="50" s="1"/>
  <c r="B275" i="50" s="1"/>
  <c r="D393" i="48" s="1"/>
  <c r="S38" i="49" s="1"/>
  <c r="B262" i="50"/>
  <c r="B268" i="50" s="1"/>
  <c r="B261" i="50"/>
  <c r="B266" i="50" s="1"/>
  <c r="B272" i="50" s="1"/>
  <c r="D387" i="48" s="1"/>
  <c r="M38" i="49" s="1"/>
  <c r="B260" i="50"/>
  <c r="B259" i="50"/>
  <c r="B258" i="50"/>
  <c r="B246" i="50"/>
  <c r="B252" i="50" s="1"/>
  <c r="B256" i="50" s="1"/>
  <c r="D375" i="48" s="1"/>
  <c r="S37" i="49" s="1"/>
  <c r="B243" i="50"/>
  <c r="B249" i="50" s="1"/>
  <c r="B242" i="50"/>
  <c r="B247" i="50" s="1"/>
  <c r="B253" i="50" s="1"/>
  <c r="D369" i="48" s="1"/>
  <c r="M37" i="49" s="1"/>
  <c r="B241" i="50"/>
  <c r="B240" i="50"/>
  <c r="B239" i="50"/>
  <c r="B227" i="50"/>
  <c r="B233" i="50" s="1"/>
  <c r="B237" i="50" s="1"/>
  <c r="D357" i="48" s="1"/>
  <c r="S36" i="49" s="1"/>
  <c r="B224" i="50"/>
  <c r="B230" i="50" s="1"/>
  <c r="B223" i="50"/>
  <c r="B228" i="50" s="1"/>
  <c r="B234" i="50" s="1"/>
  <c r="D351" i="48" s="1"/>
  <c r="M36" i="49" s="1"/>
  <c r="B222" i="50"/>
  <c r="B221" i="50"/>
  <c r="B220" i="50"/>
  <c r="B208" i="50"/>
  <c r="B214" i="50" s="1"/>
  <c r="B218" i="50" s="1"/>
  <c r="D339" i="48" s="1"/>
  <c r="S35" i="49" s="1"/>
  <c r="B205" i="50"/>
  <c r="B211" i="50" s="1"/>
  <c r="B204" i="50"/>
  <c r="B209" i="50" s="1"/>
  <c r="B215" i="50" s="1"/>
  <c r="D333" i="48" s="1"/>
  <c r="M35" i="49" s="1"/>
  <c r="B203" i="50"/>
  <c r="B202" i="50"/>
  <c r="B201" i="50"/>
  <c r="B189" i="50"/>
  <c r="B195" i="50" s="1"/>
  <c r="B199" i="50" s="1"/>
  <c r="D321" i="48" s="1"/>
  <c r="S34" i="49" s="1"/>
  <c r="B186" i="50"/>
  <c r="B192" i="50" s="1"/>
  <c r="B185" i="50"/>
  <c r="B190" i="50" s="1"/>
  <c r="B196" i="50" s="1"/>
  <c r="D315" i="48" s="1"/>
  <c r="M34" i="49" s="1"/>
  <c r="B184" i="50"/>
  <c r="B183" i="50"/>
  <c r="B182" i="50"/>
  <c r="B170" i="50"/>
  <c r="B176" i="50" s="1"/>
  <c r="B180" i="50" s="1"/>
  <c r="D303" i="48" s="1"/>
  <c r="S33" i="49" s="1"/>
  <c r="B167" i="50"/>
  <c r="B173" i="50" s="1"/>
  <c r="B166" i="50"/>
  <c r="B171" i="50" s="1"/>
  <c r="B177" i="50" s="1"/>
  <c r="D297" i="48" s="1"/>
  <c r="M33" i="49" s="1"/>
  <c r="B165" i="50"/>
  <c r="B164" i="50"/>
  <c r="B163" i="50"/>
  <c r="A162" i="50"/>
  <c r="B150" i="50"/>
  <c r="B147" i="50"/>
  <c r="B146" i="50"/>
  <c r="B145" i="50"/>
  <c r="B144" i="50"/>
  <c r="A143" i="50"/>
  <c r="B128" i="50"/>
  <c r="B127" i="50"/>
  <c r="B126" i="50"/>
  <c r="B125" i="50"/>
  <c r="A124" i="50"/>
  <c r="A123" i="50"/>
  <c r="B108" i="50"/>
  <c r="B107" i="50"/>
  <c r="B106" i="50"/>
  <c r="B105" i="50"/>
  <c r="A104" i="50"/>
  <c r="B84" i="50"/>
  <c r="B83" i="50"/>
  <c r="B82" i="50"/>
  <c r="B81" i="50"/>
  <c r="A80" i="50"/>
  <c r="A79" i="50"/>
  <c r="B67" i="50"/>
  <c r="B64" i="50"/>
  <c r="B63" i="50"/>
  <c r="B62" i="50"/>
  <c r="B61" i="50"/>
  <c r="A60" i="50"/>
  <c r="B45" i="50"/>
  <c r="B44" i="50"/>
  <c r="B43" i="50"/>
  <c r="B42" i="50"/>
  <c r="A41" i="50"/>
  <c r="A40" i="50"/>
  <c r="B26" i="50"/>
  <c r="B24" i="50"/>
  <c r="B23" i="50"/>
  <c r="B22" i="50"/>
  <c r="B21" i="50"/>
  <c r="A20" i="50"/>
  <c r="B5" i="50"/>
  <c r="B4" i="50"/>
  <c r="B3" i="50"/>
  <c r="B2" i="50"/>
  <c r="A1" i="50"/>
  <c r="P57" i="49"/>
  <c r="N57" i="49"/>
  <c r="J57" i="49"/>
  <c r="I57" i="49"/>
  <c r="H57" i="49"/>
  <c r="G57" i="49"/>
  <c r="F57" i="49"/>
  <c r="E57" i="49"/>
  <c r="D57" i="49"/>
  <c r="C57" i="49"/>
  <c r="P54" i="49"/>
  <c r="N54" i="49"/>
  <c r="J54" i="49"/>
  <c r="I54" i="49"/>
  <c r="H54" i="49"/>
  <c r="G54" i="49"/>
  <c r="F54" i="49"/>
  <c r="E54" i="49"/>
  <c r="D54" i="49"/>
  <c r="C54" i="49"/>
  <c r="D49" i="49"/>
  <c r="D48" i="49"/>
  <c r="E47" i="49"/>
  <c r="D47" i="49"/>
  <c r="D46" i="49"/>
  <c r="E45" i="49"/>
  <c r="D45" i="49"/>
  <c r="Q42" i="49"/>
  <c r="O42" i="49"/>
  <c r="J42" i="49"/>
  <c r="I42" i="49"/>
  <c r="H42" i="49"/>
  <c r="G42" i="49"/>
  <c r="F42" i="49"/>
  <c r="E42" i="49"/>
  <c r="D42" i="49"/>
  <c r="C42" i="49"/>
  <c r="Q41" i="49"/>
  <c r="O41" i="49"/>
  <c r="J41" i="49"/>
  <c r="I41" i="49"/>
  <c r="H41" i="49"/>
  <c r="G41" i="49"/>
  <c r="F41" i="49"/>
  <c r="E41" i="49"/>
  <c r="D41" i="49"/>
  <c r="C41" i="49"/>
  <c r="Q40" i="49"/>
  <c r="O40" i="49"/>
  <c r="J40" i="49"/>
  <c r="I40" i="49"/>
  <c r="H40" i="49"/>
  <c r="G40" i="49"/>
  <c r="F40" i="49"/>
  <c r="E40" i="49"/>
  <c r="D40" i="49"/>
  <c r="C40" i="49"/>
  <c r="Q39" i="49"/>
  <c r="O39" i="49"/>
  <c r="J39" i="49"/>
  <c r="I39" i="49"/>
  <c r="H39" i="49"/>
  <c r="G39" i="49"/>
  <c r="F39" i="49"/>
  <c r="E39" i="49"/>
  <c r="D39" i="49"/>
  <c r="C39" i="49"/>
  <c r="Q38" i="49"/>
  <c r="O38" i="49"/>
  <c r="J38" i="49"/>
  <c r="I38" i="49"/>
  <c r="H38" i="49"/>
  <c r="G38" i="49"/>
  <c r="F38" i="49"/>
  <c r="E38" i="49"/>
  <c r="D38" i="49"/>
  <c r="C38" i="49"/>
  <c r="Q37" i="49"/>
  <c r="O37" i="49"/>
  <c r="J37" i="49"/>
  <c r="I37" i="49"/>
  <c r="H37" i="49"/>
  <c r="G37" i="49"/>
  <c r="F37" i="49"/>
  <c r="E37" i="49"/>
  <c r="D37" i="49"/>
  <c r="C37" i="49"/>
  <c r="Q36" i="49"/>
  <c r="O36" i="49"/>
  <c r="J36" i="49"/>
  <c r="I36" i="49"/>
  <c r="H36" i="49"/>
  <c r="G36" i="49"/>
  <c r="F36" i="49"/>
  <c r="E36" i="49"/>
  <c r="D36" i="49"/>
  <c r="C36" i="49"/>
  <c r="Q35" i="49"/>
  <c r="O35" i="49"/>
  <c r="J35" i="49"/>
  <c r="I35" i="49"/>
  <c r="H35" i="49"/>
  <c r="G35" i="49"/>
  <c r="F35" i="49"/>
  <c r="E35" i="49"/>
  <c r="D35" i="49"/>
  <c r="C35" i="49"/>
  <c r="Q34" i="49"/>
  <c r="O34" i="49"/>
  <c r="J34" i="49"/>
  <c r="I34" i="49"/>
  <c r="H34" i="49"/>
  <c r="G34" i="49"/>
  <c r="F34" i="49"/>
  <c r="E34" i="49"/>
  <c r="D34" i="49"/>
  <c r="C34" i="49"/>
  <c r="Q33" i="49"/>
  <c r="O33" i="49"/>
  <c r="J33" i="49"/>
  <c r="I33" i="49"/>
  <c r="H33" i="49"/>
  <c r="G33" i="49"/>
  <c r="F33" i="49"/>
  <c r="E33" i="49"/>
  <c r="D33" i="49"/>
  <c r="C33" i="49"/>
  <c r="Q32" i="49"/>
  <c r="O32" i="49"/>
  <c r="K32" i="49"/>
  <c r="J32" i="49"/>
  <c r="I32" i="49"/>
  <c r="H32" i="49"/>
  <c r="G32" i="49"/>
  <c r="F32" i="49"/>
  <c r="E32" i="49"/>
  <c r="D32" i="49"/>
  <c r="C32" i="49"/>
  <c r="Q31" i="49"/>
  <c r="O31" i="49"/>
  <c r="J31" i="49"/>
  <c r="I31" i="49"/>
  <c r="H31" i="49"/>
  <c r="G31" i="49"/>
  <c r="F31" i="49"/>
  <c r="E31" i="49"/>
  <c r="D31" i="49"/>
  <c r="C31" i="49"/>
  <c r="Q30" i="49"/>
  <c r="O30" i="49"/>
  <c r="J30" i="49"/>
  <c r="I30" i="49"/>
  <c r="H30" i="49"/>
  <c r="G30" i="49"/>
  <c r="F30" i="49"/>
  <c r="E30" i="49"/>
  <c r="D30" i="49"/>
  <c r="C30" i="49"/>
  <c r="Q29" i="49"/>
  <c r="O29" i="49"/>
  <c r="J29" i="49"/>
  <c r="I29" i="49"/>
  <c r="H29" i="49"/>
  <c r="G29" i="49"/>
  <c r="F29" i="49"/>
  <c r="E29" i="49"/>
  <c r="D29" i="49"/>
  <c r="C29" i="49"/>
  <c r="Q28" i="49"/>
  <c r="O28" i="49"/>
  <c r="H28" i="49"/>
  <c r="G28" i="49"/>
  <c r="F28" i="49"/>
  <c r="E28" i="49"/>
  <c r="D28" i="49"/>
  <c r="C28" i="49"/>
  <c r="C45" i="49" s="1"/>
  <c r="Q27" i="49"/>
  <c r="O27" i="49"/>
  <c r="J27" i="49"/>
  <c r="I27" i="49"/>
  <c r="H27" i="49"/>
  <c r="G27" i="49"/>
  <c r="F27" i="49"/>
  <c r="E27" i="49"/>
  <c r="D27" i="49"/>
  <c r="C27" i="49"/>
  <c r="L22" i="49"/>
  <c r="J22" i="49"/>
  <c r="I22" i="49"/>
  <c r="H22" i="49"/>
  <c r="G22" i="49"/>
  <c r="F22" i="49"/>
  <c r="E22" i="49"/>
  <c r="D22" i="49"/>
  <c r="C22" i="49"/>
  <c r="C464" i="48"/>
  <c r="D458" i="48"/>
  <c r="D464" i="48" s="1"/>
  <c r="R42" i="49" s="1"/>
  <c r="C446" i="48"/>
  <c r="D440" i="48"/>
  <c r="L41" i="49" s="1"/>
  <c r="C428" i="48"/>
  <c r="D422" i="48"/>
  <c r="L40" i="49" s="1"/>
  <c r="C410" i="48"/>
  <c r="D404" i="48"/>
  <c r="B283" i="50" s="1"/>
  <c r="C392" i="48"/>
  <c r="D386" i="48"/>
  <c r="L38" i="49" s="1"/>
  <c r="C374" i="48"/>
  <c r="D368" i="48"/>
  <c r="C356" i="48"/>
  <c r="D350" i="48"/>
  <c r="B226" i="50" s="1"/>
  <c r="C338" i="48"/>
  <c r="D332" i="48"/>
  <c r="L35" i="49" s="1"/>
  <c r="C320" i="48"/>
  <c r="D314" i="48"/>
  <c r="C302" i="48"/>
  <c r="D296" i="48"/>
  <c r="B169" i="50" s="1"/>
  <c r="B172" i="50" s="1"/>
  <c r="B178" i="50" s="1"/>
  <c r="D298" i="48" s="1"/>
  <c r="N33" i="49" s="1"/>
  <c r="D272" i="48"/>
  <c r="D253" i="48"/>
  <c r="B7" i="50" s="1"/>
  <c r="C241" i="48"/>
  <c r="C240" i="48"/>
  <c r="C236" i="48"/>
  <c r="D235" i="48"/>
  <c r="C235" i="48"/>
  <c r="D217" i="48"/>
  <c r="D223" i="48" s="1"/>
  <c r="B131" i="50" s="1"/>
  <c r="D193" i="48"/>
  <c r="C191" i="48"/>
  <c r="D171" i="48"/>
  <c r="C169" i="48"/>
  <c r="C168" i="48"/>
  <c r="C167" i="48"/>
  <c r="C166" i="48"/>
  <c r="C165" i="48"/>
  <c r="E164" i="48"/>
  <c r="C164" i="48"/>
  <c r="C145" i="48"/>
  <c r="D144" i="48"/>
  <c r="B66" i="50" s="1"/>
  <c r="C144" i="48"/>
  <c r="D126" i="48"/>
  <c r="M22" i="49"/>
  <c r="E84" i="50" l="1" a="1"/>
  <c r="E84" i="50" s="1"/>
  <c r="E83" i="50" a="1"/>
  <c r="E83" i="50" s="1"/>
  <c r="E355" i="50" a="1"/>
  <c r="E355" i="50" s="1"/>
  <c r="B366" i="50"/>
  <c r="B367" i="50" s="1"/>
  <c r="E3" i="50" a="1"/>
  <c r="E3" i="50" s="1"/>
  <c r="E82" i="50" a="1"/>
  <c r="E82" i="50" s="1"/>
  <c r="E145" i="50" a="1"/>
  <c r="B154" i="50" s="1"/>
  <c r="E278" i="50" a="1"/>
  <c r="B288" i="50" s="1"/>
  <c r="B289" i="50" s="1"/>
  <c r="B293" i="50" s="1"/>
  <c r="D408" i="48" s="1"/>
  <c r="P39" i="49" s="1"/>
  <c r="E144" i="48"/>
  <c r="E221" i="50" a="1"/>
  <c r="E221" i="50" s="1"/>
  <c r="E126" i="50" a="1"/>
  <c r="B132" i="50" s="1"/>
  <c r="B138" i="50" s="1"/>
  <c r="D218" i="48" s="1"/>
  <c r="M30" i="49" s="1"/>
  <c r="E335" i="50" a="1"/>
  <c r="E335" i="50" s="1"/>
  <c r="R30" i="49"/>
  <c r="E86" i="50" a="1"/>
  <c r="E86" i="50" s="1"/>
  <c r="B395" i="50"/>
  <c r="D446" i="48"/>
  <c r="R41" i="49" s="1"/>
  <c r="E106" i="50" a="1"/>
  <c r="B112" i="50" s="1"/>
  <c r="B118" i="50" s="1"/>
  <c r="D195" i="48" s="1"/>
  <c r="M29" i="49" s="1"/>
  <c r="B396" i="50"/>
  <c r="E297" i="50" a="1"/>
  <c r="B307" i="50" s="1"/>
  <c r="L27" i="49"/>
  <c r="D132" i="48"/>
  <c r="B48" i="50" s="1"/>
  <c r="E259" i="50" a="1"/>
  <c r="E259" i="50" s="1"/>
  <c r="K54" i="49"/>
  <c r="D150" i="48"/>
  <c r="Q54" i="49" s="1"/>
  <c r="E43" i="50" a="1"/>
  <c r="B51" i="50" s="1"/>
  <c r="E183" i="50" a="1"/>
  <c r="B193" i="50" s="1"/>
  <c r="E316" i="50" a="1"/>
  <c r="B326" i="50" s="1"/>
  <c r="L31" i="49"/>
  <c r="D259" i="48"/>
  <c r="E85" i="50" a="1"/>
  <c r="E85" i="50" s="1"/>
  <c r="B321" i="50"/>
  <c r="B324" i="50" s="1"/>
  <c r="B330" i="50" s="1"/>
  <c r="D442" i="48" s="1"/>
  <c r="N41" i="49" s="1"/>
  <c r="B27" i="50"/>
  <c r="D278" i="48"/>
  <c r="B28" i="50" s="1"/>
  <c r="E62" i="50" a="1"/>
  <c r="B71" i="50" s="1"/>
  <c r="E240" i="50" a="1"/>
  <c r="B250" i="50" s="1"/>
  <c r="L33" i="49"/>
  <c r="D410" i="48"/>
  <c r="R39" i="49" s="1"/>
  <c r="E164" i="50" a="1"/>
  <c r="E164" i="50" s="1"/>
  <c r="E202" i="50" a="1"/>
  <c r="E202" i="50" s="1"/>
  <c r="D356" i="48"/>
  <c r="R36" i="49" s="1"/>
  <c r="D302" i="48"/>
  <c r="R33" i="49" s="1"/>
  <c r="D172" i="48"/>
  <c r="I28" i="49" s="1"/>
  <c r="D173" i="48"/>
  <c r="B229" i="50"/>
  <c r="B235" i="50" s="1"/>
  <c r="D352" i="48" s="1"/>
  <c r="N36" i="49" s="1"/>
  <c r="L37" i="49"/>
  <c r="D374" i="48"/>
  <c r="R37" i="49" s="1"/>
  <c r="B245" i="50"/>
  <c r="B130" i="50"/>
  <c r="L30" i="49"/>
  <c r="B340" i="50"/>
  <c r="L42" i="49"/>
  <c r="E23" i="50" a="1"/>
  <c r="E23" i="50" s="1"/>
  <c r="E22" i="50" a="1"/>
  <c r="E22" i="50" s="1"/>
  <c r="B286" i="50"/>
  <c r="B292" i="50" s="1"/>
  <c r="D406" i="48" s="1"/>
  <c r="N39" i="49" s="1"/>
  <c r="K57" i="49"/>
  <c r="D241" i="48"/>
  <c r="Q57" i="49" s="1"/>
  <c r="E235" i="48"/>
  <c r="B149" i="50"/>
  <c r="B188" i="50"/>
  <c r="L34" i="49"/>
  <c r="D194" i="48"/>
  <c r="D200" i="48" s="1"/>
  <c r="B111" i="50" s="1"/>
  <c r="D320" i="48"/>
  <c r="R34" i="49" s="1"/>
  <c r="D428" i="48"/>
  <c r="R40" i="49" s="1"/>
  <c r="B302" i="50"/>
  <c r="B381" i="50"/>
  <c r="D392" i="48"/>
  <c r="R38" i="49" s="1"/>
  <c r="B207" i="50"/>
  <c r="B47" i="50"/>
  <c r="B264" i="50"/>
  <c r="D338" i="48"/>
  <c r="R35" i="49" s="1"/>
  <c r="L32" i="49"/>
  <c r="L36" i="49"/>
  <c r="L39" i="49"/>
  <c r="B11" i="50" l="1"/>
  <c r="B9" i="50"/>
  <c r="B15" i="50" s="1"/>
  <c r="D254" i="48" s="1"/>
  <c r="M31" i="49" s="1"/>
  <c r="B151" i="50"/>
  <c r="B157" i="50" s="1"/>
  <c r="D236" i="48" s="1"/>
  <c r="L57" i="49" s="1"/>
  <c r="B153" i="50"/>
  <c r="B362" i="50"/>
  <c r="B380" i="50"/>
  <c r="B398" i="50"/>
  <c r="B345" i="50"/>
  <c r="B346" i="50" s="1"/>
  <c r="B350" i="50" s="1"/>
  <c r="D462" i="48" s="1"/>
  <c r="P42" i="49" s="1"/>
  <c r="B383" i="50"/>
  <c r="B361" i="50" a="1"/>
  <c r="B361" i="50" s="1"/>
  <c r="E126" i="50"/>
  <c r="B231" i="50"/>
  <c r="B232" i="50" s="1"/>
  <c r="B236" i="50" s="1"/>
  <c r="D354" i="48" s="1"/>
  <c r="P36" i="49" s="1"/>
  <c r="E145" i="50"/>
  <c r="B12" i="50"/>
  <c r="E278" i="50"/>
  <c r="R27" i="49"/>
  <c r="B397" i="50"/>
  <c r="B399" i="50" s="1"/>
  <c r="D99" i="48" s="1"/>
  <c r="T17" i="49" s="1"/>
  <c r="B135" i="50"/>
  <c r="R32" i="49"/>
  <c r="B327" i="50"/>
  <c r="B331" i="50" s="1"/>
  <c r="D444" i="48" s="1"/>
  <c r="P41" i="49" s="1"/>
  <c r="B134" i="50"/>
  <c r="B114" i="50"/>
  <c r="B70" i="50"/>
  <c r="B269" i="50"/>
  <c r="B270" i="50" s="1"/>
  <c r="B274" i="50" s="1"/>
  <c r="D390" i="48" s="1"/>
  <c r="P38" i="49" s="1"/>
  <c r="E240" i="50"/>
  <c r="B52" i="50"/>
  <c r="B49" i="50"/>
  <c r="B55" i="50" s="1"/>
  <c r="D127" i="48" s="1"/>
  <c r="E297" i="50"/>
  <c r="B29" i="50"/>
  <c r="B35" i="50" s="1"/>
  <c r="D273" i="48" s="1"/>
  <c r="M32" i="49" s="1"/>
  <c r="B68" i="50"/>
  <c r="B74" i="50" s="1"/>
  <c r="D145" i="48" s="1"/>
  <c r="L54" i="49" s="1"/>
  <c r="E43" i="50"/>
  <c r="E106" i="50"/>
  <c r="E183" i="50"/>
  <c r="B115" i="50"/>
  <c r="E316" i="50"/>
  <c r="E62" i="50"/>
  <c r="D174" i="48"/>
  <c r="D180" i="48" s="1"/>
  <c r="B87" i="50" s="1"/>
  <c r="B89" i="50"/>
  <c r="F46" i="49" s="1"/>
  <c r="B88" i="50"/>
  <c r="B8" i="50"/>
  <c r="R31" i="49"/>
  <c r="B212" i="50"/>
  <c r="B213" i="50" s="1"/>
  <c r="B217" i="50" s="1"/>
  <c r="D336" i="48" s="1"/>
  <c r="P35" i="49" s="1"/>
  <c r="B174" i="50"/>
  <c r="B175" i="50" s="1"/>
  <c r="B179" i="50" s="1"/>
  <c r="D300" i="48" s="1"/>
  <c r="P33" i="49" s="1"/>
  <c r="B31" i="50"/>
  <c r="B133" i="50"/>
  <c r="B139" i="50" s="1"/>
  <c r="D219" i="48" s="1"/>
  <c r="N30" i="49" s="1"/>
  <c r="B32" i="50"/>
  <c r="B308" i="50"/>
  <c r="B312" i="50" s="1"/>
  <c r="D426" i="48" s="1"/>
  <c r="P40" i="49" s="1"/>
  <c r="B305" i="50"/>
  <c r="B311" i="50" s="1"/>
  <c r="D424" i="48" s="1"/>
  <c r="N40" i="49" s="1"/>
  <c r="R29" i="49"/>
  <c r="L29" i="49"/>
  <c r="B110" i="50"/>
  <c r="B382" i="50"/>
  <c r="B267" i="50"/>
  <c r="B273" i="50" s="1"/>
  <c r="D388" i="48" s="1"/>
  <c r="N38" i="49" s="1"/>
  <c r="B248" i="50"/>
  <c r="B254" i="50" s="1"/>
  <c r="D370" i="48" s="1"/>
  <c r="N37" i="49" s="1"/>
  <c r="B251" i="50"/>
  <c r="B255" i="50" s="1"/>
  <c r="D372" i="48" s="1"/>
  <c r="P37" i="49" s="1"/>
  <c r="B194" i="50"/>
  <c r="B198" i="50" s="1"/>
  <c r="D318" i="48" s="1"/>
  <c r="P34" i="49" s="1"/>
  <c r="B191" i="50"/>
  <c r="B197" i="50" s="1"/>
  <c r="D316" i="48" s="1"/>
  <c r="N34" i="49" s="1"/>
  <c r="B210" i="50"/>
  <c r="B216" i="50" s="1"/>
  <c r="D334" i="48" s="1"/>
  <c r="N35" i="49" s="1"/>
  <c r="B343" i="50"/>
  <c r="B349" i="50" s="1"/>
  <c r="D460" i="48" s="1"/>
  <c r="N42" i="49" s="1"/>
  <c r="B92" i="50"/>
  <c r="F49" i="49" s="1"/>
  <c r="B90" i="50"/>
  <c r="F47" i="49" s="1"/>
  <c r="J28" i="49"/>
  <c r="B91" i="50"/>
  <c r="F48" i="49" s="1"/>
  <c r="B13" i="50" l="1"/>
  <c r="B17" i="50" s="1"/>
  <c r="D257" i="48" s="1"/>
  <c r="P31" i="49" s="1"/>
  <c r="B10" i="50"/>
  <c r="B16" i="50" s="1"/>
  <c r="D255" i="48" s="1"/>
  <c r="N31" i="49" s="1"/>
  <c r="B155" i="50"/>
  <c r="B159" i="50" s="1"/>
  <c r="D239" i="48" s="1"/>
  <c r="O57" i="49" s="1"/>
  <c r="B384" i="50"/>
  <c r="D83" i="48" s="1"/>
  <c r="T16" i="49" s="1"/>
  <c r="B152" i="50"/>
  <c r="B158" i="50" s="1"/>
  <c r="D237" i="48" s="1"/>
  <c r="M57" i="49" s="1"/>
  <c r="B363" i="50"/>
  <c r="B368" i="50" s="1"/>
  <c r="D110" i="48" s="1"/>
  <c r="K22" i="49" s="1"/>
  <c r="M27" i="49"/>
  <c r="B53" i="50"/>
  <c r="B57" i="50" s="1"/>
  <c r="D130" i="48" s="1"/>
  <c r="B136" i="50"/>
  <c r="B140" i="50" s="1"/>
  <c r="D221" i="48" s="1"/>
  <c r="P30" i="49" s="1"/>
  <c r="B14" i="50"/>
  <c r="B18" i="50" s="1"/>
  <c r="D260" i="48" s="1"/>
  <c r="S31" i="49" s="1"/>
  <c r="B50" i="50"/>
  <c r="B56" i="50" s="1"/>
  <c r="D128" i="48" s="1"/>
  <c r="N27" i="49" s="1"/>
  <c r="B69" i="50"/>
  <c r="B75" i="50" s="1"/>
  <c r="D146" i="48" s="1"/>
  <c r="M54" i="49" s="1"/>
  <c r="R28" i="49"/>
  <c r="B86" i="50"/>
  <c r="L28" i="49"/>
  <c r="B30" i="50"/>
  <c r="B36" i="50" s="1"/>
  <c r="D274" i="48" s="1"/>
  <c r="N32" i="49" s="1"/>
  <c r="B72" i="50"/>
  <c r="B116" i="50"/>
  <c r="B113" i="50"/>
  <c r="B119" i="50" s="1"/>
  <c r="D196" i="48" s="1"/>
  <c r="N29" i="49" s="1"/>
  <c r="F45" i="49"/>
  <c r="AA87" i="50"/>
  <c r="AD87" i="50"/>
  <c r="M87" i="50"/>
  <c r="O87" i="50"/>
  <c r="R87" i="50"/>
  <c r="AI87" i="50"/>
  <c r="AB87" i="50"/>
  <c r="AL87" i="50"/>
  <c r="U87" i="50"/>
  <c r="B95" i="50" s="1"/>
  <c r="W87" i="50"/>
  <c r="Q87" i="50"/>
  <c r="Z87" i="50"/>
  <c r="AJ87" i="50"/>
  <c r="AC87" i="50"/>
  <c r="AE87" i="50"/>
  <c r="Y87" i="50"/>
  <c r="AH87" i="50"/>
  <c r="AF87" i="50"/>
  <c r="K87" i="50"/>
  <c r="AK87" i="50"/>
  <c r="AM87" i="50"/>
  <c r="AG87" i="50"/>
  <c r="P87" i="50"/>
  <c r="AO87" i="50"/>
  <c r="B96" i="50" s="1"/>
  <c r="V87" i="50"/>
  <c r="X87" i="50"/>
  <c r="N87" i="50"/>
  <c r="AN87" i="50"/>
  <c r="S87" i="50"/>
  <c r="L87" i="50"/>
  <c r="T87" i="50"/>
  <c r="B33" i="50"/>
  <c r="B364" i="50" l="1"/>
  <c r="B369" i="50" s="1"/>
  <c r="D113" i="48" s="1"/>
  <c r="N22" i="49" s="1"/>
  <c r="B156" i="50"/>
  <c r="B160" i="50" s="1"/>
  <c r="D242" i="48" s="1"/>
  <c r="R57" i="49" s="1"/>
  <c r="B93" i="50"/>
  <c r="B99" i="50" s="1"/>
  <c r="D175" i="48" s="1"/>
  <c r="M28" i="49" s="1"/>
  <c r="B137" i="50"/>
  <c r="B141" i="50" s="1"/>
  <c r="D224" i="48" s="1"/>
  <c r="S30" i="49" s="1"/>
  <c r="P27" i="49"/>
  <c r="F130" i="48"/>
  <c r="F131" i="48" s="1"/>
  <c r="B54" i="50"/>
  <c r="B58" i="50" s="1"/>
  <c r="D133" i="48" s="1"/>
  <c r="S27" i="49" s="1"/>
  <c r="B73" i="50"/>
  <c r="B77" i="50" s="1"/>
  <c r="D151" i="48" s="1"/>
  <c r="R54" i="49" s="1"/>
  <c r="B76" i="50"/>
  <c r="D148" i="48" s="1"/>
  <c r="O54" i="49" s="1"/>
  <c r="B37" i="50"/>
  <c r="D276" i="48" s="1"/>
  <c r="P32" i="49" s="1"/>
  <c r="B34" i="50"/>
  <c r="B38" i="50" s="1"/>
  <c r="D279" i="48" s="1"/>
  <c r="S32" i="49" s="1"/>
  <c r="B120" i="50"/>
  <c r="D198" i="48" s="1"/>
  <c r="P29" i="49" s="1"/>
  <c r="B117" i="50"/>
  <c r="B121" i="50" s="1"/>
  <c r="D201" i="48" s="1"/>
  <c r="S29" i="49" s="1"/>
  <c r="B97" i="50" l="1"/>
  <c r="B101" i="50" s="1"/>
  <c r="D178" i="48" s="1"/>
  <c r="P28" i="49" s="1"/>
  <c r="B94" i="50"/>
  <c r="B100" i="50" s="1"/>
  <c r="D176" i="48" s="1"/>
  <c r="N28" i="49" s="1"/>
  <c r="V27" i="42"/>
  <c r="V26" i="42"/>
  <c r="V25" i="42"/>
  <c r="V24" i="42"/>
  <c r="V23" i="42"/>
  <c r="V22" i="42"/>
  <c r="V21" i="42"/>
  <c r="V20" i="42"/>
  <c r="V87" i="42"/>
  <c r="V86" i="42"/>
  <c r="V85" i="42"/>
  <c r="V84" i="42"/>
  <c r="V83" i="42"/>
  <c r="V82" i="42"/>
  <c r="V81" i="42"/>
  <c r="V80" i="42"/>
  <c r="V25" i="41"/>
  <c r="V24" i="41"/>
  <c r="V23" i="41"/>
  <c r="V22" i="41"/>
  <c r="V21" i="41"/>
  <c r="V20" i="41"/>
  <c r="V83" i="41"/>
  <c r="V82" i="41"/>
  <c r="V81" i="41"/>
  <c r="V80" i="41"/>
  <c r="V79" i="41"/>
  <c r="V78" i="41"/>
  <c r="V29" i="39"/>
  <c r="V28" i="39"/>
  <c r="V27" i="39"/>
  <c r="V26" i="39"/>
  <c r="V25" i="39"/>
  <c r="V24" i="39"/>
  <c r="V23" i="39"/>
  <c r="V22" i="39"/>
  <c r="V21" i="39"/>
  <c r="V20" i="39"/>
  <c r="V98" i="39"/>
  <c r="V97" i="39"/>
  <c r="V96" i="39"/>
  <c r="V95" i="39"/>
  <c r="V94" i="39"/>
  <c r="V93" i="39"/>
  <c r="V92" i="39"/>
  <c r="V91" i="39"/>
  <c r="V90" i="39"/>
  <c r="V89" i="39"/>
  <c r="V29" i="38"/>
  <c r="V28" i="38"/>
  <c r="V27" i="38"/>
  <c r="V26" i="38"/>
  <c r="V25" i="38"/>
  <c r="V24" i="38"/>
  <c r="V23" i="38"/>
  <c r="V22" i="38"/>
  <c r="V21" i="38"/>
  <c r="V20" i="38"/>
  <c r="V98" i="38"/>
  <c r="V97" i="38"/>
  <c r="V96" i="38"/>
  <c r="V95" i="38"/>
  <c r="V94" i="38"/>
  <c r="V93" i="38"/>
  <c r="V92" i="38"/>
  <c r="V91" i="38"/>
  <c r="V90" i="38"/>
  <c r="V89" i="38"/>
  <c r="V25" i="32"/>
  <c r="V24" i="32"/>
  <c r="V23" i="32"/>
  <c r="V22" i="32"/>
  <c r="V21" i="32"/>
  <c r="V20" i="32"/>
  <c r="V80" i="32"/>
  <c r="V79" i="32"/>
  <c r="V78" i="32"/>
  <c r="V77" i="32"/>
  <c r="V76" i="32"/>
  <c r="V75" i="32"/>
  <c r="AL151" i="32"/>
  <c r="AL150" i="32"/>
  <c r="AL149" i="32"/>
  <c r="AL148" i="32"/>
  <c r="AL147" i="32"/>
  <c r="AL146" i="32"/>
  <c r="AL145" i="32"/>
  <c r="AL144" i="32"/>
  <c r="AL143" i="32"/>
  <c r="AL142" i="32"/>
  <c r="AL141" i="32"/>
  <c r="AL140" i="32"/>
  <c r="AL139" i="32"/>
  <c r="AL138" i="32"/>
  <c r="AL137" i="32"/>
  <c r="AL136" i="32"/>
  <c r="AL135" i="32"/>
  <c r="AL134" i="32"/>
  <c r="AL133" i="32"/>
  <c r="AL132" i="32"/>
  <c r="AL131" i="32"/>
  <c r="AL130" i="32"/>
  <c r="AL129" i="32"/>
  <c r="AL128" i="32"/>
  <c r="AL127" i="32"/>
  <c r="AL126" i="32"/>
  <c r="AL125" i="32"/>
  <c r="AL124" i="32"/>
  <c r="AL123" i="32"/>
  <c r="AL122" i="32"/>
  <c r="AL121" i="32"/>
  <c r="AL120" i="32"/>
  <c r="AL119" i="32"/>
  <c r="AL118" i="32"/>
  <c r="AL117" i="32"/>
  <c r="AL116" i="32"/>
  <c r="AL115" i="32"/>
  <c r="AL114" i="32"/>
  <c r="AL113" i="32"/>
  <c r="AL112" i="32"/>
  <c r="AL111" i="32"/>
  <c r="AL110" i="32"/>
  <c r="AL109" i="32"/>
  <c r="AL108" i="32"/>
  <c r="AL107" i="32"/>
  <c r="AL106" i="32"/>
  <c r="AL105" i="32"/>
  <c r="AL104" i="32"/>
  <c r="AL103" i="32"/>
  <c r="AL102" i="32"/>
  <c r="AL101" i="32"/>
  <c r="AL100" i="32"/>
  <c r="AL99" i="32"/>
  <c r="AL98" i="32"/>
  <c r="AL97" i="32"/>
  <c r="AL96" i="32"/>
  <c r="AL95" i="32"/>
  <c r="AL94" i="32"/>
  <c r="AL93" i="32"/>
  <c r="AL92" i="32"/>
  <c r="AL91" i="32"/>
  <c r="AL90" i="32"/>
  <c r="AL89" i="32"/>
  <c r="AL88" i="32"/>
  <c r="AL87" i="32"/>
  <c r="AL86" i="32"/>
  <c r="AL85" i="32"/>
  <c r="AL84" i="32"/>
  <c r="AL83" i="32"/>
  <c r="AL82" i="32"/>
  <c r="AL81" i="32"/>
  <c r="AL80" i="32"/>
  <c r="AL79" i="32"/>
  <c r="AL78" i="32"/>
  <c r="AL77" i="32"/>
  <c r="AL76" i="32"/>
  <c r="AL75" i="32"/>
  <c r="Z746" i="43"/>
  <c r="Y746" i="43"/>
  <c r="Z745" i="43"/>
  <c r="Y745" i="43"/>
  <c r="M746" i="43"/>
  <c r="M745" i="43"/>
  <c r="Z682" i="43"/>
  <c r="Y682" i="43"/>
  <c r="Z593" i="43"/>
  <c r="Y593" i="43"/>
  <c r="Z592" i="43"/>
  <c r="Y592" i="43"/>
  <c r="M593" i="43"/>
  <c r="M592" i="43"/>
  <c r="Z529" i="43"/>
  <c r="Y529" i="43"/>
  <c r="Z440" i="43"/>
  <c r="Y440" i="43"/>
  <c r="Z439" i="43"/>
  <c r="Y439" i="43"/>
  <c r="M440" i="43"/>
  <c r="M439" i="43"/>
  <c r="Z376" i="43"/>
  <c r="Y376" i="43"/>
  <c r="Z287" i="43"/>
  <c r="Y287" i="43"/>
  <c r="Z286" i="43"/>
  <c r="Y286" i="43"/>
  <c r="M287" i="43"/>
  <c r="M286" i="43"/>
  <c r="Z223" i="43"/>
  <c r="Y223" i="43"/>
  <c r="Z133" i="43"/>
  <c r="Y133" i="43"/>
  <c r="Z132" i="43"/>
  <c r="Y132" i="43"/>
  <c r="M133" i="43"/>
  <c r="M132" i="43"/>
  <c r="Z71" i="43"/>
  <c r="Y71" i="43"/>
  <c r="Q71" i="43"/>
  <c r="B98" i="50" l="1"/>
  <c r="B102" i="50" s="1"/>
  <c r="D181" i="48" s="1"/>
  <c r="S28" i="49" s="1"/>
  <c r="J32" i="43"/>
  <c r="J33" i="43"/>
  <c r="J34" i="43"/>
  <c r="J35" i="43"/>
  <c r="J36" i="43"/>
  <c r="J37" i="43"/>
  <c r="J38" i="43"/>
  <c r="J39" i="43"/>
  <c r="AM80" i="42"/>
  <c r="AL80" i="42"/>
  <c r="N142" i="43"/>
  <c r="Q744" i="43"/>
  <c r="Q743" i="43"/>
  <c r="Q742" i="43"/>
  <c r="Q741" i="43"/>
  <c r="Q740" i="43"/>
  <c r="Q739" i="43"/>
  <c r="Q738" i="43"/>
  <c r="Q737" i="43"/>
  <c r="Q736" i="43"/>
  <c r="Q735" i="43"/>
  <c r="Q734" i="43"/>
  <c r="Q733" i="43"/>
  <c r="Q732" i="43"/>
  <c r="Q731" i="43"/>
  <c r="Q728" i="43"/>
  <c r="Q727" i="43"/>
  <c r="Q724" i="43"/>
  <c r="Q723" i="43"/>
  <c r="Q722" i="43"/>
  <c r="Q721" i="43"/>
  <c r="Q716" i="43"/>
  <c r="Q715" i="43"/>
  <c r="Q714" i="43"/>
  <c r="Q713" i="43"/>
  <c r="Q712" i="43"/>
  <c r="Q711" i="43"/>
  <c r="Q706" i="43"/>
  <c r="Q705" i="43"/>
  <c r="Q704" i="43"/>
  <c r="Q681" i="43"/>
  <c r="Q680" i="43"/>
  <c r="Q679" i="43"/>
  <c r="Q678" i="43"/>
  <c r="Q677" i="43"/>
  <c r="Q676" i="43"/>
  <c r="Q675" i="43"/>
  <c r="Q673" i="43"/>
  <c r="Q671" i="43"/>
  <c r="Q670" i="43"/>
  <c r="Q667" i="43"/>
  <c r="Q666" i="43"/>
  <c r="Q665" i="43"/>
  <c r="Q662" i="43"/>
  <c r="Q591" i="43"/>
  <c r="Q590" i="43"/>
  <c r="Q589" i="43"/>
  <c r="Q588" i="43"/>
  <c r="Q587" i="43"/>
  <c r="Q586" i="43"/>
  <c r="Q585" i="43"/>
  <c r="Q584" i="43"/>
  <c r="Q583" i="43"/>
  <c r="Q582" i="43"/>
  <c r="Q581" i="43"/>
  <c r="Q580" i="43"/>
  <c r="Q579" i="43"/>
  <c r="Q578" i="43"/>
  <c r="Q575" i="43"/>
  <c r="Q574" i="43"/>
  <c r="Q571" i="43"/>
  <c r="Q570" i="43"/>
  <c r="Q569" i="43"/>
  <c r="Q568" i="43"/>
  <c r="Q563" i="43"/>
  <c r="Q562" i="43"/>
  <c r="Q561" i="43"/>
  <c r="Q560" i="43"/>
  <c r="Q553" i="43"/>
  <c r="Q552" i="43"/>
  <c r="Q551" i="43"/>
  <c r="Q528" i="43"/>
  <c r="Q527" i="43"/>
  <c r="Q526" i="43"/>
  <c r="Q525" i="43"/>
  <c r="Q524" i="43"/>
  <c r="Q523" i="43"/>
  <c r="Q522" i="43"/>
  <c r="Q520" i="43"/>
  <c r="Q518" i="43"/>
  <c r="Q517" i="43"/>
  <c r="Q514" i="43"/>
  <c r="Q513" i="43"/>
  <c r="Q438" i="43"/>
  <c r="Q437" i="43"/>
  <c r="Q436" i="43"/>
  <c r="Q435" i="43"/>
  <c r="Q434" i="43"/>
  <c r="Q433" i="43"/>
  <c r="Q432" i="43"/>
  <c r="Q431" i="43"/>
  <c r="Q430" i="43"/>
  <c r="Q429" i="43"/>
  <c r="Q428" i="43"/>
  <c r="Q427" i="43"/>
  <c r="Q426" i="43"/>
  <c r="Q425" i="43"/>
  <c r="Q422" i="43"/>
  <c r="Q421" i="43"/>
  <c r="Q418" i="43"/>
  <c r="Q417" i="43"/>
  <c r="Q416" i="43"/>
  <c r="Q415" i="43"/>
  <c r="Q410" i="43"/>
  <c r="Q409" i="43"/>
  <c r="Q408" i="43"/>
  <c r="Q407" i="43"/>
  <c r="Q406" i="43"/>
  <c r="Q405" i="43"/>
  <c r="Q400" i="43"/>
  <c r="Q399" i="43"/>
  <c r="Q398" i="43"/>
  <c r="Q375" i="43"/>
  <c r="Q374" i="43"/>
  <c r="Q373" i="43"/>
  <c r="Q372" i="43"/>
  <c r="Q371" i="43"/>
  <c r="Q370" i="43"/>
  <c r="Q369" i="43"/>
  <c r="Q367" i="43"/>
  <c r="Q365" i="43"/>
  <c r="Q364" i="43"/>
  <c r="Q361" i="43"/>
  <c r="Q360" i="43"/>
  <c r="Q359" i="43"/>
  <c r="Q356" i="43"/>
  <c r="Q285" i="43"/>
  <c r="Q284" i="43"/>
  <c r="Q283" i="43"/>
  <c r="Q282" i="43"/>
  <c r="Q281" i="43"/>
  <c r="Q280" i="43"/>
  <c r="Q279" i="43"/>
  <c r="Q278" i="43"/>
  <c r="Q277" i="43"/>
  <c r="Q276" i="43"/>
  <c r="Q275" i="43"/>
  <c r="Q274" i="43"/>
  <c r="Q273" i="43"/>
  <c r="Q272" i="43"/>
  <c r="Q269" i="43"/>
  <c r="Q268" i="43"/>
  <c r="Q265" i="43"/>
  <c r="Q264" i="43"/>
  <c r="Q263" i="43"/>
  <c r="Q262" i="43"/>
  <c r="Q257" i="43"/>
  <c r="Q256" i="43"/>
  <c r="Q255" i="43"/>
  <c r="Q254" i="43"/>
  <c r="Q253" i="43"/>
  <c r="Q252" i="43"/>
  <c r="Q245" i="43"/>
  <c r="Q222" i="43"/>
  <c r="Q221" i="43"/>
  <c r="Q220" i="43"/>
  <c r="Q219" i="43"/>
  <c r="Q218" i="43"/>
  <c r="Q217" i="43"/>
  <c r="Q216" i="43"/>
  <c r="Q214" i="43"/>
  <c r="Q212" i="43"/>
  <c r="Q211" i="43"/>
  <c r="Q208" i="43"/>
  <c r="Q207" i="43"/>
  <c r="Q206" i="43"/>
  <c r="Q131" i="43"/>
  <c r="Q130" i="43"/>
  <c r="Q129" i="43"/>
  <c r="Q128" i="43"/>
  <c r="Q127" i="43"/>
  <c r="Q126" i="43"/>
  <c r="Q125" i="43"/>
  <c r="Q124" i="43"/>
  <c r="Q123" i="43"/>
  <c r="Q122" i="43"/>
  <c r="Q121" i="43"/>
  <c r="Q120" i="43"/>
  <c r="Q117" i="43"/>
  <c r="Q116" i="43"/>
  <c r="Q113" i="43"/>
  <c r="Q112" i="43"/>
  <c r="Q111" i="43"/>
  <c r="Q110" i="43"/>
  <c r="Q105" i="43"/>
  <c r="Q104" i="43"/>
  <c r="Q103" i="43"/>
  <c r="Q102" i="43"/>
  <c r="Q101" i="43"/>
  <c r="Q100" i="43"/>
  <c r="Q95" i="43"/>
  <c r="Q94" i="43"/>
  <c r="Q93" i="43"/>
  <c r="Q70" i="43"/>
  <c r="Q69" i="43"/>
  <c r="Q68" i="43"/>
  <c r="Q67" i="43"/>
  <c r="Q66" i="43"/>
  <c r="Q65" i="43"/>
  <c r="Q63" i="43"/>
  <c r="Q61" i="43"/>
  <c r="Q60" i="43"/>
  <c r="Q57" i="43"/>
  <c r="Q56" i="43"/>
  <c r="Q55" i="43"/>
  <c r="AF24" i="32" l="1"/>
  <c r="AF20" i="32"/>
  <c r="AF22" i="32"/>
  <c r="AF27" i="32"/>
  <c r="AF28" i="32"/>
  <c r="AF29" i="32"/>
  <c r="AF31" i="32"/>
  <c r="AF33" i="32"/>
  <c r="AF35" i="32"/>
  <c r="AF36" i="32"/>
  <c r="AF37" i="32"/>
  <c r="AF38" i="32"/>
  <c r="AF40" i="32"/>
  <c r="AF42" i="32"/>
  <c r="AF75" i="32"/>
  <c r="AF77" i="32"/>
  <c r="AF79" i="32"/>
  <c r="AF84" i="32"/>
  <c r="AF85" i="32"/>
  <c r="AF87" i="32"/>
  <c r="AF88" i="32"/>
  <c r="AF90" i="32"/>
  <c r="AF91" i="32"/>
  <c r="AF94" i="32"/>
  <c r="AF96" i="32"/>
  <c r="AF100" i="32"/>
  <c r="AF102" i="32"/>
  <c r="AF105" i="32"/>
  <c r="AF106" i="32"/>
  <c r="AF108" i="32"/>
  <c r="AF109" i="32"/>
  <c r="AF112" i="32"/>
  <c r="AF114" i="32"/>
  <c r="AF116" i="32"/>
  <c r="AF117" i="32"/>
  <c r="AF118" i="32"/>
  <c r="AF119" i="32"/>
  <c r="AF120" i="32"/>
  <c r="AF121" i="32"/>
  <c r="AF122" i="32"/>
  <c r="AF124" i="32"/>
  <c r="AF125" i="32"/>
  <c r="AF127" i="32"/>
  <c r="AF130" i="32"/>
  <c r="AF131" i="32"/>
  <c r="AF133" i="32"/>
  <c r="AF137" i="32"/>
  <c r="AF139" i="32"/>
  <c r="AF141" i="32"/>
  <c r="AF142" i="32"/>
  <c r="AF143" i="32"/>
  <c r="AF145" i="32"/>
  <c r="AF147" i="32"/>
  <c r="AF148" i="32"/>
  <c r="AF149" i="32"/>
  <c r="AF150" i="32"/>
  <c r="AF151" i="32"/>
  <c r="AF20" i="38"/>
  <c r="AF22" i="38"/>
  <c r="AF24" i="38"/>
  <c r="AF26" i="38"/>
  <c r="AF28" i="38"/>
  <c r="AF31" i="38"/>
  <c r="AF32" i="38"/>
  <c r="AF33" i="38"/>
  <c r="AF34" i="38"/>
  <c r="AF36" i="38"/>
  <c r="AF38" i="38"/>
  <c r="AF40" i="38"/>
  <c r="AF41" i="38"/>
  <c r="AF43" i="38"/>
  <c r="AF45" i="38"/>
  <c r="AF46" i="38"/>
  <c r="AF47" i="38"/>
  <c r="AF49" i="38"/>
  <c r="AF51" i="38"/>
  <c r="AF89" i="38"/>
  <c r="AF91" i="38"/>
  <c r="AF93" i="38"/>
  <c r="AF95" i="38"/>
  <c r="AF97" i="38"/>
  <c r="AF101" i="38"/>
  <c r="AF103" i="38"/>
  <c r="AF107" i="38"/>
  <c r="AF108" i="38"/>
  <c r="AF109" i="38"/>
  <c r="AF112" i="38"/>
  <c r="AF113" i="38"/>
  <c r="AF114" i="38"/>
  <c r="AF115" i="38"/>
  <c r="AF118" i="38"/>
  <c r="AF120" i="38"/>
  <c r="AF122" i="38"/>
  <c r="AF124" i="38"/>
  <c r="AF128" i="38"/>
  <c r="AF130" i="38"/>
  <c r="AF132" i="38"/>
  <c r="AF134" i="38"/>
  <c r="AF137" i="38"/>
  <c r="AF138" i="38"/>
  <c r="AF139" i="38"/>
  <c r="AF140" i="38"/>
  <c r="AF142" i="38"/>
  <c r="AF143" i="38"/>
  <c r="AF144" i="38"/>
  <c r="AF145" i="38"/>
  <c r="AF148" i="38"/>
  <c r="AF150" i="38"/>
  <c r="AF152" i="38"/>
  <c r="AF154" i="38"/>
  <c r="AF156" i="38"/>
  <c r="AF157" i="38"/>
  <c r="AF158" i="38"/>
  <c r="AF159" i="38"/>
  <c r="AF160" i="38"/>
  <c r="AF161" i="38"/>
  <c r="AF162" i="38"/>
  <c r="AF163" i="38"/>
  <c r="AF164" i="38"/>
  <c r="AF165" i="38"/>
  <c r="AF168" i="38"/>
  <c r="AF169" i="38"/>
  <c r="AF170" i="38"/>
  <c r="AF171" i="38"/>
  <c r="AF172" i="38"/>
  <c r="AF175" i="38"/>
  <c r="AF176" i="38"/>
  <c r="AF177" i="38"/>
  <c r="AF179" i="38"/>
  <c r="AF181" i="38"/>
  <c r="AF183" i="38"/>
  <c r="AF187" i="38"/>
  <c r="AF188" i="38"/>
  <c r="AF189" i="38"/>
  <c r="AF191" i="38"/>
  <c r="AF193" i="38"/>
  <c r="AF197" i="38"/>
  <c r="AF199" i="38"/>
  <c r="AF201" i="38"/>
  <c r="AF202" i="38"/>
  <c r="AF203" i="38"/>
  <c r="AF204" i="38"/>
  <c r="AF205" i="38"/>
  <c r="AF206" i="38"/>
  <c r="AF207" i="38"/>
  <c r="AF209" i="38"/>
  <c r="AF211" i="38"/>
  <c r="AF213" i="38"/>
  <c r="AG213" i="38"/>
  <c r="AF214" i="38"/>
  <c r="AF215" i="38"/>
  <c r="AF216" i="38"/>
  <c r="AF217" i="38"/>
  <c r="AF218" i="38"/>
  <c r="AF219" i="38"/>
  <c r="AF220" i="38"/>
  <c r="AF221" i="38"/>
  <c r="AF222" i="38"/>
  <c r="AF223" i="38"/>
  <c r="AF20" i="39"/>
  <c r="AF22" i="39"/>
  <c r="AF24" i="39"/>
  <c r="AF26" i="39"/>
  <c r="AF28" i="39"/>
  <c r="AF31" i="39"/>
  <c r="AF32" i="39"/>
  <c r="AF34" i="39"/>
  <c r="AF35" i="39"/>
  <c r="AF36" i="39"/>
  <c r="AF38" i="39"/>
  <c r="AF40" i="39"/>
  <c r="AF41" i="39"/>
  <c r="AF43" i="39"/>
  <c r="AF44" i="39"/>
  <c r="AF45" i="39"/>
  <c r="AF46" i="39"/>
  <c r="AF49" i="39"/>
  <c r="AF51" i="39"/>
  <c r="AF52" i="39"/>
  <c r="AF89" i="39"/>
  <c r="AF91" i="39"/>
  <c r="AF93" i="39"/>
  <c r="AF95" i="39"/>
  <c r="AF97" i="39"/>
  <c r="AF101" i="39"/>
  <c r="AF103" i="39"/>
  <c r="AF104" i="39"/>
  <c r="AF105" i="39"/>
  <c r="AF107" i="39"/>
  <c r="AF108" i="39"/>
  <c r="AF109" i="39"/>
  <c r="AF110" i="39"/>
  <c r="AF112" i="39"/>
  <c r="AF113" i="39"/>
  <c r="AF114" i="39"/>
  <c r="AF115" i="39"/>
  <c r="AF118" i="39"/>
  <c r="AF120" i="39"/>
  <c r="AF122" i="39"/>
  <c r="AF124" i="39"/>
  <c r="AF128" i="39"/>
  <c r="AF130" i="39"/>
  <c r="AF132" i="39"/>
  <c r="AF134" i="39"/>
  <c r="AF137" i="39"/>
  <c r="AF138" i="39"/>
  <c r="AF139" i="39"/>
  <c r="AF140" i="39"/>
  <c r="AF142" i="39"/>
  <c r="AF143" i="39"/>
  <c r="AF144" i="39"/>
  <c r="AF145" i="39"/>
  <c r="AF148" i="39"/>
  <c r="AF150" i="39"/>
  <c r="AF152" i="39"/>
  <c r="AF154" i="39"/>
  <c r="AF156" i="39"/>
  <c r="AF157" i="39"/>
  <c r="AF158" i="39"/>
  <c r="AF159" i="39"/>
  <c r="AF160" i="39"/>
  <c r="AF161" i="39"/>
  <c r="AF162" i="39"/>
  <c r="AF163" i="39"/>
  <c r="AF164" i="39"/>
  <c r="AF165" i="39"/>
  <c r="AF166" i="39"/>
  <c r="AF168" i="39"/>
  <c r="AF169" i="39"/>
  <c r="AF170" i="39"/>
  <c r="AF171" i="39"/>
  <c r="AF172" i="39"/>
  <c r="AF176" i="39"/>
  <c r="AF177" i="39"/>
  <c r="AF178" i="39"/>
  <c r="AF180" i="39"/>
  <c r="AF182" i="39"/>
  <c r="AF184" i="39"/>
  <c r="AF186" i="39"/>
  <c r="AF187" i="39"/>
  <c r="AF188" i="39"/>
  <c r="AF189" i="39"/>
  <c r="AF191" i="39"/>
  <c r="AF192" i="39"/>
  <c r="AF193" i="39"/>
  <c r="AF194" i="39"/>
  <c r="AF196" i="39"/>
  <c r="AF198" i="39"/>
  <c r="AF200" i="39"/>
  <c r="AF204" i="39"/>
  <c r="AF206" i="39"/>
  <c r="AF208" i="39"/>
  <c r="AF210" i="39"/>
  <c r="AF211" i="39"/>
  <c r="AF212" i="39"/>
  <c r="AF213" i="39"/>
  <c r="AF214" i="39"/>
  <c r="AF215" i="39"/>
  <c r="AF216" i="39"/>
  <c r="AF217" i="39"/>
  <c r="AF219" i="39"/>
  <c r="AF221" i="39"/>
  <c r="AF223" i="39"/>
  <c r="AF225" i="39"/>
  <c r="AF226" i="39"/>
  <c r="AF227" i="39"/>
  <c r="AF228" i="39"/>
  <c r="AF229" i="39"/>
  <c r="AF230" i="39"/>
  <c r="AF231" i="39"/>
  <c r="AF232" i="39"/>
  <c r="AF233" i="39"/>
  <c r="AF234" i="39"/>
  <c r="AF235" i="39"/>
  <c r="AF236" i="39"/>
  <c r="AF237" i="39"/>
  <c r="AF238" i="39"/>
  <c r="AF20" i="41"/>
  <c r="AF22" i="41"/>
  <c r="AF24" i="41"/>
  <c r="AF27" i="41"/>
  <c r="AF28" i="41"/>
  <c r="AF31" i="41"/>
  <c r="AF34" i="41"/>
  <c r="AF35" i="41"/>
  <c r="AF78" i="41"/>
  <c r="AF80" i="41"/>
  <c r="AF82" i="41"/>
  <c r="AF87" i="41"/>
  <c r="AF88" i="41"/>
  <c r="AF90" i="41"/>
  <c r="AF92" i="41"/>
  <c r="AF93" i="41"/>
  <c r="AF96" i="41"/>
  <c r="AF98" i="41"/>
  <c r="AF102" i="41"/>
  <c r="AF104" i="41"/>
  <c r="AF107" i="41"/>
  <c r="AF108" i="41"/>
  <c r="AF110" i="41"/>
  <c r="AF111" i="41"/>
  <c r="AF114" i="41"/>
  <c r="AF116" i="41"/>
  <c r="AF118" i="41"/>
  <c r="AF119" i="41"/>
  <c r="AF120" i="41"/>
  <c r="AF121" i="41"/>
  <c r="AF122" i="41"/>
  <c r="AF123" i="41"/>
  <c r="AF125" i="41"/>
  <c r="AF126" i="41"/>
  <c r="AF127" i="41"/>
  <c r="AF131" i="41"/>
  <c r="AF135" i="41"/>
  <c r="AF136" i="41"/>
  <c r="AF137" i="41"/>
  <c r="AF139" i="41"/>
  <c r="AF140" i="41"/>
  <c r="AF141" i="41"/>
  <c r="AF142" i="41"/>
  <c r="AF143" i="41"/>
  <c r="AF20" i="42"/>
  <c r="AF22" i="42"/>
  <c r="AF24" i="42"/>
  <c r="AF26" i="42"/>
  <c r="AF29" i="42"/>
  <c r="AF30" i="42"/>
  <c r="AF31" i="42"/>
  <c r="AF34" i="42"/>
  <c r="AF36" i="42"/>
  <c r="AF38" i="42"/>
  <c r="AF40" i="42"/>
  <c r="AF41" i="42"/>
  <c r="AF43" i="42"/>
  <c r="AF80" i="42"/>
  <c r="AF82" i="42"/>
  <c r="AF84" i="42"/>
  <c r="AF86" i="42"/>
  <c r="AF91" i="42"/>
  <c r="AF92" i="42"/>
  <c r="AF93" i="42"/>
  <c r="AF94" i="42"/>
  <c r="AF96" i="42"/>
  <c r="AF98" i="42"/>
  <c r="AF99" i="42"/>
  <c r="AF100" i="42"/>
  <c r="AF103" i="42"/>
  <c r="AF105" i="42"/>
  <c r="AF107" i="42"/>
  <c r="AF111" i="42"/>
  <c r="AF113" i="42"/>
  <c r="AF115" i="42"/>
  <c r="AF118" i="42"/>
  <c r="AF119" i="42"/>
  <c r="AF120" i="42"/>
  <c r="AF122" i="42"/>
  <c r="AF123" i="42"/>
  <c r="AF124" i="42"/>
  <c r="AF127" i="42"/>
  <c r="AF129" i="42"/>
  <c r="AF131" i="42"/>
  <c r="AF133" i="42"/>
  <c r="AF134" i="42"/>
  <c r="AF135" i="42"/>
  <c r="AF136" i="42"/>
  <c r="AF137" i="42"/>
  <c r="AF138" i="42"/>
  <c r="AF139" i="42"/>
  <c r="AF140" i="42"/>
  <c r="AF142" i="42"/>
  <c r="AF143" i="42"/>
  <c r="AF144" i="42"/>
  <c r="AF145" i="42"/>
  <c r="AF148" i="42"/>
  <c r="AF149" i="42"/>
  <c r="AF151" i="42"/>
  <c r="AF152" i="42"/>
  <c r="AF153" i="42"/>
  <c r="AF157" i="42"/>
  <c r="AF158" i="42"/>
  <c r="AF159" i="42"/>
  <c r="AF161" i="42"/>
  <c r="AF162" i="42"/>
  <c r="AF163" i="42"/>
  <c r="AF164" i="42"/>
  <c r="AF165" i="42"/>
  <c r="AF166" i="42"/>
  <c r="V166" i="42" l="1"/>
  <c r="V165" i="42"/>
  <c r="V164" i="42"/>
  <c r="V163" i="42"/>
  <c r="V162" i="42"/>
  <c r="V161" i="42"/>
  <c r="V160" i="42"/>
  <c r="V159" i="42"/>
  <c r="V158" i="42"/>
  <c r="V157" i="42"/>
  <c r="V156" i="42"/>
  <c r="V155" i="42"/>
  <c r="AF155" i="42" s="1"/>
  <c r="V154" i="42"/>
  <c r="V153" i="42"/>
  <c r="V152" i="42"/>
  <c r="V151" i="42"/>
  <c r="V148" i="42"/>
  <c r="V147" i="42"/>
  <c r="AF147" i="42" s="1"/>
  <c r="V146" i="42"/>
  <c r="AF146" i="42" s="1"/>
  <c r="V145" i="42"/>
  <c r="V144" i="42"/>
  <c r="V143" i="42"/>
  <c r="V142" i="42"/>
  <c r="V141" i="42"/>
  <c r="AF141" i="42" s="1"/>
  <c r="V140" i="42"/>
  <c r="V139" i="42"/>
  <c r="V138" i="42"/>
  <c r="V137" i="42"/>
  <c r="V136" i="42"/>
  <c r="V135" i="42"/>
  <c r="V134" i="42"/>
  <c r="V133" i="42"/>
  <c r="V132" i="42"/>
  <c r="V131" i="42"/>
  <c r="V130" i="42"/>
  <c r="V129" i="42"/>
  <c r="V128" i="42"/>
  <c r="V127" i="42"/>
  <c r="V126" i="42"/>
  <c r="V125" i="42"/>
  <c r="AF125" i="42" s="1"/>
  <c r="V124" i="42"/>
  <c r="V123" i="42"/>
  <c r="V122" i="42"/>
  <c r="V121" i="42"/>
  <c r="AF121" i="42" s="1"/>
  <c r="V120" i="42"/>
  <c r="V119" i="42"/>
  <c r="V118" i="42"/>
  <c r="V117" i="42"/>
  <c r="AF117" i="42" s="1"/>
  <c r="V116" i="42"/>
  <c r="V115" i="42"/>
  <c r="V114" i="42"/>
  <c r="V113" i="42"/>
  <c r="V112" i="42"/>
  <c r="V111" i="42"/>
  <c r="V110" i="42"/>
  <c r="V109" i="42"/>
  <c r="AF109" i="42" s="1"/>
  <c r="V108" i="42"/>
  <c r="V107" i="42"/>
  <c r="V106" i="42"/>
  <c r="V105" i="42"/>
  <c r="V104" i="42"/>
  <c r="V103" i="42"/>
  <c r="V102" i="42"/>
  <c r="V101" i="42"/>
  <c r="AF101" i="42" s="1"/>
  <c r="V100" i="42"/>
  <c r="V99" i="42"/>
  <c r="V98" i="42"/>
  <c r="V97" i="42"/>
  <c r="AF97" i="42" s="1"/>
  <c r="V96" i="42"/>
  <c r="V95" i="42"/>
  <c r="AF95" i="42" s="1"/>
  <c r="V94" i="42"/>
  <c r="V93" i="42"/>
  <c r="V92" i="42"/>
  <c r="V91" i="42"/>
  <c r="V90" i="42"/>
  <c r="AF90" i="42" s="1"/>
  <c r="V89" i="42"/>
  <c r="AF89" i="42" s="1"/>
  <c r="V88" i="42"/>
  <c r="V44" i="42"/>
  <c r="AF44" i="42" s="1"/>
  <c r="V43" i="42"/>
  <c r="V42" i="42"/>
  <c r="AF42" i="42" s="1"/>
  <c r="V41" i="42"/>
  <c r="V40" i="42"/>
  <c r="V39" i="42"/>
  <c r="AF39" i="42" s="1"/>
  <c r="V38" i="42"/>
  <c r="V37" i="42"/>
  <c r="AF37" i="42" s="1"/>
  <c r="V36" i="42"/>
  <c r="V35" i="42"/>
  <c r="AF35" i="42" s="1"/>
  <c r="V34" i="42"/>
  <c r="V33" i="42"/>
  <c r="AF33" i="42" s="1"/>
  <c r="V32" i="42"/>
  <c r="AF32" i="42" s="1"/>
  <c r="V31" i="42"/>
  <c r="V30" i="42"/>
  <c r="V29" i="42"/>
  <c r="V28" i="42"/>
  <c r="AF28" i="42" s="1"/>
  <c r="V143" i="41"/>
  <c r="V142" i="41"/>
  <c r="V141" i="41"/>
  <c r="V140" i="41"/>
  <c r="V139" i="41"/>
  <c r="V138" i="41"/>
  <c r="V137" i="41"/>
  <c r="V136" i="41"/>
  <c r="V135" i="41"/>
  <c r="V134" i="41"/>
  <c r="V133" i="41"/>
  <c r="AF133" i="41" s="1"/>
  <c r="V132" i="41"/>
  <c r="V131" i="41"/>
  <c r="V130" i="41"/>
  <c r="AF130" i="41" s="1"/>
  <c r="V129" i="41"/>
  <c r="AF129" i="41" s="1"/>
  <c r="V128" i="41"/>
  <c r="AF128" i="41" s="1"/>
  <c r="V127" i="41"/>
  <c r="V126" i="41"/>
  <c r="V125" i="41"/>
  <c r="V124" i="41"/>
  <c r="AF124" i="41" s="1"/>
  <c r="V123" i="41"/>
  <c r="V122" i="41"/>
  <c r="V121" i="41"/>
  <c r="V120" i="41"/>
  <c r="V119" i="41"/>
  <c r="V118" i="41"/>
  <c r="V117" i="41"/>
  <c r="V116" i="41"/>
  <c r="V115" i="41"/>
  <c r="V114" i="41"/>
  <c r="V113" i="41"/>
  <c r="V112" i="41"/>
  <c r="AF112" i="41" s="1"/>
  <c r="V111" i="41"/>
  <c r="V110" i="41"/>
  <c r="V109" i="41"/>
  <c r="AF109" i="41" s="1"/>
  <c r="V108" i="41"/>
  <c r="V107" i="41"/>
  <c r="V106" i="41"/>
  <c r="AF106" i="41" s="1"/>
  <c r="V105" i="41"/>
  <c r="V104" i="41"/>
  <c r="V103" i="41"/>
  <c r="V102" i="41"/>
  <c r="V101" i="41"/>
  <c r="V100" i="41"/>
  <c r="AF100" i="41" s="1"/>
  <c r="V99" i="41"/>
  <c r="V98" i="41"/>
  <c r="V97" i="41"/>
  <c r="V96" i="41"/>
  <c r="V95" i="41"/>
  <c r="V94" i="41"/>
  <c r="AF94" i="41" s="1"/>
  <c r="V93" i="41"/>
  <c r="V92" i="41"/>
  <c r="V91" i="41"/>
  <c r="AF91" i="41" s="1"/>
  <c r="V90" i="41"/>
  <c r="V89" i="41"/>
  <c r="AF89" i="41" s="1"/>
  <c r="V88" i="41"/>
  <c r="V87" i="41"/>
  <c r="V86" i="41"/>
  <c r="AF86" i="41" s="1"/>
  <c r="V85" i="41"/>
  <c r="AF85" i="41" s="1"/>
  <c r="V84" i="41"/>
  <c r="V38" i="41"/>
  <c r="AF38" i="41" s="1"/>
  <c r="V37" i="41"/>
  <c r="AF37" i="41" s="1"/>
  <c r="V36" i="41"/>
  <c r="AF36" i="41" s="1"/>
  <c r="V35" i="41"/>
  <c r="V34" i="41"/>
  <c r="V33" i="41"/>
  <c r="AF33" i="41" s="1"/>
  <c r="V32" i="41"/>
  <c r="AF32" i="41" s="1"/>
  <c r="V31" i="41"/>
  <c r="V30" i="41"/>
  <c r="AF30" i="41" s="1"/>
  <c r="V29" i="41"/>
  <c r="AF29" i="41" s="1"/>
  <c r="V28" i="41"/>
  <c r="V27" i="41"/>
  <c r="V26" i="41"/>
  <c r="AF26" i="41" s="1"/>
  <c r="V238" i="39"/>
  <c r="V237" i="39"/>
  <c r="V236" i="39"/>
  <c r="V235" i="39"/>
  <c r="V234" i="39"/>
  <c r="V233" i="39"/>
  <c r="V232" i="39"/>
  <c r="V231" i="39"/>
  <c r="V230" i="39"/>
  <c r="V229" i="39"/>
  <c r="V228" i="39"/>
  <c r="V227" i="39"/>
  <c r="V226" i="39"/>
  <c r="V225" i="39"/>
  <c r="V224" i="39"/>
  <c r="V223" i="39"/>
  <c r="V222" i="39"/>
  <c r="V221" i="39"/>
  <c r="V220" i="39"/>
  <c r="V219" i="39"/>
  <c r="V218" i="39"/>
  <c r="V217" i="39"/>
  <c r="V216" i="39"/>
  <c r="V215" i="39"/>
  <c r="V214" i="39"/>
  <c r="V213" i="39"/>
  <c r="V212" i="39"/>
  <c r="V211" i="39"/>
  <c r="V210" i="39"/>
  <c r="V209" i="39"/>
  <c r="V208" i="39"/>
  <c r="V207" i="39"/>
  <c r="V206" i="39"/>
  <c r="V205" i="39"/>
  <c r="V204" i="39"/>
  <c r="V203" i="39"/>
  <c r="V202" i="39"/>
  <c r="AF202" i="39" s="1"/>
  <c r="V201" i="39"/>
  <c r="V200" i="39"/>
  <c r="V199" i="39"/>
  <c r="V198" i="39"/>
  <c r="V197" i="39"/>
  <c r="V196" i="39"/>
  <c r="V195" i="39"/>
  <c r="V194" i="39"/>
  <c r="V193" i="39"/>
  <c r="V192" i="39"/>
  <c r="V191" i="39"/>
  <c r="V190" i="39"/>
  <c r="AF190" i="39" s="1"/>
  <c r="V189" i="39"/>
  <c r="V188" i="39"/>
  <c r="V187" i="39"/>
  <c r="V186" i="39"/>
  <c r="V177" i="39"/>
  <c r="V176" i="39"/>
  <c r="V175" i="39"/>
  <c r="AF175" i="39" s="1"/>
  <c r="V174" i="39"/>
  <c r="AF174" i="39" s="1"/>
  <c r="V173" i="39"/>
  <c r="AF173" i="39" s="1"/>
  <c r="V172" i="39"/>
  <c r="V171" i="39"/>
  <c r="V170" i="39"/>
  <c r="V169" i="39"/>
  <c r="V168" i="39"/>
  <c r="V167" i="39"/>
  <c r="AF167" i="39" s="1"/>
  <c r="V166" i="39"/>
  <c r="V165" i="39"/>
  <c r="V164" i="39"/>
  <c r="V163" i="39"/>
  <c r="V162" i="39"/>
  <c r="V161" i="39"/>
  <c r="V160" i="39"/>
  <c r="V159" i="39"/>
  <c r="V158" i="39"/>
  <c r="V157" i="39"/>
  <c r="V156" i="39"/>
  <c r="V155" i="39"/>
  <c r="V154" i="39"/>
  <c r="V153" i="39"/>
  <c r="V152" i="39"/>
  <c r="V151" i="39"/>
  <c r="V150" i="39"/>
  <c r="V149" i="39"/>
  <c r="V148" i="39"/>
  <c r="V147" i="39"/>
  <c r="V146" i="39"/>
  <c r="AF146" i="39" s="1"/>
  <c r="V145" i="39"/>
  <c r="V144" i="39"/>
  <c r="V143" i="39"/>
  <c r="V142" i="39"/>
  <c r="V141" i="39"/>
  <c r="AF141" i="39" s="1"/>
  <c r="V140" i="39"/>
  <c r="V139" i="39"/>
  <c r="V138" i="39"/>
  <c r="V137" i="39"/>
  <c r="V136" i="39"/>
  <c r="AF136" i="39" s="1"/>
  <c r="V135" i="39"/>
  <c r="V134" i="39"/>
  <c r="V133" i="39"/>
  <c r="V132" i="39"/>
  <c r="V131" i="39"/>
  <c r="V130" i="39"/>
  <c r="V129" i="39"/>
  <c r="V128" i="39"/>
  <c r="V127" i="39"/>
  <c r="V126" i="39"/>
  <c r="AF126" i="39" s="1"/>
  <c r="V125" i="39"/>
  <c r="V124" i="39"/>
  <c r="V123" i="39"/>
  <c r="V122" i="39"/>
  <c r="V121" i="39"/>
  <c r="V120" i="39"/>
  <c r="V119" i="39"/>
  <c r="V118" i="39"/>
  <c r="V117" i="39"/>
  <c r="V116" i="39"/>
  <c r="AF116" i="39" s="1"/>
  <c r="V115" i="39"/>
  <c r="V114" i="39"/>
  <c r="V113" i="39"/>
  <c r="V112" i="39"/>
  <c r="V111" i="39"/>
  <c r="AF111" i="39" s="1"/>
  <c r="V110" i="39"/>
  <c r="V109" i="39"/>
  <c r="V108" i="39"/>
  <c r="V107" i="39"/>
  <c r="V106" i="39"/>
  <c r="AF106" i="39" s="1"/>
  <c r="V105" i="39"/>
  <c r="V104" i="39"/>
  <c r="V103" i="39"/>
  <c r="V102" i="39"/>
  <c r="AF102" i="39" s="1"/>
  <c r="V101" i="39"/>
  <c r="V100" i="39"/>
  <c r="AF100" i="39" s="1"/>
  <c r="V99" i="39"/>
  <c r="V52" i="39"/>
  <c r="V51" i="39"/>
  <c r="V50" i="39"/>
  <c r="AF50" i="39" s="1"/>
  <c r="V49" i="39"/>
  <c r="V48" i="39"/>
  <c r="AF48" i="39" s="1"/>
  <c r="V47" i="39"/>
  <c r="AF47" i="39" s="1"/>
  <c r="V46" i="39"/>
  <c r="V45" i="39"/>
  <c r="V44" i="39"/>
  <c r="V43" i="39"/>
  <c r="V42" i="39"/>
  <c r="AF42" i="39" s="1"/>
  <c r="V41" i="39"/>
  <c r="V40" i="39"/>
  <c r="V39" i="39"/>
  <c r="AF39" i="39" s="1"/>
  <c r="V38" i="39"/>
  <c r="V37" i="39"/>
  <c r="AF37" i="39" s="1"/>
  <c r="V36" i="39"/>
  <c r="V35" i="39"/>
  <c r="V34" i="39"/>
  <c r="V33" i="39"/>
  <c r="AF33" i="39" s="1"/>
  <c r="V32" i="39"/>
  <c r="V31" i="39"/>
  <c r="V30" i="39"/>
  <c r="V223" i="38"/>
  <c r="V222" i="38"/>
  <c r="V221" i="38"/>
  <c r="V220" i="38"/>
  <c r="V219" i="38"/>
  <c r="V218" i="38"/>
  <c r="V217" i="38"/>
  <c r="V216" i="38"/>
  <c r="V215" i="38"/>
  <c r="V214" i="38"/>
  <c r="V213" i="38"/>
  <c r="V212" i="38"/>
  <c r="V211" i="38"/>
  <c r="V210" i="38"/>
  <c r="V209" i="38"/>
  <c r="V208" i="38"/>
  <c r="V207" i="38"/>
  <c r="V206" i="38"/>
  <c r="V205" i="38"/>
  <c r="V204" i="38"/>
  <c r="V203" i="38"/>
  <c r="V202" i="38"/>
  <c r="V201" i="38"/>
  <c r="V200" i="38"/>
  <c r="V199" i="38"/>
  <c r="V198" i="38"/>
  <c r="V197" i="38"/>
  <c r="V196" i="38"/>
  <c r="V195" i="38"/>
  <c r="AF195" i="38" s="1"/>
  <c r="V194" i="38"/>
  <c r="V193" i="38"/>
  <c r="V192" i="38"/>
  <c r="V191" i="38"/>
  <c r="V190" i="38"/>
  <c r="V189" i="38"/>
  <c r="V188" i="38"/>
  <c r="V187" i="38"/>
  <c r="V186" i="38"/>
  <c r="AF186" i="38" s="1"/>
  <c r="V185" i="38"/>
  <c r="AF185" i="38" s="1"/>
  <c r="V184" i="38"/>
  <c r="AF184" i="38" s="1"/>
  <c r="V183" i="38"/>
  <c r="V176" i="38"/>
  <c r="V175" i="38"/>
  <c r="V174" i="38"/>
  <c r="AF174" i="38" s="1"/>
  <c r="V173" i="38"/>
  <c r="AF173" i="38" s="1"/>
  <c r="V172" i="38"/>
  <c r="V171" i="38"/>
  <c r="V170" i="38"/>
  <c r="V169" i="38"/>
  <c r="V168" i="38"/>
  <c r="V167" i="38"/>
  <c r="AF167" i="38" s="1"/>
  <c r="V166" i="38"/>
  <c r="AF166" i="38" s="1"/>
  <c r="V165" i="38"/>
  <c r="V164" i="38"/>
  <c r="V163" i="38"/>
  <c r="V162" i="38"/>
  <c r="V161" i="38"/>
  <c r="V160" i="38"/>
  <c r="V159" i="38"/>
  <c r="V158" i="38"/>
  <c r="V157" i="38"/>
  <c r="V156" i="38"/>
  <c r="V155" i="38"/>
  <c r="V154" i="38"/>
  <c r="V153" i="38"/>
  <c r="V152" i="38"/>
  <c r="V151" i="38"/>
  <c r="V150" i="38"/>
  <c r="V149" i="38"/>
  <c r="V148" i="38"/>
  <c r="V147" i="38"/>
  <c r="V146" i="38"/>
  <c r="AF146" i="38" s="1"/>
  <c r="V145" i="38"/>
  <c r="V144" i="38"/>
  <c r="V143" i="38"/>
  <c r="V142" i="38"/>
  <c r="V141" i="38"/>
  <c r="AF141" i="38" s="1"/>
  <c r="V140" i="38"/>
  <c r="V139" i="38"/>
  <c r="V138" i="38"/>
  <c r="V137" i="38"/>
  <c r="V136" i="38"/>
  <c r="AF136" i="38" s="1"/>
  <c r="V135" i="38"/>
  <c r="V134" i="38"/>
  <c r="V133" i="38"/>
  <c r="V132" i="38"/>
  <c r="V131" i="38"/>
  <c r="V130" i="38"/>
  <c r="V129" i="38"/>
  <c r="V128" i="38"/>
  <c r="V127" i="38"/>
  <c r="V126" i="38"/>
  <c r="AF126" i="38" s="1"/>
  <c r="V125" i="38"/>
  <c r="V124" i="38"/>
  <c r="V123" i="38"/>
  <c r="V122" i="38"/>
  <c r="V121" i="38"/>
  <c r="V120" i="38"/>
  <c r="V119" i="38"/>
  <c r="V118" i="38"/>
  <c r="V117" i="38"/>
  <c r="V116" i="38"/>
  <c r="AF116" i="38" s="1"/>
  <c r="V115" i="38"/>
  <c r="V114" i="38"/>
  <c r="V113" i="38"/>
  <c r="V112" i="38"/>
  <c r="V111" i="38"/>
  <c r="AF111" i="38" s="1"/>
  <c r="V110" i="38"/>
  <c r="AF110" i="38" s="1"/>
  <c r="V109" i="38"/>
  <c r="V108" i="38"/>
  <c r="V107" i="38"/>
  <c r="V106" i="38"/>
  <c r="AF106" i="38" s="1"/>
  <c r="V105" i="38"/>
  <c r="AF105" i="38" s="1"/>
  <c r="V104" i="38"/>
  <c r="AF104" i="38" s="1"/>
  <c r="V103" i="38"/>
  <c r="V102" i="38"/>
  <c r="AF102" i="38" s="1"/>
  <c r="V101" i="38"/>
  <c r="V100" i="38"/>
  <c r="AF100" i="38" s="1"/>
  <c r="V99" i="38"/>
  <c r="V51" i="38"/>
  <c r="V50" i="38"/>
  <c r="AF50" i="38" s="1"/>
  <c r="V49" i="38"/>
  <c r="V48" i="38"/>
  <c r="AF48" i="38" s="1"/>
  <c r="V47" i="38"/>
  <c r="V46" i="38"/>
  <c r="V45" i="38"/>
  <c r="V44" i="38"/>
  <c r="AF44" i="38" s="1"/>
  <c r="V43" i="38"/>
  <c r="V42" i="38"/>
  <c r="AF42" i="38" s="1"/>
  <c r="V41" i="38"/>
  <c r="V40" i="38"/>
  <c r="V39" i="38"/>
  <c r="AF39" i="38" s="1"/>
  <c r="V38" i="38"/>
  <c r="V37" i="38"/>
  <c r="AF37" i="38" s="1"/>
  <c r="V36" i="38"/>
  <c r="V35" i="38"/>
  <c r="AF35" i="38" s="1"/>
  <c r="V34" i="38"/>
  <c r="V33" i="38"/>
  <c r="V32" i="38"/>
  <c r="V31" i="38"/>
  <c r="V30" i="38"/>
  <c r="V151" i="32"/>
  <c r="V150" i="32"/>
  <c r="V149" i="32"/>
  <c r="V148" i="32"/>
  <c r="V147" i="32"/>
  <c r="V146" i="32"/>
  <c r="AF146" i="32" s="1"/>
  <c r="V145" i="32"/>
  <c r="V144" i="32"/>
  <c r="V143" i="32"/>
  <c r="V142" i="32"/>
  <c r="V141" i="32"/>
  <c r="V140" i="32"/>
  <c r="V139" i="32"/>
  <c r="V138" i="32"/>
  <c r="V137" i="32"/>
  <c r="V136" i="32"/>
  <c r="V135" i="32"/>
  <c r="AF135" i="32" s="1"/>
  <c r="V134" i="32"/>
  <c r="V133" i="32"/>
  <c r="V132" i="32"/>
  <c r="AF132" i="32" s="1"/>
  <c r="V131" i="32"/>
  <c r="V130" i="32"/>
  <c r="V129" i="32"/>
  <c r="AF129" i="32" s="1"/>
  <c r="V128" i="32"/>
  <c r="AF128" i="32" s="1"/>
  <c r="V127" i="32"/>
  <c r="V126" i="32"/>
  <c r="AF126" i="32" s="1"/>
  <c r="V125" i="32"/>
  <c r="V124" i="32"/>
  <c r="V123" i="32"/>
  <c r="AF123" i="32" s="1"/>
  <c r="V122" i="32"/>
  <c r="V121" i="32"/>
  <c r="V120" i="32"/>
  <c r="V119" i="32"/>
  <c r="V118" i="32"/>
  <c r="V117" i="32"/>
  <c r="V116" i="32"/>
  <c r="V115" i="32"/>
  <c r="V114" i="32"/>
  <c r="V113" i="32"/>
  <c r="V112" i="32"/>
  <c r="V111" i="32"/>
  <c r="V110" i="32"/>
  <c r="AF110" i="32" s="1"/>
  <c r="V109" i="32"/>
  <c r="V108" i="32"/>
  <c r="V107" i="32"/>
  <c r="AF107" i="32" s="1"/>
  <c r="V106" i="32"/>
  <c r="V105" i="32"/>
  <c r="V104" i="32"/>
  <c r="AF104" i="32" s="1"/>
  <c r="V103" i="32"/>
  <c r="V102" i="32"/>
  <c r="V101" i="32"/>
  <c r="V100" i="32"/>
  <c r="V99" i="32"/>
  <c r="V98" i="32"/>
  <c r="AF98" i="32" s="1"/>
  <c r="V97" i="32"/>
  <c r="V96" i="32"/>
  <c r="V95" i="32"/>
  <c r="V94" i="32"/>
  <c r="V93" i="32"/>
  <c r="V92" i="32"/>
  <c r="AF92" i="32" s="1"/>
  <c r="V91" i="32"/>
  <c r="V90" i="32"/>
  <c r="V89" i="32"/>
  <c r="AF89" i="32" s="1"/>
  <c r="V88" i="32"/>
  <c r="V87" i="32"/>
  <c r="V86" i="32"/>
  <c r="AF86" i="32" s="1"/>
  <c r="V85" i="32"/>
  <c r="V84" i="32"/>
  <c r="V83" i="32"/>
  <c r="AF83" i="32" s="1"/>
  <c r="V82" i="32"/>
  <c r="AF82" i="32" s="1"/>
  <c r="V81" i="32"/>
  <c r="V26" i="32"/>
  <c r="AF26" i="32" s="1"/>
  <c r="K166" i="42"/>
  <c r="AG166" i="42" s="1"/>
  <c r="K165" i="42"/>
  <c r="AG165" i="42" s="1"/>
  <c r="K164" i="42"/>
  <c r="AG164" i="42" s="1"/>
  <c r="K163" i="42"/>
  <c r="AG163" i="42" s="1"/>
  <c r="K162" i="42"/>
  <c r="AG162" i="42" s="1"/>
  <c r="K161" i="42"/>
  <c r="AG161" i="42" s="1"/>
  <c r="K158" i="42"/>
  <c r="AG158" i="42" s="1"/>
  <c r="K157" i="42"/>
  <c r="AG157" i="42" s="1"/>
  <c r="K152" i="42"/>
  <c r="AG152" i="42" s="1"/>
  <c r="K151" i="42"/>
  <c r="AG151" i="42" s="1"/>
  <c r="K148" i="42"/>
  <c r="AG148" i="42" s="1"/>
  <c r="K147" i="42"/>
  <c r="AG147" i="42" s="1"/>
  <c r="K146" i="42"/>
  <c r="AG146" i="42" s="1"/>
  <c r="K145" i="42"/>
  <c r="AG145" i="42" s="1"/>
  <c r="K144" i="42"/>
  <c r="AG144" i="42" s="1"/>
  <c r="K143" i="42"/>
  <c r="AG143" i="42" s="1"/>
  <c r="K142" i="42"/>
  <c r="AG142" i="42" s="1"/>
  <c r="K141" i="42"/>
  <c r="AG141" i="42" s="1"/>
  <c r="K140" i="42"/>
  <c r="AG140" i="42" s="1"/>
  <c r="K139" i="42"/>
  <c r="AG139" i="42" s="1"/>
  <c r="K138" i="42"/>
  <c r="AG138" i="42" s="1"/>
  <c r="K137" i="42"/>
  <c r="AG137" i="42" s="1"/>
  <c r="K136" i="42"/>
  <c r="AG136" i="42" s="1"/>
  <c r="K135" i="42"/>
  <c r="AG135" i="42" s="1"/>
  <c r="K134" i="42"/>
  <c r="AG134" i="42" s="1"/>
  <c r="K133" i="42"/>
  <c r="AG133" i="42" s="1"/>
  <c r="K124" i="42"/>
  <c r="AG124" i="42" s="1"/>
  <c r="K123" i="42"/>
  <c r="AG123" i="42" s="1"/>
  <c r="K122" i="42"/>
  <c r="AG122" i="42" s="1"/>
  <c r="K121" i="42"/>
  <c r="AG121" i="42" s="1"/>
  <c r="K120" i="42"/>
  <c r="AG120" i="42" s="1"/>
  <c r="K119" i="42"/>
  <c r="AG119" i="42" s="1"/>
  <c r="K118" i="42"/>
  <c r="AG118" i="42" s="1"/>
  <c r="K117" i="42"/>
  <c r="AG117" i="42" s="1"/>
  <c r="K100" i="42"/>
  <c r="AG100" i="42" s="1"/>
  <c r="K99" i="42"/>
  <c r="AG99" i="42" s="1"/>
  <c r="K98" i="42"/>
  <c r="AG98" i="42" s="1"/>
  <c r="K97" i="42"/>
  <c r="AG97" i="42" s="1"/>
  <c r="K96" i="42"/>
  <c r="AG96" i="42" s="1"/>
  <c r="K95" i="42"/>
  <c r="AG95" i="42" s="1"/>
  <c r="K94" i="42"/>
  <c r="AG94" i="42" s="1"/>
  <c r="K93" i="42"/>
  <c r="AG93" i="42" s="1"/>
  <c r="K92" i="42"/>
  <c r="AG92" i="42" s="1"/>
  <c r="K91" i="42"/>
  <c r="AG91" i="42" s="1"/>
  <c r="K90" i="42"/>
  <c r="AG90" i="42" s="1"/>
  <c r="K89" i="42"/>
  <c r="AG89" i="42" s="1"/>
  <c r="K88" i="42"/>
  <c r="AG88" i="42" s="1"/>
  <c r="K159" i="42"/>
  <c r="AG159" i="42" s="1"/>
  <c r="K155" i="42"/>
  <c r="AG155" i="42" s="1"/>
  <c r="K153" i="42"/>
  <c r="AG153" i="42" s="1"/>
  <c r="K149" i="42"/>
  <c r="AG149" i="42" s="1"/>
  <c r="K131" i="42"/>
  <c r="AG131" i="42" s="1"/>
  <c r="K129" i="42"/>
  <c r="AG129" i="42" s="1"/>
  <c r="K127" i="42"/>
  <c r="AG127" i="42" s="1"/>
  <c r="K125" i="42"/>
  <c r="AG125" i="42" s="1"/>
  <c r="K115" i="42"/>
  <c r="AG115" i="42" s="1"/>
  <c r="K113" i="42"/>
  <c r="AG113" i="42" s="1"/>
  <c r="K111" i="42"/>
  <c r="AG111" i="42" s="1"/>
  <c r="K109" i="42"/>
  <c r="AG109" i="42" s="1"/>
  <c r="K107" i="42"/>
  <c r="AG107" i="42" s="1"/>
  <c r="K105" i="42"/>
  <c r="AG105" i="42" s="1"/>
  <c r="K103" i="42"/>
  <c r="AG103" i="42" s="1"/>
  <c r="K101" i="42"/>
  <c r="AG101" i="42" s="1"/>
  <c r="K86" i="42"/>
  <c r="AG86" i="42" s="1"/>
  <c r="K84" i="42"/>
  <c r="AG84" i="42" s="1"/>
  <c r="K82" i="42"/>
  <c r="AG82" i="42" s="1"/>
  <c r="K80" i="42"/>
  <c r="AG80" i="42" s="1"/>
  <c r="K44" i="42"/>
  <c r="AG44" i="42" s="1"/>
  <c r="K43" i="42"/>
  <c r="AG43" i="42" s="1"/>
  <c r="K42" i="42"/>
  <c r="AG42" i="42" s="1"/>
  <c r="K41" i="42"/>
  <c r="AG41" i="42" s="1"/>
  <c r="K40" i="42"/>
  <c r="AG40" i="42" s="1"/>
  <c r="K39" i="42"/>
  <c r="AG39" i="42" s="1"/>
  <c r="K38" i="42"/>
  <c r="AG38" i="42" s="1"/>
  <c r="K37" i="42"/>
  <c r="AG37" i="42" s="1"/>
  <c r="K36" i="42"/>
  <c r="AG36" i="42" s="1"/>
  <c r="K35" i="42"/>
  <c r="AG35" i="42" s="1"/>
  <c r="K34" i="42"/>
  <c r="AG34" i="42" s="1"/>
  <c r="K33" i="42"/>
  <c r="AG33" i="42" s="1"/>
  <c r="K32" i="42"/>
  <c r="AG32" i="42" s="1"/>
  <c r="K31" i="42"/>
  <c r="AG31" i="42" s="1"/>
  <c r="K30" i="42"/>
  <c r="AG30" i="42" s="1"/>
  <c r="K29" i="42"/>
  <c r="AG29" i="42" s="1"/>
  <c r="K28" i="42"/>
  <c r="AG28" i="42" s="1"/>
  <c r="K26" i="42"/>
  <c r="AG26" i="42" s="1"/>
  <c r="K24" i="42"/>
  <c r="AG24" i="42" s="1"/>
  <c r="K22" i="42"/>
  <c r="AG22" i="42" s="1"/>
  <c r="K20" i="42"/>
  <c r="AG20" i="42" s="1"/>
  <c r="K143" i="41"/>
  <c r="AG143" i="41" s="1"/>
  <c r="K142" i="41"/>
  <c r="AG142" i="41" s="1"/>
  <c r="K141" i="41"/>
  <c r="AG141" i="41" s="1"/>
  <c r="K140" i="41"/>
  <c r="AG140" i="41" s="1"/>
  <c r="K139" i="41"/>
  <c r="AG139" i="41" s="1"/>
  <c r="K136" i="41"/>
  <c r="AG136" i="41" s="1"/>
  <c r="K135" i="41"/>
  <c r="AG135" i="41" s="1"/>
  <c r="K130" i="41"/>
  <c r="AG130" i="41" s="1"/>
  <c r="K129" i="41"/>
  <c r="AG129" i="41" s="1"/>
  <c r="K128" i="41"/>
  <c r="AG128" i="41" s="1"/>
  <c r="K127" i="41"/>
  <c r="AG127" i="41" s="1"/>
  <c r="K126" i="41"/>
  <c r="AG126" i="41" s="1"/>
  <c r="K125" i="41"/>
  <c r="AG125" i="41" s="1"/>
  <c r="K124" i="41"/>
  <c r="AG124" i="41" s="1"/>
  <c r="K123" i="41"/>
  <c r="AG123" i="41" s="1"/>
  <c r="K122" i="41"/>
  <c r="AG122" i="41" s="1"/>
  <c r="K121" i="41"/>
  <c r="AG121" i="41" s="1"/>
  <c r="K120" i="41"/>
  <c r="AG120" i="41" s="1"/>
  <c r="K119" i="41"/>
  <c r="AG119" i="41" s="1"/>
  <c r="K118" i="41"/>
  <c r="AG118" i="41" s="1"/>
  <c r="K111" i="41"/>
  <c r="AG111" i="41" s="1"/>
  <c r="K110" i="41"/>
  <c r="AG110" i="41" s="1"/>
  <c r="K109" i="41"/>
  <c r="AG109" i="41" s="1"/>
  <c r="K108" i="41"/>
  <c r="AG108" i="41" s="1"/>
  <c r="K107" i="41"/>
  <c r="AG107" i="41" s="1"/>
  <c r="K106" i="41"/>
  <c r="AG106" i="41" s="1"/>
  <c r="K93" i="41"/>
  <c r="AG93" i="41" s="1"/>
  <c r="K92" i="41"/>
  <c r="AG92" i="41" s="1"/>
  <c r="K91" i="41"/>
  <c r="AG91" i="41" s="1"/>
  <c r="K90" i="41"/>
  <c r="AG90" i="41" s="1"/>
  <c r="K89" i="41"/>
  <c r="AG89" i="41" s="1"/>
  <c r="K88" i="41"/>
  <c r="AG88" i="41" s="1"/>
  <c r="K87" i="41"/>
  <c r="AG87" i="41" s="1"/>
  <c r="K86" i="41"/>
  <c r="AG86" i="41" s="1"/>
  <c r="K85" i="41"/>
  <c r="AG85" i="41" s="1"/>
  <c r="K84" i="41"/>
  <c r="AG84" i="41" s="1"/>
  <c r="K137" i="41"/>
  <c r="AG137" i="41" s="1"/>
  <c r="K133" i="41"/>
  <c r="AG133" i="41" s="1"/>
  <c r="K131" i="41"/>
  <c r="AG131" i="41" s="1"/>
  <c r="K116" i="41"/>
  <c r="AG116" i="41" s="1"/>
  <c r="K114" i="41"/>
  <c r="AG114" i="41" s="1"/>
  <c r="K112" i="41"/>
  <c r="AG112" i="41" s="1"/>
  <c r="K104" i="41"/>
  <c r="AG104" i="41" s="1"/>
  <c r="K102" i="41"/>
  <c r="AG102" i="41" s="1"/>
  <c r="K100" i="41"/>
  <c r="AG100" i="41" s="1"/>
  <c r="K98" i="41"/>
  <c r="AG98" i="41" s="1"/>
  <c r="K96" i="41"/>
  <c r="AG96" i="41" s="1"/>
  <c r="K94" i="41"/>
  <c r="AG94" i="41" s="1"/>
  <c r="K24" i="41"/>
  <c r="AG24" i="41" s="1"/>
  <c r="K22" i="41"/>
  <c r="AG22" i="41" s="1"/>
  <c r="K20" i="41"/>
  <c r="AG20" i="41" s="1"/>
  <c r="K38" i="41"/>
  <c r="AG38" i="41" s="1"/>
  <c r="K37" i="41"/>
  <c r="AG37" i="41" s="1"/>
  <c r="K36" i="41"/>
  <c r="AG36" i="41" s="1"/>
  <c r="K35" i="41"/>
  <c r="AG35" i="41" s="1"/>
  <c r="K34" i="41"/>
  <c r="AG34" i="41" s="1"/>
  <c r="K33" i="41"/>
  <c r="AG33" i="41" s="1"/>
  <c r="K32" i="41"/>
  <c r="AG32" i="41" s="1"/>
  <c r="K31" i="41"/>
  <c r="AG31" i="41" s="1"/>
  <c r="K30" i="41"/>
  <c r="AG30" i="41" s="1"/>
  <c r="K29" i="41"/>
  <c r="AG29" i="41" s="1"/>
  <c r="K28" i="41"/>
  <c r="AG28" i="41" s="1"/>
  <c r="K27" i="41"/>
  <c r="AG27" i="41" s="1"/>
  <c r="K26" i="41"/>
  <c r="AG26" i="41" s="1"/>
  <c r="K82" i="41"/>
  <c r="AG82" i="41" s="1"/>
  <c r="K80" i="41"/>
  <c r="AG80" i="41" s="1"/>
  <c r="K78" i="41"/>
  <c r="AG78" i="41" s="1"/>
  <c r="K238" i="39"/>
  <c r="AG238" i="39" s="1"/>
  <c r="K237" i="39"/>
  <c r="AG237" i="39" s="1"/>
  <c r="K236" i="39"/>
  <c r="AG236" i="39" s="1"/>
  <c r="K235" i="39"/>
  <c r="AG235" i="39" s="1"/>
  <c r="K234" i="39"/>
  <c r="AG234" i="39" s="1"/>
  <c r="K233" i="39"/>
  <c r="AG233" i="39" s="1"/>
  <c r="K232" i="39"/>
  <c r="AG232" i="39" s="1"/>
  <c r="K231" i="39"/>
  <c r="AG231" i="39" s="1"/>
  <c r="K230" i="39"/>
  <c r="AG230" i="39" s="1"/>
  <c r="K229" i="39"/>
  <c r="AG229" i="39" s="1"/>
  <c r="K228" i="39"/>
  <c r="AG228" i="39" s="1"/>
  <c r="K227" i="39"/>
  <c r="AG227" i="39" s="1"/>
  <c r="K226" i="39"/>
  <c r="AG226" i="39" s="1"/>
  <c r="K225" i="39"/>
  <c r="AG225" i="39" s="1"/>
  <c r="K216" i="39"/>
  <c r="AG216" i="39" s="1"/>
  <c r="K215" i="39"/>
  <c r="AG215" i="39" s="1"/>
  <c r="K214" i="39"/>
  <c r="AG214" i="39" s="1"/>
  <c r="K213" i="39"/>
  <c r="AG213" i="39" s="1"/>
  <c r="K212" i="39"/>
  <c r="AG212" i="39" s="1"/>
  <c r="K211" i="39"/>
  <c r="AG211" i="39" s="1"/>
  <c r="K210" i="39"/>
  <c r="AG210" i="39" s="1"/>
  <c r="K193" i="39"/>
  <c r="AG193" i="39" s="1"/>
  <c r="K192" i="39"/>
  <c r="AG192" i="39" s="1"/>
  <c r="K191" i="39"/>
  <c r="AG191" i="39" s="1"/>
  <c r="K190" i="39"/>
  <c r="AG190" i="39" s="1"/>
  <c r="K189" i="39"/>
  <c r="AG189" i="39" s="1"/>
  <c r="K188" i="39"/>
  <c r="AG188" i="39" s="1"/>
  <c r="K187" i="39"/>
  <c r="AG187" i="39" s="1"/>
  <c r="K186" i="39"/>
  <c r="AG186" i="39" s="1"/>
  <c r="K177" i="39"/>
  <c r="AG177" i="39" s="1"/>
  <c r="K176" i="39"/>
  <c r="AG176" i="39" s="1"/>
  <c r="K175" i="39"/>
  <c r="AG175" i="39" s="1"/>
  <c r="K174" i="39"/>
  <c r="AG174" i="39" s="1"/>
  <c r="K173" i="39"/>
  <c r="AG173" i="39" s="1"/>
  <c r="K172" i="39"/>
  <c r="AG172" i="39" s="1"/>
  <c r="K171" i="39"/>
  <c r="AG171" i="39" s="1"/>
  <c r="K170" i="39"/>
  <c r="AG170" i="39" s="1"/>
  <c r="K169" i="39"/>
  <c r="AG169" i="39" s="1"/>
  <c r="K168" i="39"/>
  <c r="AG168" i="39" s="1"/>
  <c r="K167" i="39"/>
  <c r="AG167" i="39" s="1"/>
  <c r="K166" i="39"/>
  <c r="AG166" i="39" s="1"/>
  <c r="K165" i="39"/>
  <c r="AG165" i="39" s="1"/>
  <c r="K164" i="39"/>
  <c r="AG164" i="39" s="1"/>
  <c r="K163" i="39"/>
  <c r="AG163" i="39" s="1"/>
  <c r="K162" i="39"/>
  <c r="AG162" i="39" s="1"/>
  <c r="K161" i="39"/>
  <c r="AG161" i="39" s="1"/>
  <c r="K160" i="39"/>
  <c r="AG160" i="39" s="1"/>
  <c r="K159" i="39"/>
  <c r="AG159" i="39" s="1"/>
  <c r="K158" i="39"/>
  <c r="AG158" i="39" s="1"/>
  <c r="K157" i="39"/>
  <c r="AG157" i="39" s="1"/>
  <c r="K156" i="39"/>
  <c r="AG156" i="39" s="1"/>
  <c r="K145" i="39"/>
  <c r="AG145" i="39" s="1"/>
  <c r="K144" i="39"/>
  <c r="AG144" i="39" s="1"/>
  <c r="K143" i="39"/>
  <c r="AG143" i="39" s="1"/>
  <c r="K142" i="39"/>
  <c r="AG142" i="39" s="1"/>
  <c r="K141" i="39"/>
  <c r="AG141" i="39" s="1"/>
  <c r="K140" i="39"/>
  <c r="AG140" i="39" s="1"/>
  <c r="K139" i="39"/>
  <c r="AG139" i="39" s="1"/>
  <c r="K138" i="39"/>
  <c r="AG138" i="39" s="1"/>
  <c r="K137" i="39"/>
  <c r="AG137" i="39" s="1"/>
  <c r="K136" i="39"/>
  <c r="AG136" i="39" s="1"/>
  <c r="K223" i="39"/>
  <c r="AG223" i="39" s="1"/>
  <c r="K221" i="39"/>
  <c r="AG221" i="39" s="1"/>
  <c r="K219" i="39"/>
  <c r="AG219" i="39" s="1"/>
  <c r="K217" i="39"/>
  <c r="AG217" i="39" s="1"/>
  <c r="K208" i="39"/>
  <c r="AG208" i="39" s="1"/>
  <c r="K206" i="39"/>
  <c r="AG206" i="39" s="1"/>
  <c r="K204" i="39"/>
  <c r="AG204" i="39" s="1"/>
  <c r="K202" i="39"/>
  <c r="AG202" i="39" s="1"/>
  <c r="K200" i="39"/>
  <c r="AG200" i="39" s="1"/>
  <c r="K198" i="39"/>
  <c r="AG198" i="39" s="1"/>
  <c r="K196" i="39"/>
  <c r="AG196" i="39" s="1"/>
  <c r="K194" i="39"/>
  <c r="AG194" i="39" s="1"/>
  <c r="K184" i="39"/>
  <c r="AG184" i="39" s="1"/>
  <c r="K182" i="39"/>
  <c r="AG182" i="39" s="1"/>
  <c r="K180" i="39"/>
  <c r="AG180" i="39" s="1"/>
  <c r="K178" i="39"/>
  <c r="AG178" i="39" s="1"/>
  <c r="K154" i="39"/>
  <c r="AG154" i="39" s="1"/>
  <c r="K152" i="39"/>
  <c r="AG152" i="39" s="1"/>
  <c r="K150" i="39"/>
  <c r="AG150" i="39" s="1"/>
  <c r="K148" i="39"/>
  <c r="AG148" i="39" s="1"/>
  <c r="K146" i="39"/>
  <c r="AG146" i="39" s="1"/>
  <c r="K134" i="39"/>
  <c r="AG134" i="39" s="1"/>
  <c r="K132" i="39"/>
  <c r="AG132" i="39" s="1"/>
  <c r="K130" i="39"/>
  <c r="AG130" i="39" s="1"/>
  <c r="K128" i="39"/>
  <c r="AG128" i="39" s="1"/>
  <c r="K126" i="39"/>
  <c r="AG126" i="39" s="1"/>
  <c r="K124" i="39"/>
  <c r="AG124" i="39" s="1"/>
  <c r="K122" i="39"/>
  <c r="AG122" i="39" s="1"/>
  <c r="K120" i="39"/>
  <c r="AG120" i="39" s="1"/>
  <c r="K118" i="39"/>
  <c r="AG118" i="39" s="1"/>
  <c r="K116" i="39"/>
  <c r="AG116" i="39" s="1"/>
  <c r="K115" i="39"/>
  <c r="AG115" i="39" s="1"/>
  <c r="K114" i="39"/>
  <c r="AG114" i="39" s="1"/>
  <c r="K113" i="39"/>
  <c r="AG113" i="39" s="1"/>
  <c r="K112" i="39"/>
  <c r="AG112" i="39" s="1"/>
  <c r="K111" i="39"/>
  <c r="AG111" i="39" s="1"/>
  <c r="K110" i="39"/>
  <c r="AG110" i="39" s="1"/>
  <c r="K109" i="39"/>
  <c r="AG109" i="39" s="1"/>
  <c r="K108" i="39"/>
  <c r="AG108" i="39" s="1"/>
  <c r="K107" i="39"/>
  <c r="AG107" i="39" s="1"/>
  <c r="K106" i="39"/>
  <c r="AG106" i="39" s="1"/>
  <c r="K105" i="39"/>
  <c r="AG105" i="39" s="1"/>
  <c r="K104" i="39"/>
  <c r="AG104" i="39" s="1"/>
  <c r="K103" i="39"/>
  <c r="AG103" i="39" s="1"/>
  <c r="K102" i="39"/>
  <c r="AG102" i="39" s="1"/>
  <c r="K101" i="39"/>
  <c r="AG101" i="39" s="1"/>
  <c r="K100" i="39"/>
  <c r="AG100" i="39" s="1"/>
  <c r="K99" i="39"/>
  <c r="AG99" i="39" s="1"/>
  <c r="K97" i="39"/>
  <c r="AG97" i="39" s="1"/>
  <c r="K95" i="39"/>
  <c r="AG95" i="39" s="1"/>
  <c r="K93" i="39"/>
  <c r="AG93" i="39" s="1"/>
  <c r="K91" i="39"/>
  <c r="AG91" i="39" s="1"/>
  <c r="K89" i="39"/>
  <c r="AG89" i="39" s="1"/>
  <c r="K52" i="39"/>
  <c r="AG52" i="39" s="1"/>
  <c r="K51" i="39"/>
  <c r="AG51" i="39" s="1"/>
  <c r="K50" i="39"/>
  <c r="AG50" i="39" s="1"/>
  <c r="K49" i="39"/>
  <c r="AG49" i="39" s="1"/>
  <c r="K48" i="39"/>
  <c r="AG48" i="39" s="1"/>
  <c r="K47" i="39"/>
  <c r="AG47" i="39" s="1"/>
  <c r="K46" i="39"/>
  <c r="AG46" i="39" s="1"/>
  <c r="K45" i="39"/>
  <c r="AG45" i="39" s="1"/>
  <c r="K44" i="39"/>
  <c r="AG44" i="39" s="1"/>
  <c r="K43" i="39"/>
  <c r="AG43" i="39" s="1"/>
  <c r="K42" i="39"/>
  <c r="AG42" i="39" s="1"/>
  <c r="K41" i="39"/>
  <c r="AG41" i="39" s="1"/>
  <c r="K40" i="39"/>
  <c r="AG40" i="39" s="1"/>
  <c r="K39" i="39"/>
  <c r="AG39" i="39" s="1"/>
  <c r="K38" i="39"/>
  <c r="AG38" i="39" s="1"/>
  <c r="K37" i="39"/>
  <c r="AG37" i="39" s="1"/>
  <c r="K36" i="39"/>
  <c r="AG36" i="39" s="1"/>
  <c r="K35" i="39"/>
  <c r="AG35" i="39" s="1"/>
  <c r="K34" i="39"/>
  <c r="AG34" i="39" s="1"/>
  <c r="K33" i="39"/>
  <c r="AG33" i="39" s="1"/>
  <c r="K32" i="39"/>
  <c r="AG32" i="39" s="1"/>
  <c r="K31" i="39"/>
  <c r="AG31" i="39" s="1"/>
  <c r="K30" i="39"/>
  <c r="AG30" i="39" s="1"/>
  <c r="K28" i="39"/>
  <c r="AG28" i="39" s="1"/>
  <c r="K26" i="39"/>
  <c r="AG26" i="39" s="1"/>
  <c r="K24" i="39"/>
  <c r="AG24" i="39" s="1"/>
  <c r="K22" i="39"/>
  <c r="AG22" i="39" s="1"/>
  <c r="K20" i="39"/>
  <c r="AG20" i="39" s="1"/>
  <c r="K223" i="38"/>
  <c r="AG223" i="38" s="1"/>
  <c r="K222" i="38"/>
  <c r="AG222" i="38" s="1"/>
  <c r="K221" i="38"/>
  <c r="AG221" i="38" s="1"/>
  <c r="K220" i="38"/>
  <c r="AG220" i="38" s="1"/>
  <c r="K219" i="38"/>
  <c r="AG219" i="38" s="1"/>
  <c r="K218" i="38"/>
  <c r="AG218" i="38" s="1"/>
  <c r="K217" i="38"/>
  <c r="AG217" i="38" s="1"/>
  <c r="K216" i="38"/>
  <c r="AG216" i="38" s="1"/>
  <c r="K215" i="38"/>
  <c r="AG215" i="38" s="1"/>
  <c r="K214" i="38"/>
  <c r="AG214" i="38" s="1"/>
  <c r="K206" i="38"/>
  <c r="AG206" i="38" s="1"/>
  <c r="K205" i="38"/>
  <c r="AG205" i="38" s="1"/>
  <c r="K204" i="38"/>
  <c r="AG204" i="38" s="1"/>
  <c r="K203" i="38"/>
  <c r="AG203" i="38" s="1"/>
  <c r="K202" i="38"/>
  <c r="AG202" i="38" s="1"/>
  <c r="K201" i="38"/>
  <c r="AG201" i="38" s="1"/>
  <c r="K188" i="38"/>
  <c r="AG188" i="38" s="1"/>
  <c r="K187" i="38"/>
  <c r="AG187" i="38" s="1"/>
  <c r="K186" i="38"/>
  <c r="AG186" i="38" s="1"/>
  <c r="K185" i="38"/>
  <c r="AG185" i="38" s="1"/>
  <c r="K184" i="38"/>
  <c r="AG184" i="38" s="1"/>
  <c r="K183" i="38"/>
  <c r="AG183" i="38" s="1"/>
  <c r="K176" i="38"/>
  <c r="AG176" i="38" s="1"/>
  <c r="K175" i="38"/>
  <c r="AG175" i="38" s="1"/>
  <c r="K174" i="38"/>
  <c r="AG174" i="38" s="1"/>
  <c r="K173" i="38"/>
  <c r="AG173" i="38" s="1"/>
  <c r="K172" i="38"/>
  <c r="AG172" i="38" s="1"/>
  <c r="K171" i="38"/>
  <c r="AG171" i="38" s="1"/>
  <c r="K170" i="38"/>
  <c r="AG170" i="38" s="1"/>
  <c r="K169" i="38"/>
  <c r="AG169" i="38" s="1"/>
  <c r="K168" i="38"/>
  <c r="AG168" i="38" s="1"/>
  <c r="K167" i="38"/>
  <c r="AG167" i="38" s="1"/>
  <c r="K166" i="38"/>
  <c r="AG166" i="38" s="1"/>
  <c r="K165" i="38"/>
  <c r="AG165" i="38" s="1"/>
  <c r="K164" i="38"/>
  <c r="AG164" i="38" s="1"/>
  <c r="K163" i="38"/>
  <c r="AG163" i="38" s="1"/>
  <c r="K162" i="38"/>
  <c r="AG162" i="38" s="1"/>
  <c r="K161" i="38"/>
  <c r="AG161" i="38" s="1"/>
  <c r="K160" i="38"/>
  <c r="AG160" i="38" s="1"/>
  <c r="K159" i="38"/>
  <c r="AG159" i="38" s="1"/>
  <c r="K158" i="38"/>
  <c r="AG158" i="38" s="1"/>
  <c r="K157" i="38"/>
  <c r="AG157" i="38" s="1"/>
  <c r="K156" i="38"/>
  <c r="AG156" i="38" s="1"/>
  <c r="K145" i="38"/>
  <c r="AG145" i="38" s="1"/>
  <c r="K144" i="38"/>
  <c r="AG144" i="38" s="1"/>
  <c r="K143" i="38"/>
  <c r="AG143" i="38" s="1"/>
  <c r="K142" i="38"/>
  <c r="AG142" i="38" s="1"/>
  <c r="K141" i="38"/>
  <c r="AG141" i="38" s="1"/>
  <c r="K140" i="38"/>
  <c r="AG140" i="38" s="1"/>
  <c r="K139" i="38"/>
  <c r="AG139" i="38" s="1"/>
  <c r="K138" i="38"/>
  <c r="AG138" i="38" s="1"/>
  <c r="K137" i="38"/>
  <c r="AG137" i="38" s="1"/>
  <c r="K136" i="38"/>
  <c r="AG136" i="38" s="1"/>
  <c r="K115" i="38"/>
  <c r="AG115" i="38" s="1"/>
  <c r="K114" i="38"/>
  <c r="AG114" i="38" s="1"/>
  <c r="K113" i="38"/>
  <c r="AG113" i="38" s="1"/>
  <c r="K112" i="38"/>
  <c r="AG112" i="38" s="1"/>
  <c r="K111" i="38"/>
  <c r="AG111" i="38" s="1"/>
  <c r="K110" i="38"/>
  <c r="AG110" i="38" s="1"/>
  <c r="K109" i="38"/>
  <c r="AG109" i="38" s="1"/>
  <c r="K108" i="38"/>
  <c r="AG108" i="38" s="1"/>
  <c r="K107" i="38"/>
  <c r="AG107" i="38" s="1"/>
  <c r="K106" i="38"/>
  <c r="AG106" i="38" s="1"/>
  <c r="K105" i="38"/>
  <c r="AG105" i="38" s="1"/>
  <c r="K104" i="38"/>
  <c r="AG104" i="38" s="1"/>
  <c r="K103" i="38"/>
  <c r="AG103" i="38" s="1"/>
  <c r="K102" i="38"/>
  <c r="AG102" i="38" s="1"/>
  <c r="K101" i="38"/>
  <c r="AG101" i="38" s="1"/>
  <c r="K100" i="38"/>
  <c r="AG100" i="38" s="1"/>
  <c r="K99" i="38"/>
  <c r="AG99" i="38" s="1"/>
  <c r="K211" i="38"/>
  <c r="AG211" i="38" s="1"/>
  <c r="K209" i="38"/>
  <c r="AG209" i="38" s="1"/>
  <c r="K207" i="38"/>
  <c r="AG207" i="38" s="1"/>
  <c r="K199" i="38"/>
  <c r="AG199" i="38" s="1"/>
  <c r="K197" i="38"/>
  <c r="AG197" i="38" s="1"/>
  <c r="K195" i="38"/>
  <c r="AG195" i="38" s="1"/>
  <c r="K193" i="38"/>
  <c r="AG193" i="38" s="1"/>
  <c r="K191" i="38"/>
  <c r="AG191" i="38" s="1"/>
  <c r="K189" i="38"/>
  <c r="AG189" i="38" s="1"/>
  <c r="K181" i="38"/>
  <c r="AG181" i="38" s="1"/>
  <c r="K179" i="38"/>
  <c r="AG179" i="38" s="1"/>
  <c r="K177" i="38"/>
  <c r="AG177" i="38" s="1"/>
  <c r="K154" i="38"/>
  <c r="AG154" i="38" s="1"/>
  <c r="K152" i="38"/>
  <c r="AG152" i="38" s="1"/>
  <c r="K150" i="38"/>
  <c r="AG150" i="38" s="1"/>
  <c r="K148" i="38"/>
  <c r="AG148" i="38" s="1"/>
  <c r="K146" i="38"/>
  <c r="AG146" i="38" s="1"/>
  <c r="K134" i="38"/>
  <c r="AG134" i="38" s="1"/>
  <c r="K132" i="38"/>
  <c r="AG132" i="38" s="1"/>
  <c r="K130" i="38"/>
  <c r="AG130" i="38" s="1"/>
  <c r="K128" i="38"/>
  <c r="AG128" i="38" s="1"/>
  <c r="K126" i="38"/>
  <c r="AG126" i="38" s="1"/>
  <c r="K124" i="38"/>
  <c r="AG124" i="38" s="1"/>
  <c r="K122" i="38"/>
  <c r="AG122" i="38" s="1"/>
  <c r="K120" i="38"/>
  <c r="AG120" i="38" s="1"/>
  <c r="K118" i="38"/>
  <c r="AG118" i="38" s="1"/>
  <c r="K116" i="38"/>
  <c r="AG116" i="38" s="1"/>
  <c r="K97" i="38"/>
  <c r="AG97" i="38" s="1"/>
  <c r="K95" i="38"/>
  <c r="AG95" i="38" s="1"/>
  <c r="K93" i="38"/>
  <c r="AG93" i="38" s="1"/>
  <c r="K91" i="38"/>
  <c r="AG91" i="38" s="1"/>
  <c r="K89" i="38"/>
  <c r="AG89" i="38" s="1"/>
  <c r="K51" i="38"/>
  <c r="AG51" i="38" s="1"/>
  <c r="K50" i="38"/>
  <c r="AG50" i="38" s="1"/>
  <c r="K49" i="38"/>
  <c r="AG49" i="38" s="1"/>
  <c r="K48" i="38"/>
  <c r="AG48" i="38" s="1"/>
  <c r="K47" i="38"/>
  <c r="AG47" i="38" s="1"/>
  <c r="K46" i="38"/>
  <c r="AG46" i="38" s="1"/>
  <c r="K45" i="38"/>
  <c r="AG45" i="38" s="1"/>
  <c r="K44" i="38"/>
  <c r="AG44" i="38" s="1"/>
  <c r="K43" i="38"/>
  <c r="AG43" i="38" s="1"/>
  <c r="K42" i="38"/>
  <c r="AG42" i="38" s="1"/>
  <c r="K41" i="38"/>
  <c r="AG41" i="38" s="1"/>
  <c r="K40" i="38"/>
  <c r="AG40" i="38" s="1"/>
  <c r="K39" i="38"/>
  <c r="AG39" i="38" s="1"/>
  <c r="K38" i="38"/>
  <c r="AG38" i="38" s="1"/>
  <c r="K37" i="38"/>
  <c r="AG37" i="38" s="1"/>
  <c r="K36" i="38"/>
  <c r="AG36" i="38" s="1"/>
  <c r="K35" i="38"/>
  <c r="AG35" i="38" s="1"/>
  <c r="K34" i="38"/>
  <c r="AG34" i="38" s="1"/>
  <c r="K33" i="38"/>
  <c r="AG33" i="38" s="1"/>
  <c r="K32" i="38"/>
  <c r="AG32" i="38" s="1"/>
  <c r="K31" i="38"/>
  <c r="AG31" i="38" s="1"/>
  <c r="K30" i="38"/>
  <c r="AG30" i="38" s="1"/>
  <c r="K28" i="38"/>
  <c r="AG28" i="38" s="1"/>
  <c r="K26" i="38"/>
  <c r="AG26" i="38" s="1"/>
  <c r="K24" i="38"/>
  <c r="AG24" i="38" s="1"/>
  <c r="K22" i="38"/>
  <c r="AG22" i="38" s="1"/>
  <c r="K20" i="38"/>
  <c r="AG20" i="38" s="1"/>
  <c r="K151" i="32"/>
  <c r="AG151" i="32" s="1"/>
  <c r="K150" i="32"/>
  <c r="AG150" i="32" s="1"/>
  <c r="K149" i="32"/>
  <c r="AG149" i="32" s="1"/>
  <c r="K148" i="32"/>
  <c r="AG148" i="32" s="1"/>
  <c r="K147" i="32"/>
  <c r="AG147" i="32" s="1"/>
  <c r="K146" i="32"/>
  <c r="AG146" i="32" s="1"/>
  <c r="K145" i="32"/>
  <c r="AG145" i="32" s="1"/>
  <c r="K142" i="32"/>
  <c r="AG142" i="32" s="1"/>
  <c r="K141" i="32"/>
  <c r="AG141" i="32" s="1"/>
  <c r="K143" i="32"/>
  <c r="AG143" i="32" s="1"/>
  <c r="K139" i="32"/>
  <c r="AG139" i="32" s="1"/>
  <c r="K137" i="32"/>
  <c r="AG137" i="32" s="1"/>
  <c r="K135" i="32"/>
  <c r="AG135" i="32" s="1"/>
  <c r="K133" i="32"/>
  <c r="AG133" i="32" s="1"/>
  <c r="K132" i="32"/>
  <c r="AG132" i="32" s="1"/>
  <c r="K131" i="32"/>
  <c r="AG131" i="32" s="1"/>
  <c r="K130" i="32"/>
  <c r="AG130" i="32" s="1"/>
  <c r="K129" i="32"/>
  <c r="AG129" i="32" s="1"/>
  <c r="K128" i="32"/>
  <c r="AG128" i="32" s="1"/>
  <c r="K127" i="32"/>
  <c r="AG127" i="32" s="1"/>
  <c r="K126" i="32"/>
  <c r="AG126" i="32" s="1"/>
  <c r="K125" i="32"/>
  <c r="AG125" i="32" s="1"/>
  <c r="K124" i="32"/>
  <c r="AG124" i="32" s="1"/>
  <c r="K123" i="32"/>
  <c r="AG123" i="32" s="1"/>
  <c r="K122" i="32"/>
  <c r="AG122" i="32" s="1"/>
  <c r="K121" i="32"/>
  <c r="AG121" i="32" s="1"/>
  <c r="K120" i="32"/>
  <c r="AG120" i="32" s="1"/>
  <c r="K119" i="32"/>
  <c r="AG119" i="32" s="1"/>
  <c r="K118" i="32"/>
  <c r="AG118" i="32" s="1"/>
  <c r="K117" i="32"/>
  <c r="AG117" i="32" s="1"/>
  <c r="K116" i="32"/>
  <c r="AG116" i="32" s="1"/>
  <c r="K109" i="32"/>
  <c r="AG109" i="32" s="1"/>
  <c r="K108" i="32"/>
  <c r="AG108" i="32" s="1"/>
  <c r="K107" i="32"/>
  <c r="AG107" i="32" s="1"/>
  <c r="K106" i="32"/>
  <c r="AG106" i="32" s="1"/>
  <c r="K105" i="32"/>
  <c r="AG105" i="32" s="1"/>
  <c r="K104" i="32"/>
  <c r="AG104" i="32" s="1"/>
  <c r="K91" i="32"/>
  <c r="AG91" i="32" s="1"/>
  <c r="K90" i="32"/>
  <c r="AG90" i="32" s="1"/>
  <c r="K89" i="32"/>
  <c r="AG89" i="32" s="1"/>
  <c r="K88" i="32"/>
  <c r="AG88" i="32" s="1"/>
  <c r="K87" i="32"/>
  <c r="AG87" i="32" s="1"/>
  <c r="K86" i="32"/>
  <c r="AG86" i="32" s="1"/>
  <c r="K85" i="32"/>
  <c r="AG85" i="32" s="1"/>
  <c r="K84" i="32"/>
  <c r="AG84" i="32" s="1"/>
  <c r="K83" i="32"/>
  <c r="AG83" i="32" s="1"/>
  <c r="K82" i="32"/>
  <c r="AG82" i="32" s="1"/>
  <c r="K81" i="32"/>
  <c r="AG81" i="32" s="1"/>
  <c r="K114" i="32"/>
  <c r="AG114" i="32" s="1"/>
  <c r="K112" i="32"/>
  <c r="AG112" i="32" s="1"/>
  <c r="K110" i="32"/>
  <c r="AG110" i="32" s="1"/>
  <c r="K102" i="32"/>
  <c r="AG102" i="32" s="1"/>
  <c r="K100" i="32"/>
  <c r="AG100" i="32" s="1"/>
  <c r="K98" i="32"/>
  <c r="AG98" i="32" s="1"/>
  <c r="K96" i="32"/>
  <c r="AG96" i="32" s="1"/>
  <c r="K94" i="32"/>
  <c r="AG94" i="32" s="1"/>
  <c r="K92" i="32"/>
  <c r="AG92" i="32" s="1"/>
  <c r="K79" i="32"/>
  <c r="AG79" i="32" s="1"/>
  <c r="K77" i="32"/>
  <c r="AG77" i="32" s="1"/>
  <c r="K75" i="32"/>
  <c r="AG75" i="32" s="1"/>
  <c r="V42" i="32"/>
  <c r="V41" i="32"/>
  <c r="AF41" i="32" s="1"/>
  <c r="V40" i="32"/>
  <c r="V39" i="32"/>
  <c r="AF39" i="32" s="1"/>
  <c r="V38" i="32"/>
  <c r="V37" i="32"/>
  <c r="V36" i="32"/>
  <c r="V35" i="32"/>
  <c r="V34" i="32"/>
  <c r="AF34" i="32" s="1"/>
  <c r="V33" i="32"/>
  <c r="V32" i="32"/>
  <c r="AF32" i="32" s="1"/>
  <c r="V31" i="32"/>
  <c r="V30" i="32"/>
  <c r="AF30" i="32" s="1"/>
  <c r="V29" i="32"/>
  <c r="V28" i="32"/>
  <c r="V27" i="32"/>
  <c r="K42" i="32"/>
  <c r="AG42" i="32" s="1"/>
  <c r="K41" i="32"/>
  <c r="AG41" i="32" s="1"/>
  <c r="K40" i="32"/>
  <c r="AG40" i="32" s="1"/>
  <c r="K39" i="32"/>
  <c r="AG39" i="32" s="1"/>
  <c r="K38" i="32"/>
  <c r="AG38" i="32" s="1"/>
  <c r="K37" i="32"/>
  <c r="AG37" i="32" s="1"/>
  <c r="K36" i="32"/>
  <c r="AG36" i="32" s="1"/>
  <c r="K35" i="32"/>
  <c r="AG35" i="32" s="1"/>
  <c r="K34" i="32"/>
  <c r="AG34" i="32" s="1"/>
  <c r="K33" i="32"/>
  <c r="AG33" i="32" s="1"/>
  <c r="K32" i="32"/>
  <c r="AG32" i="32" s="1"/>
  <c r="K31" i="32"/>
  <c r="AG31" i="32" s="1"/>
  <c r="K30" i="32"/>
  <c r="AG30" i="32" s="1"/>
  <c r="K29" i="32"/>
  <c r="AG29" i="32" s="1"/>
  <c r="K28" i="32"/>
  <c r="AG28" i="32" s="1"/>
  <c r="K27" i="32"/>
  <c r="AG27" i="32" s="1"/>
  <c r="K26" i="32"/>
  <c r="AG26" i="32" s="1"/>
  <c r="K24" i="32"/>
  <c r="AG24" i="32" s="1"/>
  <c r="K20" i="32"/>
  <c r="AG20" i="32" s="1"/>
  <c r="K22" i="32"/>
  <c r="AG22" i="32" s="1"/>
  <c r="AF88" i="42" l="1"/>
  <c r="E747" i="43" a="1"/>
  <c r="E747" i="43" s="1"/>
  <c r="E717" i="43" a="1"/>
  <c r="E717" i="43" s="1"/>
  <c r="E661" i="43" a="1"/>
  <c r="E661" i="43" s="1"/>
  <c r="E668" i="43" a="1"/>
  <c r="E668" i="43" s="1"/>
  <c r="E745" i="43" a="1"/>
  <c r="E745" i="43" s="1"/>
  <c r="E715" i="43" a="1"/>
  <c r="E715" i="43" s="1"/>
  <c r="E683" i="43" a="1"/>
  <c r="E683" i="43" s="1"/>
  <c r="E743" i="43" a="1"/>
  <c r="E743" i="43" s="1"/>
  <c r="E713" i="43" a="1"/>
  <c r="E713" i="43" s="1"/>
  <c r="E682" i="43" a="1"/>
  <c r="E682" i="43" s="1"/>
  <c r="E741" i="43" a="1"/>
  <c r="E741" i="43" s="1"/>
  <c r="E711" i="43" a="1"/>
  <c r="E711" i="43" s="1"/>
  <c r="E681" i="43" a="1"/>
  <c r="E681" i="43" s="1"/>
  <c r="E739" i="43" a="1"/>
  <c r="E739" i="43" s="1"/>
  <c r="E709" i="43" a="1"/>
  <c r="E709" i="43" s="1"/>
  <c r="E680" i="43" a="1"/>
  <c r="E680" i="43" s="1"/>
  <c r="E737" i="43" a="1"/>
  <c r="E737" i="43" s="1"/>
  <c r="E707" i="43" a="1"/>
  <c r="E707" i="43" s="1"/>
  <c r="E679" i="43" a="1"/>
  <c r="E679" i="43" s="1"/>
  <c r="E735" i="43" a="1"/>
  <c r="E735" i="43" s="1"/>
  <c r="E705" i="43" a="1"/>
  <c r="E705" i="43" s="1"/>
  <c r="E678" i="43" a="1"/>
  <c r="E678" i="43" s="1"/>
  <c r="E662" i="43" a="1"/>
  <c r="E662" i="43" s="1"/>
  <c r="E703" i="43" a="1"/>
  <c r="E703" i="43" s="1"/>
  <c r="E677" i="43" a="1"/>
  <c r="E677" i="43" s="1"/>
  <c r="E663" i="43" a="1"/>
  <c r="E663" i="43" s="1"/>
  <c r="E733" i="43" a="1"/>
  <c r="E733" i="43" s="1"/>
  <c r="E676" i="43" a="1"/>
  <c r="E676" i="43" s="1"/>
  <c r="E721" i="43" a="1"/>
  <c r="E721" i="43" s="1"/>
  <c r="E731" i="43" a="1"/>
  <c r="E731" i="43" s="1"/>
  <c r="E675" i="43" a="1"/>
  <c r="E675" i="43" s="1"/>
  <c r="E667" i="43" a="1"/>
  <c r="E667" i="43" s="1"/>
  <c r="E729" i="43" a="1"/>
  <c r="E729" i="43" s="1"/>
  <c r="E674" i="43" a="1"/>
  <c r="E674" i="43" s="1"/>
  <c r="E664" i="43" a="1"/>
  <c r="E664" i="43" s="1"/>
  <c r="E727" i="43" a="1"/>
  <c r="E727" i="43" s="1"/>
  <c r="E673" i="43" a="1"/>
  <c r="E673" i="43" s="1"/>
  <c r="E670" i="43" a="1"/>
  <c r="E670" i="43" s="1"/>
  <c r="E725" i="43" a="1"/>
  <c r="E725" i="43" s="1"/>
  <c r="E672" i="43" a="1"/>
  <c r="E672" i="43" s="1"/>
  <c r="E665" i="43" a="1"/>
  <c r="E665" i="43" s="1"/>
  <c r="E723" i="43" a="1"/>
  <c r="E723" i="43" s="1"/>
  <c r="E671" i="43" a="1"/>
  <c r="E671" i="43" s="1"/>
  <c r="E666" i="43" a="1"/>
  <c r="E666" i="43" s="1"/>
  <c r="E719" i="43" a="1"/>
  <c r="E719" i="43" s="1"/>
  <c r="E669" i="43" a="1"/>
  <c r="E669" i="43" s="1"/>
  <c r="E592" i="43" a="1"/>
  <c r="E592" i="43" s="1"/>
  <c r="E562" i="43" a="1"/>
  <c r="E562" i="43" s="1"/>
  <c r="E526" i="43" a="1"/>
  <c r="E526" i="43" s="1"/>
  <c r="E509" i="43" a="1"/>
  <c r="E509" i="43" s="1"/>
  <c r="E590" i="43" a="1"/>
  <c r="E590" i="43" s="1"/>
  <c r="E560" i="43" a="1"/>
  <c r="E560" i="43" s="1"/>
  <c r="E525" i="43" a="1"/>
  <c r="E525" i="43" s="1"/>
  <c r="E588" i="43" a="1"/>
  <c r="E588" i="43" s="1"/>
  <c r="E558" i="43" a="1"/>
  <c r="E558" i="43" s="1"/>
  <c r="E524" i="43" a="1"/>
  <c r="E524" i="43" s="1"/>
  <c r="E586" i="43" a="1"/>
  <c r="E586" i="43" s="1"/>
  <c r="E556" i="43" a="1"/>
  <c r="E556" i="43" s="1"/>
  <c r="E523" i="43" a="1"/>
  <c r="E523" i="43" s="1"/>
  <c r="E584" i="43" a="1"/>
  <c r="E584" i="43" s="1"/>
  <c r="E554" i="43" a="1"/>
  <c r="E554" i="43" s="1"/>
  <c r="E522" i="43" a="1"/>
  <c r="E522" i="43" s="1"/>
  <c r="E508" i="43" a="1"/>
  <c r="E508" i="43" s="1"/>
  <c r="E582" i="43" a="1"/>
  <c r="E582" i="43" s="1"/>
  <c r="E552" i="43" a="1"/>
  <c r="E552" i="43" s="1"/>
  <c r="E521" i="43" a="1"/>
  <c r="E521" i="43" s="1"/>
  <c r="E550" i="43" a="1"/>
  <c r="E550" i="43" s="1"/>
  <c r="E520" i="43" a="1"/>
  <c r="E520" i="43" s="1"/>
  <c r="E511" i="43" a="1"/>
  <c r="E511" i="43" s="1"/>
  <c r="E580" i="43" a="1"/>
  <c r="E580" i="43" s="1"/>
  <c r="E528" i="43" a="1"/>
  <c r="E528" i="43" s="1"/>
  <c r="E519" i="43" a="1"/>
  <c r="E519" i="43" s="1"/>
  <c r="E578" i="43" a="1"/>
  <c r="E578" i="43" s="1"/>
  <c r="E518" i="43" a="1"/>
  <c r="E518" i="43" s="1"/>
  <c r="E566" i="43" a="1"/>
  <c r="E566" i="43" s="1"/>
  <c r="E576" i="43" a="1"/>
  <c r="E576" i="43" s="1"/>
  <c r="E517" i="43" a="1"/>
  <c r="E517" i="43" s="1"/>
  <c r="E529" i="43" a="1"/>
  <c r="E529" i="43" s="1"/>
  <c r="E574" i="43" a="1"/>
  <c r="E574" i="43" s="1"/>
  <c r="E516" i="43" a="1"/>
  <c r="E516" i="43" s="1"/>
  <c r="E513" i="43" a="1"/>
  <c r="E513" i="43" s="1"/>
  <c r="E572" i="43" a="1"/>
  <c r="E572" i="43" s="1"/>
  <c r="E515" i="43" a="1"/>
  <c r="E515" i="43" s="1"/>
  <c r="E510" i="43" a="1"/>
  <c r="E510" i="43" s="1"/>
  <c r="E570" i="43" a="1"/>
  <c r="E570" i="43" s="1"/>
  <c r="E514" i="43" a="1"/>
  <c r="E514" i="43" s="1"/>
  <c r="E568" i="43" a="1"/>
  <c r="E568" i="43" s="1"/>
  <c r="E530" i="43" a="1"/>
  <c r="E530" i="43" s="1"/>
  <c r="E512" i="43" a="1"/>
  <c r="E512" i="43" s="1"/>
  <c r="E594" i="43" a="1"/>
  <c r="E594" i="43" s="1"/>
  <c r="E564" i="43" a="1"/>
  <c r="E564" i="43" s="1"/>
  <c r="E527" i="43" a="1"/>
  <c r="E527" i="43" s="1"/>
  <c r="E431" i="43" a="1"/>
  <c r="E431" i="43" s="1"/>
  <c r="E399" i="43" a="1"/>
  <c r="E399" i="43" s="1"/>
  <c r="E370" i="43" a="1"/>
  <c r="E370" i="43" s="1"/>
  <c r="E356" i="43" a="1"/>
  <c r="E356" i="43" s="1"/>
  <c r="E429" i="43" a="1"/>
  <c r="E429" i="43" s="1"/>
  <c r="E397" i="43" a="1"/>
  <c r="E397" i="43" s="1"/>
  <c r="E369" i="43" a="1"/>
  <c r="E369" i="43" s="1"/>
  <c r="E427" i="43" a="1"/>
  <c r="E427" i="43" s="1"/>
  <c r="E368" i="43" a="1"/>
  <c r="E368" i="43" s="1"/>
  <c r="E375" i="43" a="1"/>
  <c r="E375" i="43" s="1"/>
  <c r="E425" i="43" a="1"/>
  <c r="E425" i="43" s="1"/>
  <c r="E367" i="43" a="1"/>
  <c r="E367" i="43" s="1"/>
  <c r="E359" i="43" a="1"/>
  <c r="E359" i="43" s="1"/>
  <c r="E423" i="43" a="1"/>
  <c r="E423" i="43" s="1"/>
  <c r="E366" i="43" a="1"/>
  <c r="E366" i="43" s="1"/>
  <c r="E357" i="43" a="1"/>
  <c r="E357" i="43" s="1"/>
  <c r="E421" i="43" a="1"/>
  <c r="E421" i="43" s="1"/>
  <c r="E365" i="43" a="1"/>
  <c r="E365" i="43" s="1"/>
  <c r="E360" i="43" a="1"/>
  <c r="E360" i="43" s="1"/>
  <c r="E419" i="43" a="1"/>
  <c r="E419" i="43" s="1"/>
  <c r="E364" i="43" a="1"/>
  <c r="E364" i="43" s="1"/>
  <c r="E362" i="43" a="1"/>
  <c r="E362" i="43" s="1"/>
  <c r="E417" i="43" a="1"/>
  <c r="E417" i="43" s="1"/>
  <c r="E363" i="43" a="1"/>
  <c r="E363" i="43" s="1"/>
  <c r="E361" i="43" a="1"/>
  <c r="E361" i="43" s="1"/>
  <c r="E415" i="43" a="1"/>
  <c r="E415" i="43" s="1"/>
  <c r="E355" i="43" a="1"/>
  <c r="E355" i="43" s="1"/>
  <c r="E358" i="43" a="1"/>
  <c r="E358" i="43" s="1"/>
  <c r="E413" i="43" a="1"/>
  <c r="E413" i="43" s="1"/>
  <c r="E377" i="43" a="1"/>
  <c r="E377" i="43" s="1"/>
  <c r="E376" i="43" a="1"/>
  <c r="E376" i="43" s="1"/>
  <c r="E411" i="43" a="1"/>
  <c r="E411" i="43" s="1"/>
  <c r="E441" i="43" a="1"/>
  <c r="E441" i="43" s="1"/>
  <c r="E409" i="43" a="1"/>
  <c r="E409" i="43" s="1"/>
  <c r="E372" i="43" a="1"/>
  <c r="E372" i="43" s="1"/>
  <c r="E439" i="43" a="1"/>
  <c r="E439" i="43" s="1"/>
  <c r="E407" i="43" a="1"/>
  <c r="E407" i="43" s="1"/>
  <c r="E374" i="43" a="1"/>
  <c r="E374" i="43" s="1"/>
  <c r="E437" i="43" a="1"/>
  <c r="E437" i="43" s="1"/>
  <c r="E405" i="43" a="1"/>
  <c r="E405" i="43" s="1"/>
  <c r="E373" i="43" a="1"/>
  <c r="E373" i="43" s="1"/>
  <c r="E435" i="43" a="1"/>
  <c r="E435" i="43" s="1"/>
  <c r="E403" i="43" a="1"/>
  <c r="E403" i="43" s="1"/>
  <c r="E433" i="43" a="1"/>
  <c r="E433" i="43" s="1"/>
  <c r="E401" i="43" a="1"/>
  <c r="E401" i="43" s="1"/>
  <c r="E371" i="43" a="1"/>
  <c r="E371" i="43" s="1"/>
  <c r="AF30" i="39"/>
  <c r="E244" i="43" a="1"/>
  <c r="E244" i="43" s="1"/>
  <c r="E218" i="43" a="1"/>
  <c r="E218" i="43" s="1"/>
  <c r="E217" i="43" a="1"/>
  <c r="E217" i="43" s="1"/>
  <c r="E274" i="43" a="1"/>
  <c r="E274" i="43" s="1"/>
  <c r="E222" i="43" a="1"/>
  <c r="E222" i="43" s="1"/>
  <c r="E216" i="43" a="1"/>
  <c r="E216" i="43" s="1"/>
  <c r="E272" i="43" a="1"/>
  <c r="E272" i="43" s="1"/>
  <c r="E270" i="43" a="1"/>
  <c r="E270" i="43" s="1"/>
  <c r="E215" i="43" a="1"/>
  <c r="E215" i="43" s="1"/>
  <c r="E214" i="43" a="1"/>
  <c r="E214" i="43" s="1"/>
  <c r="E268" i="43" a="1"/>
  <c r="E268" i="43" s="1"/>
  <c r="E266" i="43" a="1"/>
  <c r="E266" i="43" s="1"/>
  <c r="E213" i="43" a="1"/>
  <c r="E213" i="43" s="1"/>
  <c r="E211" i="43" a="1"/>
  <c r="E211" i="43" s="1"/>
  <c r="E224" i="43" a="1"/>
  <c r="E224" i="43" s="1"/>
  <c r="E264" i="43" a="1"/>
  <c r="E264" i="43" s="1"/>
  <c r="E212" i="43" a="1"/>
  <c r="E212" i="43" s="1"/>
  <c r="E205" i="43" a="1"/>
  <c r="E205" i="43" s="1"/>
  <c r="E262" i="43" a="1"/>
  <c r="E262" i="43" s="1"/>
  <c r="E202" i="43" a="1"/>
  <c r="E202" i="43" s="1"/>
  <c r="E260" i="43" a="1"/>
  <c r="E260" i="43" s="1"/>
  <c r="E210" i="43" a="1"/>
  <c r="E210" i="43" s="1"/>
  <c r="E209" i="43" a="1"/>
  <c r="E209" i="43" s="1"/>
  <c r="E207" i="43" a="1"/>
  <c r="E207" i="43" s="1"/>
  <c r="E288" i="43" a="1"/>
  <c r="E288" i="43" s="1"/>
  <c r="E258" i="43" a="1"/>
  <c r="E258" i="43" s="1"/>
  <c r="E208" i="43" a="1"/>
  <c r="E208" i="43" s="1"/>
  <c r="E286" i="43" a="1"/>
  <c r="E286" i="43" s="1"/>
  <c r="E256" i="43" a="1"/>
  <c r="E256" i="43" s="1"/>
  <c r="E284" i="43" a="1"/>
  <c r="E284" i="43" s="1"/>
  <c r="E254" i="43" a="1"/>
  <c r="E254" i="43" s="1"/>
  <c r="E282" i="43" a="1"/>
  <c r="E282" i="43" s="1"/>
  <c r="E252" i="43" a="1"/>
  <c r="E252" i="43" s="1"/>
  <c r="E223" i="43" a="1"/>
  <c r="E223" i="43" s="1"/>
  <c r="E206" i="43" a="1"/>
  <c r="E206" i="43" s="1"/>
  <c r="E280" i="43" a="1"/>
  <c r="E280" i="43" s="1"/>
  <c r="E250" i="43" a="1"/>
  <c r="E250" i="43" s="1"/>
  <c r="E221" i="43" a="1"/>
  <c r="E221" i="43" s="1"/>
  <c r="E278" i="43" a="1"/>
  <c r="E278" i="43" s="1"/>
  <c r="E248" i="43" a="1"/>
  <c r="E248" i="43" s="1"/>
  <c r="E220" i="43" a="1"/>
  <c r="E220" i="43" s="1"/>
  <c r="E204" i="43" a="1"/>
  <c r="E204" i="43" s="1"/>
  <c r="E276" i="43" a="1"/>
  <c r="E276" i="43" s="1"/>
  <c r="E246" i="43" a="1"/>
  <c r="E246" i="43" s="1"/>
  <c r="E219" i="43" a="1"/>
  <c r="E219" i="43" s="1"/>
  <c r="E203" i="43" a="1"/>
  <c r="E203" i="43" s="1"/>
  <c r="AF30" i="38"/>
  <c r="E124" i="43" a="1"/>
  <c r="E124" i="43" s="1"/>
  <c r="E67" i="43" a="1"/>
  <c r="E67" i="43" s="1"/>
  <c r="E70" i="43" a="1"/>
  <c r="E70" i="43" s="1"/>
  <c r="E53" i="43" a="1"/>
  <c r="E53" i="43" s="1"/>
  <c r="E122" i="43" a="1"/>
  <c r="E122" i="43" s="1"/>
  <c r="E69" i="43" a="1"/>
  <c r="E69" i="43" s="1"/>
  <c r="E52" i="43" a="1"/>
  <c r="E52" i="43" s="1"/>
  <c r="E68" i="43" a="1"/>
  <c r="E68" i="43" s="1"/>
  <c r="E120" i="43" a="1"/>
  <c r="E120" i="43" s="1"/>
  <c r="E66" i="43" a="1"/>
  <c r="E66" i="43" s="1"/>
  <c r="E118" i="43" a="1"/>
  <c r="E118" i="43" s="1"/>
  <c r="E65" i="43" a="1"/>
  <c r="E65" i="43" s="1"/>
  <c r="E116" i="43" a="1"/>
  <c r="E116" i="43" s="1"/>
  <c r="E64" i="43" a="1"/>
  <c r="E64" i="43" s="1"/>
  <c r="E114" i="43" a="1"/>
  <c r="E114" i="43" s="1"/>
  <c r="E63" i="43" a="1"/>
  <c r="E63" i="43" s="1"/>
  <c r="E112" i="43" a="1"/>
  <c r="E112" i="43" s="1"/>
  <c r="E62" i="43" a="1"/>
  <c r="E62" i="43" s="1"/>
  <c r="E130" i="43" a="1"/>
  <c r="E130" i="43" s="1"/>
  <c r="E110" i="43" a="1"/>
  <c r="E110" i="43" s="1"/>
  <c r="E61" i="43" a="1"/>
  <c r="E61" i="43" s="1"/>
  <c r="E108" i="43" a="1"/>
  <c r="E108" i="43" s="1"/>
  <c r="E60" i="43" a="1"/>
  <c r="E60" i="43" s="1"/>
  <c r="E96" i="43" a="1"/>
  <c r="E96" i="43" s="1"/>
  <c r="E106" i="43" a="1"/>
  <c r="E106" i="43" s="1"/>
  <c r="E59" i="43" a="1"/>
  <c r="E59" i="43" s="1"/>
  <c r="E94" i="43" a="1"/>
  <c r="E94" i="43" s="1"/>
  <c r="E104" i="43" a="1"/>
  <c r="E104" i="43" s="1"/>
  <c r="E58" i="43" a="1"/>
  <c r="E58" i="43" s="1"/>
  <c r="E134" i="43" a="1"/>
  <c r="E134" i="43" s="1"/>
  <c r="E102" i="43" a="1"/>
  <c r="E102" i="43" s="1"/>
  <c r="E57" i="43" a="1"/>
  <c r="E57" i="43" s="1"/>
  <c r="E132" i="43" a="1"/>
  <c r="E132" i="43" s="1"/>
  <c r="E100" i="43" a="1"/>
  <c r="E100" i="43" s="1"/>
  <c r="E51" i="43" a="1"/>
  <c r="E51" i="43" s="1"/>
  <c r="E56" i="43" a="1"/>
  <c r="E56" i="43" s="1"/>
  <c r="E128" i="43" a="1"/>
  <c r="E128" i="43" s="1"/>
  <c r="E98" i="43" a="1"/>
  <c r="E98" i="43" s="1"/>
  <c r="E71" i="43" a="1"/>
  <c r="E71" i="43" s="1"/>
  <c r="E55" i="43" a="1"/>
  <c r="E55" i="43" s="1"/>
  <c r="E126" i="43" a="1"/>
  <c r="E126" i="43" s="1"/>
  <c r="E92" i="43" a="1"/>
  <c r="E92" i="43" s="1"/>
  <c r="E72" i="43" a="1"/>
  <c r="E72" i="43" s="1"/>
  <c r="E54" i="43" a="1"/>
  <c r="E54" i="43" s="1"/>
  <c r="AF99" i="39"/>
  <c r="AF99" i="38"/>
  <c r="AF84" i="41"/>
  <c r="AF81" i="32"/>
  <c r="I33" i="44"/>
  <c r="I32" i="44"/>
  <c r="I31" i="44"/>
  <c r="I27" i="44"/>
  <c r="I26" i="44"/>
  <c r="I25" i="44"/>
  <c r="I21" i="44"/>
  <c r="I20" i="44"/>
  <c r="I19" i="44"/>
  <c r="I15" i="44"/>
  <c r="I14" i="44"/>
  <c r="I13" i="44"/>
  <c r="I9" i="44"/>
  <c r="I8" i="44"/>
  <c r="I7" i="44"/>
  <c r="T296" i="43"/>
  <c r="I12" i="44"/>
  <c r="T142" i="43"/>
  <c r="M92" i="43"/>
  <c r="S79" i="43"/>
  <c r="N79" i="43"/>
  <c r="I10" i="44" s="1"/>
  <c r="Q493" i="43"/>
  <c r="Q340" i="43"/>
  <c r="Q187" i="43"/>
  <c r="U171" i="43"/>
  <c r="U32" i="43"/>
  <c r="Q646" i="43"/>
  <c r="G9" i="43"/>
  <c r="I9" i="43"/>
  <c r="H9" i="43"/>
  <c r="G160" i="43"/>
  <c r="I173" i="43" s="1" a="1"/>
  <c r="I173" i="43" s="1"/>
  <c r="I160" i="43"/>
  <c r="H160" i="43"/>
  <c r="G313" i="43"/>
  <c r="F327" i="43" s="1" a="1"/>
  <c r="F327" i="43" s="1"/>
  <c r="I313" i="43"/>
  <c r="H313" i="43"/>
  <c r="G466" i="43"/>
  <c r="I466" i="43"/>
  <c r="H466" i="43"/>
  <c r="I619" i="43"/>
  <c r="H619" i="43"/>
  <c r="G619" i="43"/>
  <c r="H630" i="43" s="1" a="1"/>
  <c r="H630" i="43" s="1"/>
  <c r="U20" i="43"/>
  <c r="Z748" i="43"/>
  <c r="Y748" i="43"/>
  <c r="Z747" i="43"/>
  <c r="Y747" i="43"/>
  <c r="Z744" i="43"/>
  <c r="Y744" i="43"/>
  <c r="Z743" i="43"/>
  <c r="Y743" i="43"/>
  <c r="Z742" i="43"/>
  <c r="Y742" i="43"/>
  <c r="Z741" i="43"/>
  <c r="Y741" i="43"/>
  <c r="Z740" i="43"/>
  <c r="Y740" i="43"/>
  <c r="Z739" i="43"/>
  <c r="Y739" i="43"/>
  <c r="Z738" i="43"/>
  <c r="Y738" i="43"/>
  <c r="Z737" i="43"/>
  <c r="Y737" i="43"/>
  <c r="Z736" i="43"/>
  <c r="Y736" i="43"/>
  <c r="Z735" i="43"/>
  <c r="Y735" i="43"/>
  <c r="Z734" i="43"/>
  <c r="Y734" i="43"/>
  <c r="Z733" i="43"/>
  <c r="Y733" i="43"/>
  <c r="Z732" i="43"/>
  <c r="Y732" i="43"/>
  <c r="Z731" i="43"/>
  <c r="Y731" i="43"/>
  <c r="Z730" i="43"/>
  <c r="Y730" i="43"/>
  <c r="Z729" i="43"/>
  <c r="Y729" i="43"/>
  <c r="Z728" i="43"/>
  <c r="Y728" i="43"/>
  <c r="Z727" i="43"/>
  <c r="Y727" i="43"/>
  <c r="Z726" i="43"/>
  <c r="Y726" i="43"/>
  <c r="Z725" i="43"/>
  <c r="Y725" i="43"/>
  <c r="Z724" i="43"/>
  <c r="Y724" i="43"/>
  <c r="Z723" i="43"/>
  <c r="Y723" i="43"/>
  <c r="Z722" i="43"/>
  <c r="Y722" i="43"/>
  <c r="Z721" i="43"/>
  <c r="Y721" i="43"/>
  <c r="Z720" i="43"/>
  <c r="Y720" i="43"/>
  <c r="Z719" i="43"/>
  <c r="Y719" i="43"/>
  <c r="Z718" i="43"/>
  <c r="Y718" i="43"/>
  <c r="Z717" i="43"/>
  <c r="Y717" i="43"/>
  <c r="Z716" i="43"/>
  <c r="Y716" i="43"/>
  <c r="Z715" i="43"/>
  <c r="Y715" i="43"/>
  <c r="Z714" i="43"/>
  <c r="Y714" i="43"/>
  <c r="Z713" i="43"/>
  <c r="Y713" i="43"/>
  <c r="Z712" i="43"/>
  <c r="Y712" i="43"/>
  <c r="Z711" i="43"/>
  <c r="Y711" i="43"/>
  <c r="Z710" i="43"/>
  <c r="Y710" i="43"/>
  <c r="Z709" i="43"/>
  <c r="Y709" i="43"/>
  <c r="Z708" i="43"/>
  <c r="Y708" i="43"/>
  <c r="Z707" i="43"/>
  <c r="Y707" i="43"/>
  <c r="Z706" i="43"/>
  <c r="Y706" i="43"/>
  <c r="Z705" i="43"/>
  <c r="Y705" i="43"/>
  <c r="Z704" i="43"/>
  <c r="Y704" i="43"/>
  <c r="Z703" i="43"/>
  <c r="Y703" i="43"/>
  <c r="Z683" i="43"/>
  <c r="Y683" i="43"/>
  <c r="Z681" i="43"/>
  <c r="Y681" i="43"/>
  <c r="Z680" i="43"/>
  <c r="Y680" i="43"/>
  <c r="Z679" i="43"/>
  <c r="Y679" i="43"/>
  <c r="Z678" i="43"/>
  <c r="Y678" i="43"/>
  <c r="Z677" i="43"/>
  <c r="Y677" i="43"/>
  <c r="Z676" i="43"/>
  <c r="Y676" i="43"/>
  <c r="Z675" i="43"/>
  <c r="Y675" i="43"/>
  <c r="Z674" i="43"/>
  <c r="Y674" i="43"/>
  <c r="Z673" i="43"/>
  <c r="Y673" i="43"/>
  <c r="Z672" i="43"/>
  <c r="Y672" i="43"/>
  <c r="Z671" i="43"/>
  <c r="Y671" i="43"/>
  <c r="Z670" i="43"/>
  <c r="Y670" i="43"/>
  <c r="Z669" i="43"/>
  <c r="Y669" i="43"/>
  <c r="Z668" i="43"/>
  <c r="Y668" i="43"/>
  <c r="Z667" i="43"/>
  <c r="Y667" i="43"/>
  <c r="Z666" i="43"/>
  <c r="Y666" i="43"/>
  <c r="Z665" i="43"/>
  <c r="Y665" i="43"/>
  <c r="Z664" i="43"/>
  <c r="Y664" i="43"/>
  <c r="Z663" i="43"/>
  <c r="Y663" i="43"/>
  <c r="Z662" i="43"/>
  <c r="Y662" i="43"/>
  <c r="Z661" i="43"/>
  <c r="Y661" i="43"/>
  <c r="Z649" i="43"/>
  <c r="Y649" i="43"/>
  <c r="Z648" i="43"/>
  <c r="Y648" i="43"/>
  <c r="Z647" i="43"/>
  <c r="Y647" i="43"/>
  <c r="Z646" i="43"/>
  <c r="Y646" i="43"/>
  <c r="Z645" i="43"/>
  <c r="Y645" i="43"/>
  <c r="Z644" i="43"/>
  <c r="Y644" i="43"/>
  <c r="Z643" i="43"/>
  <c r="Y643" i="43"/>
  <c r="Z642" i="43"/>
  <c r="Y642" i="43"/>
  <c r="Z633" i="43"/>
  <c r="Y633" i="43"/>
  <c r="Z632" i="43"/>
  <c r="Y632" i="43"/>
  <c r="Z631" i="43"/>
  <c r="Y631" i="43"/>
  <c r="Z630" i="43"/>
  <c r="Y630" i="43"/>
  <c r="Z595" i="43"/>
  <c r="Y595" i="43"/>
  <c r="Z594" i="43"/>
  <c r="Y594" i="43"/>
  <c r="Z591" i="43"/>
  <c r="Y591" i="43"/>
  <c r="Z590" i="43"/>
  <c r="Y590" i="43"/>
  <c r="Z589" i="43"/>
  <c r="Y589" i="43"/>
  <c r="Z588" i="43"/>
  <c r="Y588" i="43"/>
  <c r="Z587" i="43"/>
  <c r="Y587" i="43"/>
  <c r="Z586" i="43"/>
  <c r="Y586" i="43"/>
  <c r="Z585" i="43"/>
  <c r="Y585" i="43"/>
  <c r="Z584" i="43"/>
  <c r="Y584" i="43"/>
  <c r="Z583" i="43"/>
  <c r="Y583" i="43"/>
  <c r="Z582" i="43"/>
  <c r="Y582" i="43"/>
  <c r="Z581" i="43"/>
  <c r="Y581" i="43"/>
  <c r="Z580" i="43"/>
  <c r="Y580" i="43"/>
  <c r="Z579" i="43"/>
  <c r="Y579" i="43"/>
  <c r="Z578" i="43"/>
  <c r="Y578" i="43"/>
  <c r="Z577" i="43"/>
  <c r="Y577" i="43"/>
  <c r="Z576" i="43"/>
  <c r="Y576" i="43"/>
  <c r="Z575" i="43"/>
  <c r="Y575" i="43"/>
  <c r="Z574" i="43"/>
  <c r="Y574" i="43"/>
  <c r="Z573" i="43"/>
  <c r="Y573" i="43"/>
  <c r="Z572" i="43"/>
  <c r="Y572" i="43"/>
  <c r="Z571" i="43"/>
  <c r="Y571" i="43"/>
  <c r="Z570" i="43"/>
  <c r="Y570" i="43"/>
  <c r="Z569" i="43"/>
  <c r="Y569" i="43"/>
  <c r="Z568" i="43"/>
  <c r="Y568" i="43"/>
  <c r="Z567" i="43"/>
  <c r="Y567" i="43"/>
  <c r="Z566" i="43"/>
  <c r="Y566" i="43"/>
  <c r="Z565" i="43"/>
  <c r="Y565" i="43"/>
  <c r="Z564" i="43"/>
  <c r="Y564" i="43"/>
  <c r="Z563" i="43"/>
  <c r="Y563" i="43"/>
  <c r="Z562" i="43"/>
  <c r="Y562" i="43"/>
  <c r="Z561" i="43"/>
  <c r="Y561" i="43"/>
  <c r="Z560" i="43"/>
  <c r="Y560" i="43"/>
  <c r="Z559" i="43"/>
  <c r="Y559" i="43"/>
  <c r="Z558" i="43"/>
  <c r="Y558" i="43"/>
  <c r="Z557" i="43"/>
  <c r="Y557" i="43"/>
  <c r="Z556" i="43"/>
  <c r="Y556" i="43"/>
  <c r="Z555" i="43"/>
  <c r="Y555" i="43"/>
  <c r="Z554" i="43"/>
  <c r="Y554" i="43"/>
  <c r="Z553" i="43"/>
  <c r="Y553" i="43"/>
  <c r="Z552" i="43"/>
  <c r="Y552" i="43"/>
  <c r="Z551" i="43"/>
  <c r="Y551" i="43"/>
  <c r="Z550" i="43"/>
  <c r="Y550" i="43"/>
  <c r="Z530" i="43"/>
  <c r="Y530" i="43"/>
  <c r="Z528" i="43"/>
  <c r="Y528" i="43"/>
  <c r="Z527" i="43"/>
  <c r="Y527" i="43"/>
  <c r="Z526" i="43"/>
  <c r="Y526" i="43"/>
  <c r="Z525" i="43"/>
  <c r="Y525" i="43"/>
  <c r="Z524" i="43"/>
  <c r="Y524" i="43"/>
  <c r="Z523" i="43"/>
  <c r="Y523" i="43"/>
  <c r="Z522" i="43"/>
  <c r="Y522" i="43"/>
  <c r="Z521" i="43"/>
  <c r="Y521" i="43"/>
  <c r="Z520" i="43"/>
  <c r="Y520" i="43"/>
  <c r="Z519" i="43"/>
  <c r="Y519" i="43"/>
  <c r="Z518" i="43"/>
  <c r="Y518" i="43"/>
  <c r="Z517" i="43"/>
  <c r="Y517" i="43"/>
  <c r="Z516" i="43"/>
  <c r="Y516" i="43"/>
  <c r="Z515" i="43"/>
  <c r="Y515" i="43"/>
  <c r="Z514" i="43"/>
  <c r="Y514" i="43"/>
  <c r="Z513" i="43"/>
  <c r="Y513" i="43"/>
  <c r="Z512" i="43"/>
  <c r="Y512" i="43"/>
  <c r="Z511" i="43"/>
  <c r="Y511" i="43"/>
  <c r="Z510" i="43"/>
  <c r="Y510" i="43"/>
  <c r="Z509" i="43"/>
  <c r="Y509" i="43"/>
  <c r="Z508" i="43"/>
  <c r="Y508" i="43"/>
  <c r="Z496" i="43"/>
  <c r="Y496" i="43"/>
  <c r="Z495" i="43"/>
  <c r="Y495" i="43"/>
  <c r="Z494" i="43"/>
  <c r="Y494" i="43"/>
  <c r="Z493" i="43"/>
  <c r="Y493" i="43"/>
  <c r="Z492" i="43"/>
  <c r="Y492" i="43"/>
  <c r="Z491" i="43"/>
  <c r="Y491" i="43"/>
  <c r="Z490" i="43"/>
  <c r="Y490" i="43"/>
  <c r="Z489" i="43"/>
  <c r="Y489" i="43"/>
  <c r="Z480" i="43"/>
  <c r="Y480" i="43"/>
  <c r="Z479" i="43"/>
  <c r="Y479" i="43"/>
  <c r="Z478" i="43"/>
  <c r="Y478" i="43"/>
  <c r="Z477" i="43"/>
  <c r="Y477" i="43"/>
  <c r="Z442" i="43"/>
  <c r="Y442" i="43"/>
  <c r="Z441" i="43"/>
  <c r="Y441" i="43"/>
  <c r="Z438" i="43"/>
  <c r="Y438" i="43"/>
  <c r="Z437" i="43"/>
  <c r="Y437" i="43"/>
  <c r="Z436" i="43"/>
  <c r="Y436" i="43"/>
  <c r="Z435" i="43"/>
  <c r="Y435" i="43"/>
  <c r="Z434" i="43"/>
  <c r="Y434" i="43"/>
  <c r="Z433" i="43"/>
  <c r="Y433" i="43"/>
  <c r="Z432" i="43"/>
  <c r="Y432" i="43"/>
  <c r="Z431" i="43"/>
  <c r="Y431" i="43"/>
  <c r="Z430" i="43"/>
  <c r="Y430" i="43"/>
  <c r="Z429" i="43"/>
  <c r="Y429" i="43"/>
  <c r="Z428" i="43"/>
  <c r="Y428" i="43"/>
  <c r="Z427" i="43"/>
  <c r="Y427" i="43"/>
  <c r="Z426" i="43"/>
  <c r="Y426" i="43"/>
  <c r="Z425" i="43"/>
  <c r="Y425" i="43"/>
  <c r="Z424" i="43"/>
  <c r="Y424" i="43"/>
  <c r="Z423" i="43"/>
  <c r="Y423" i="43"/>
  <c r="Z422" i="43"/>
  <c r="Y422" i="43"/>
  <c r="Z421" i="43"/>
  <c r="Y421" i="43"/>
  <c r="Z420" i="43"/>
  <c r="Y420" i="43"/>
  <c r="Z419" i="43"/>
  <c r="Y419" i="43"/>
  <c r="Z418" i="43"/>
  <c r="Y418" i="43"/>
  <c r="Z417" i="43"/>
  <c r="Y417" i="43"/>
  <c r="Z416" i="43"/>
  <c r="Y416" i="43"/>
  <c r="Z415" i="43"/>
  <c r="Y415" i="43"/>
  <c r="Z414" i="43"/>
  <c r="Y414" i="43"/>
  <c r="Z413" i="43"/>
  <c r="Y413" i="43"/>
  <c r="Z412" i="43"/>
  <c r="Y412" i="43"/>
  <c r="Z411" i="43"/>
  <c r="Y411" i="43"/>
  <c r="Z410" i="43"/>
  <c r="Y410" i="43"/>
  <c r="Z409" i="43"/>
  <c r="Y409" i="43"/>
  <c r="Z408" i="43"/>
  <c r="Y408" i="43"/>
  <c r="Z407" i="43"/>
  <c r="Y407" i="43"/>
  <c r="Z406" i="43"/>
  <c r="Y406" i="43"/>
  <c r="Z405" i="43"/>
  <c r="Y405" i="43"/>
  <c r="Z404" i="43"/>
  <c r="Y404" i="43"/>
  <c r="Z403" i="43"/>
  <c r="Y403" i="43"/>
  <c r="Z402" i="43"/>
  <c r="Y402" i="43"/>
  <c r="Z401" i="43"/>
  <c r="Y401" i="43"/>
  <c r="Z400" i="43"/>
  <c r="Y400" i="43"/>
  <c r="Z399" i="43"/>
  <c r="Y399" i="43"/>
  <c r="Z398" i="43"/>
  <c r="Y398" i="43"/>
  <c r="Z397" i="43"/>
  <c r="Y397" i="43"/>
  <c r="Z377" i="43"/>
  <c r="Y377" i="43"/>
  <c r="Z375" i="43"/>
  <c r="Y375" i="43"/>
  <c r="Z374" i="43"/>
  <c r="Y374" i="43"/>
  <c r="Z373" i="43"/>
  <c r="Y373" i="43"/>
  <c r="Z372" i="43"/>
  <c r="Y372" i="43"/>
  <c r="Z371" i="43"/>
  <c r="Y371" i="43"/>
  <c r="Z370" i="43"/>
  <c r="Y370" i="43"/>
  <c r="Z369" i="43"/>
  <c r="Y369" i="43"/>
  <c r="Z368" i="43"/>
  <c r="Y368" i="43"/>
  <c r="Z367" i="43"/>
  <c r="Y367" i="43"/>
  <c r="Z366" i="43"/>
  <c r="Y366" i="43"/>
  <c r="Z365" i="43"/>
  <c r="Y365" i="43"/>
  <c r="Z364" i="43"/>
  <c r="Y364" i="43"/>
  <c r="Z363" i="43"/>
  <c r="Y363" i="43"/>
  <c r="Z362" i="43"/>
  <c r="Y362" i="43"/>
  <c r="Z361" i="43"/>
  <c r="Y361" i="43"/>
  <c r="Z360" i="43"/>
  <c r="Y360" i="43"/>
  <c r="Z359" i="43"/>
  <c r="Y359" i="43"/>
  <c r="Z358" i="43"/>
  <c r="Y358" i="43"/>
  <c r="Z357" i="43"/>
  <c r="Y357" i="43"/>
  <c r="Z356" i="43"/>
  <c r="Y356" i="43"/>
  <c r="Z355" i="43"/>
  <c r="Y355" i="43"/>
  <c r="Z343" i="43"/>
  <c r="Y343" i="43"/>
  <c r="Z342" i="43"/>
  <c r="Y342" i="43"/>
  <c r="Z341" i="43"/>
  <c r="Y341" i="43"/>
  <c r="Z340" i="43"/>
  <c r="Y340" i="43"/>
  <c r="Z339" i="43"/>
  <c r="Y339" i="43"/>
  <c r="Z338" i="43"/>
  <c r="Y338" i="43"/>
  <c r="Z337" i="43"/>
  <c r="Y337" i="43"/>
  <c r="Z336" i="43"/>
  <c r="Y336" i="43"/>
  <c r="Z327" i="43"/>
  <c r="Y327" i="43"/>
  <c r="Z326" i="43"/>
  <c r="Y326" i="43"/>
  <c r="Z325" i="43"/>
  <c r="Y325" i="43"/>
  <c r="Z324" i="43"/>
  <c r="Y324" i="43"/>
  <c r="Z289" i="43"/>
  <c r="Y289" i="43"/>
  <c r="Z288" i="43"/>
  <c r="Y288" i="43"/>
  <c r="Z285" i="43"/>
  <c r="Y285" i="43"/>
  <c r="Z284" i="43"/>
  <c r="Y284" i="43"/>
  <c r="Z283" i="43"/>
  <c r="Y283" i="43"/>
  <c r="Z282" i="43"/>
  <c r="Y282" i="43"/>
  <c r="Z281" i="43"/>
  <c r="Y281" i="43"/>
  <c r="Z280" i="43"/>
  <c r="Y280" i="43"/>
  <c r="Z279" i="43"/>
  <c r="Y279" i="43"/>
  <c r="Z278" i="43"/>
  <c r="Y278" i="43"/>
  <c r="Z277" i="43"/>
  <c r="Y277" i="43"/>
  <c r="Z276" i="43"/>
  <c r="Y276" i="43"/>
  <c r="Z275" i="43"/>
  <c r="Y275" i="43"/>
  <c r="Z274" i="43"/>
  <c r="Y274" i="43"/>
  <c r="Z273" i="43"/>
  <c r="Y273" i="43"/>
  <c r="Z272" i="43"/>
  <c r="Y272" i="43"/>
  <c r="Z271" i="43"/>
  <c r="Y271" i="43"/>
  <c r="Z270" i="43"/>
  <c r="Y270" i="43"/>
  <c r="Z269" i="43"/>
  <c r="Y269" i="43"/>
  <c r="Z268" i="43"/>
  <c r="Y268" i="43"/>
  <c r="Z267" i="43"/>
  <c r="Y267" i="43"/>
  <c r="Z266" i="43"/>
  <c r="Y266" i="43"/>
  <c r="Z265" i="43"/>
  <c r="Y265" i="43"/>
  <c r="Z264" i="43"/>
  <c r="Y264" i="43"/>
  <c r="Z263" i="43"/>
  <c r="Y263" i="43"/>
  <c r="Z262" i="43"/>
  <c r="Y262" i="43"/>
  <c r="Z261" i="43"/>
  <c r="Y261" i="43"/>
  <c r="Z260" i="43"/>
  <c r="Y260" i="43"/>
  <c r="Z259" i="43"/>
  <c r="Y259" i="43"/>
  <c r="Z258" i="43"/>
  <c r="Y258" i="43"/>
  <c r="Z257" i="43"/>
  <c r="Y257" i="43"/>
  <c r="Z256" i="43"/>
  <c r="Y256" i="43"/>
  <c r="Z255" i="43"/>
  <c r="Y255" i="43"/>
  <c r="Z254" i="43"/>
  <c r="Y254" i="43"/>
  <c r="Z253" i="43"/>
  <c r="Y253" i="43"/>
  <c r="Z252" i="43"/>
  <c r="Y252" i="43"/>
  <c r="Z251" i="43"/>
  <c r="Y251" i="43"/>
  <c r="Z250" i="43"/>
  <c r="Y250" i="43"/>
  <c r="Z249" i="43"/>
  <c r="Y249" i="43"/>
  <c r="Z248" i="43"/>
  <c r="Y248" i="43"/>
  <c r="Z247" i="43"/>
  <c r="Y247" i="43"/>
  <c r="Z246" i="43"/>
  <c r="Y246" i="43"/>
  <c r="Z245" i="43"/>
  <c r="Y245" i="43"/>
  <c r="Z244" i="43"/>
  <c r="Y244" i="43"/>
  <c r="Z224" i="43"/>
  <c r="Y224" i="43"/>
  <c r="Z222" i="43"/>
  <c r="Y222" i="43"/>
  <c r="Z221" i="43"/>
  <c r="Y221" i="43"/>
  <c r="Z220" i="43"/>
  <c r="Y220" i="43"/>
  <c r="Z219" i="43"/>
  <c r="Y219" i="43"/>
  <c r="Z218" i="43"/>
  <c r="Y218" i="43"/>
  <c r="Z217" i="43"/>
  <c r="Y217" i="43"/>
  <c r="Z216" i="43"/>
  <c r="Y216" i="43"/>
  <c r="Z215" i="43"/>
  <c r="Y215" i="43"/>
  <c r="Z214" i="43"/>
  <c r="Y214" i="43"/>
  <c r="Z213" i="43"/>
  <c r="Y213" i="43"/>
  <c r="Z212" i="43"/>
  <c r="Y212" i="43"/>
  <c r="Z211" i="43"/>
  <c r="Y211" i="43"/>
  <c r="Z210" i="43"/>
  <c r="Y210" i="43"/>
  <c r="Z209" i="43"/>
  <c r="Y209" i="43"/>
  <c r="Z208" i="43"/>
  <c r="Y208" i="43"/>
  <c r="Z207" i="43"/>
  <c r="Y207" i="43"/>
  <c r="Z206" i="43"/>
  <c r="Y206" i="43"/>
  <c r="Z205" i="43"/>
  <c r="Y205" i="43"/>
  <c r="Z204" i="43"/>
  <c r="Y204" i="43"/>
  <c r="Z203" i="43"/>
  <c r="Y203" i="43"/>
  <c r="Z202" i="43"/>
  <c r="Y202" i="43"/>
  <c r="Z190" i="43"/>
  <c r="Y190" i="43"/>
  <c r="Z189" i="43"/>
  <c r="Y189" i="43"/>
  <c r="Z188" i="43"/>
  <c r="Y188" i="43"/>
  <c r="Z187" i="43"/>
  <c r="Y187" i="43"/>
  <c r="Z186" i="43"/>
  <c r="Y186" i="43"/>
  <c r="Z185" i="43"/>
  <c r="Y185" i="43"/>
  <c r="Z184" i="43"/>
  <c r="Y184" i="43"/>
  <c r="Z183" i="43"/>
  <c r="Y183" i="43"/>
  <c r="Z174" i="43"/>
  <c r="Y174" i="43"/>
  <c r="Z173" i="43"/>
  <c r="Y173" i="43"/>
  <c r="Z172" i="43"/>
  <c r="Y172" i="43"/>
  <c r="Z171" i="43"/>
  <c r="Y171" i="43"/>
  <c r="Z135" i="43"/>
  <c r="Y135" i="43"/>
  <c r="Z134" i="43"/>
  <c r="Y134" i="43"/>
  <c r="Z131" i="43"/>
  <c r="Y131" i="43"/>
  <c r="Z130" i="43"/>
  <c r="Y130" i="43"/>
  <c r="Z129" i="43"/>
  <c r="Y129" i="43"/>
  <c r="Z128" i="43"/>
  <c r="Y128" i="43"/>
  <c r="Z127" i="43"/>
  <c r="Y127" i="43"/>
  <c r="Z126" i="43"/>
  <c r="Y126" i="43"/>
  <c r="Z125" i="43"/>
  <c r="Y125" i="43"/>
  <c r="Z124" i="43"/>
  <c r="Y124" i="43"/>
  <c r="Z123" i="43"/>
  <c r="Y123" i="43"/>
  <c r="Z122" i="43"/>
  <c r="Y122" i="43"/>
  <c r="Z121" i="43"/>
  <c r="Y121" i="43"/>
  <c r="Z120" i="43"/>
  <c r="Y120" i="43"/>
  <c r="Z119" i="43"/>
  <c r="Y119" i="43"/>
  <c r="Z118" i="43"/>
  <c r="Y118" i="43"/>
  <c r="Z117" i="43"/>
  <c r="Y117" i="43"/>
  <c r="Z116" i="43"/>
  <c r="Y116" i="43"/>
  <c r="Z115" i="43"/>
  <c r="Y115" i="43"/>
  <c r="Z114" i="43"/>
  <c r="Y114" i="43"/>
  <c r="Z113" i="43"/>
  <c r="Y113" i="43"/>
  <c r="Z112" i="43"/>
  <c r="Y112" i="43"/>
  <c r="Z111" i="43"/>
  <c r="Y111" i="43"/>
  <c r="Z110" i="43"/>
  <c r="Y110" i="43"/>
  <c r="Z109" i="43"/>
  <c r="Y109" i="43"/>
  <c r="Z108" i="43"/>
  <c r="Y108" i="43"/>
  <c r="Z107" i="43"/>
  <c r="Y107" i="43"/>
  <c r="Z106" i="43"/>
  <c r="Y106" i="43"/>
  <c r="Z105" i="43"/>
  <c r="Y105" i="43"/>
  <c r="Z104" i="43"/>
  <c r="Y104" i="43"/>
  <c r="Z103" i="43"/>
  <c r="Y103" i="43"/>
  <c r="Z102" i="43"/>
  <c r="Y102" i="43"/>
  <c r="Z101" i="43"/>
  <c r="Y101" i="43"/>
  <c r="Z100" i="43"/>
  <c r="Y100" i="43"/>
  <c r="Z99" i="43"/>
  <c r="Y99" i="43"/>
  <c r="Z98" i="43"/>
  <c r="Y98" i="43"/>
  <c r="Z97" i="43"/>
  <c r="Y97" i="43"/>
  <c r="Z96" i="43"/>
  <c r="Y96" i="43"/>
  <c r="Z95" i="43"/>
  <c r="Y95" i="43"/>
  <c r="Z94" i="43"/>
  <c r="Y94" i="43"/>
  <c r="Z93" i="43"/>
  <c r="Y93" i="43"/>
  <c r="Z92" i="43"/>
  <c r="Y92" i="43"/>
  <c r="Z72" i="43"/>
  <c r="Y72" i="43"/>
  <c r="Z70" i="43"/>
  <c r="Y70" i="43"/>
  <c r="Z69" i="43"/>
  <c r="Y69" i="43"/>
  <c r="Z68" i="43"/>
  <c r="Y68" i="43"/>
  <c r="Z67" i="43"/>
  <c r="Y67" i="43"/>
  <c r="Z66" i="43"/>
  <c r="Y66" i="43"/>
  <c r="Z65" i="43"/>
  <c r="Y65" i="43"/>
  <c r="Z64" i="43"/>
  <c r="Y64" i="43"/>
  <c r="Z63" i="43"/>
  <c r="Y63" i="43"/>
  <c r="Z62" i="43"/>
  <c r="Y62" i="43"/>
  <c r="Z61" i="43"/>
  <c r="Y61" i="43"/>
  <c r="Z60" i="43"/>
  <c r="Y60" i="43"/>
  <c r="Z59" i="43"/>
  <c r="Y59" i="43"/>
  <c r="Z58" i="43"/>
  <c r="Y58" i="43"/>
  <c r="Z57" i="43"/>
  <c r="Y57" i="43"/>
  <c r="Z56" i="43"/>
  <c r="Y56" i="43"/>
  <c r="Z55" i="43"/>
  <c r="Y55" i="43"/>
  <c r="Z54" i="43"/>
  <c r="Y54" i="43"/>
  <c r="Z53" i="43"/>
  <c r="Y53" i="43"/>
  <c r="Z52" i="43"/>
  <c r="Y52" i="43"/>
  <c r="Z51" i="43"/>
  <c r="Y51" i="43"/>
  <c r="Z39" i="43"/>
  <c r="Y39" i="43"/>
  <c r="Z38" i="43"/>
  <c r="Y38" i="43"/>
  <c r="Z37" i="43"/>
  <c r="Y37" i="43"/>
  <c r="Z36" i="43"/>
  <c r="Y36" i="43"/>
  <c r="Z35" i="43"/>
  <c r="Y35" i="43"/>
  <c r="Z34" i="43"/>
  <c r="Y34" i="43"/>
  <c r="Z33" i="43"/>
  <c r="Y33" i="43"/>
  <c r="Z32" i="43"/>
  <c r="Y32" i="43"/>
  <c r="Z23" i="43"/>
  <c r="Y23" i="43"/>
  <c r="Z22" i="43"/>
  <c r="Y22" i="43"/>
  <c r="Z21" i="43"/>
  <c r="Y21" i="43"/>
  <c r="Z20" i="43"/>
  <c r="Y20" i="43"/>
  <c r="H36" i="44"/>
  <c r="H35" i="44"/>
  <c r="H34" i="44"/>
  <c r="H33" i="44"/>
  <c r="H32" i="44"/>
  <c r="H31" i="44"/>
  <c r="H30" i="44"/>
  <c r="H29" i="44"/>
  <c r="H28" i="44"/>
  <c r="H27" i="44"/>
  <c r="H26" i="44"/>
  <c r="H25" i="44"/>
  <c r="H24" i="44"/>
  <c r="H23" i="44"/>
  <c r="H22" i="44"/>
  <c r="H21" i="44"/>
  <c r="H20" i="44"/>
  <c r="H19" i="44"/>
  <c r="H18" i="44"/>
  <c r="H17" i="44"/>
  <c r="H16" i="44"/>
  <c r="H15" i="44"/>
  <c r="H14" i="44"/>
  <c r="H13" i="44"/>
  <c r="H12" i="44"/>
  <c r="H11" i="44"/>
  <c r="H10" i="44"/>
  <c r="H9" i="44"/>
  <c r="H8" i="44"/>
  <c r="H7" i="44"/>
  <c r="G185" i="42"/>
  <c r="G181" i="42"/>
  <c r="G180" i="42"/>
  <c r="G166" i="41"/>
  <c r="G162" i="41"/>
  <c r="G161" i="41"/>
  <c r="G259" i="39"/>
  <c r="G244" i="38"/>
  <c r="G167" i="32"/>
  <c r="G255" i="39"/>
  <c r="G254" i="39"/>
  <c r="G240" i="38"/>
  <c r="G239" i="38"/>
  <c r="G163" i="32"/>
  <c r="G162" i="32"/>
  <c r="I8" i="21"/>
  <c r="Q36" i="43"/>
  <c r="F171" i="43" l="1" a="1"/>
  <c r="F171" i="43" s="1"/>
  <c r="E326" i="43" a="1"/>
  <c r="E326" i="43" s="1"/>
  <c r="E325" i="43" a="1"/>
  <c r="E325" i="43" s="1"/>
  <c r="D174" i="43" a="1"/>
  <c r="D174" i="43" s="1"/>
  <c r="F326" i="43" a="1"/>
  <c r="F326" i="43" s="1"/>
  <c r="G327" i="43" a="1"/>
  <c r="G327" i="43" s="1"/>
  <c r="E174" i="43" a="1"/>
  <c r="E174" i="43" s="1"/>
  <c r="D324" i="43" a="1"/>
  <c r="D324" i="43" s="1"/>
  <c r="F325" i="43" a="1"/>
  <c r="F325" i="43" s="1"/>
  <c r="H171" i="43" a="1"/>
  <c r="H171" i="43" s="1"/>
  <c r="G326" i="43" a="1"/>
  <c r="G326" i="43" s="1"/>
  <c r="H327" i="43" a="1"/>
  <c r="H327" i="43" s="1"/>
  <c r="F174" i="43" a="1"/>
  <c r="F174" i="43" s="1"/>
  <c r="E324" i="43" a="1"/>
  <c r="E324" i="43" s="1"/>
  <c r="G171" i="43" a="1"/>
  <c r="G171" i="43" s="1"/>
  <c r="I171" i="43" a="1"/>
  <c r="I171" i="43" s="1"/>
  <c r="H326" i="43" a="1"/>
  <c r="H326" i="43" s="1"/>
  <c r="H172" i="43" a="1"/>
  <c r="H172" i="43" s="1"/>
  <c r="G174" i="43" a="1"/>
  <c r="G174" i="43" s="1"/>
  <c r="I325" i="43" a="1"/>
  <c r="I325" i="43" s="1"/>
  <c r="I172" i="43" a="1"/>
  <c r="I172" i="43" s="1"/>
  <c r="D172" i="43" a="1"/>
  <c r="D172" i="43" s="1"/>
  <c r="F324" i="43" a="1"/>
  <c r="F324" i="43" s="1"/>
  <c r="I633" i="43" a="1"/>
  <c r="I633" i="43" s="1"/>
  <c r="E631" i="43" a="1"/>
  <c r="E631" i="43" s="1"/>
  <c r="H633" i="43" a="1"/>
  <c r="H633" i="43" s="1"/>
  <c r="D631" i="43" a="1"/>
  <c r="D631" i="43" s="1"/>
  <c r="G633" i="43" a="1"/>
  <c r="G633" i="43" s="1"/>
  <c r="I630" i="43" a="1"/>
  <c r="I630" i="43" s="1"/>
  <c r="F633" i="43" a="1"/>
  <c r="F633" i="43" s="1"/>
  <c r="E633" i="43" a="1"/>
  <c r="E633" i="43" s="1"/>
  <c r="G630" i="43" a="1"/>
  <c r="G630" i="43" s="1"/>
  <c r="D633" i="43" a="1"/>
  <c r="D633" i="43" s="1"/>
  <c r="F630" i="43" a="1"/>
  <c r="F630" i="43" s="1"/>
  <c r="I632" i="43" a="1"/>
  <c r="I632" i="43" s="1"/>
  <c r="E630" i="43" a="1"/>
  <c r="E630" i="43" s="1"/>
  <c r="H632" i="43" a="1"/>
  <c r="H632" i="43" s="1"/>
  <c r="D630" i="43" a="1"/>
  <c r="D630" i="43" s="1"/>
  <c r="D642" i="43" s="1"/>
  <c r="G632" i="43" a="1"/>
  <c r="G632" i="43" s="1"/>
  <c r="F632" i="43" a="1"/>
  <c r="F632" i="43" s="1"/>
  <c r="E632" i="43" a="1"/>
  <c r="E632" i="43" s="1"/>
  <c r="G631" i="43" a="1"/>
  <c r="G631" i="43" s="1"/>
  <c r="D632" i="43" a="1"/>
  <c r="D632" i="43" s="1"/>
  <c r="I631" i="43" a="1"/>
  <c r="I631" i="43" s="1"/>
  <c r="H631" i="43" a="1"/>
  <c r="H631" i="43" s="1"/>
  <c r="F631" i="43" a="1"/>
  <c r="F631" i="43" s="1"/>
  <c r="D173" i="43" a="1"/>
  <c r="D173" i="43" s="1"/>
  <c r="H174" i="43" a="1"/>
  <c r="H174" i="43" s="1"/>
  <c r="G324" i="43" a="1"/>
  <c r="G324" i="43" s="1"/>
  <c r="E173" i="43" a="1"/>
  <c r="E173" i="43" s="1"/>
  <c r="E172" i="43" a="1"/>
  <c r="E172" i="43" s="1"/>
  <c r="I326" i="43" a="1"/>
  <c r="I326" i="43" s="1"/>
  <c r="F173" i="43" a="1"/>
  <c r="F173" i="43" s="1"/>
  <c r="I174" i="43" a="1"/>
  <c r="I174" i="43" s="1"/>
  <c r="H324" i="43" a="1"/>
  <c r="H324" i="43" s="1"/>
  <c r="I479" i="43" a="1"/>
  <c r="I479" i="43" s="1"/>
  <c r="D477" i="43" a="1"/>
  <c r="D477" i="43" s="1"/>
  <c r="D489" i="43" s="1"/>
  <c r="F477" i="43" a="1"/>
  <c r="F477" i="43" s="1"/>
  <c r="H479" i="43" a="1"/>
  <c r="H479" i="43" s="1"/>
  <c r="E480" i="43" a="1"/>
  <c r="E480" i="43" s="1"/>
  <c r="G479" i="43" a="1"/>
  <c r="G479" i="43" s="1"/>
  <c r="F479" i="43" a="1"/>
  <c r="F479" i="43" s="1"/>
  <c r="E479" i="43" a="1"/>
  <c r="E479" i="43" s="1"/>
  <c r="D479" i="43" a="1"/>
  <c r="D479" i="43" s="1"/>
  <c r="I478" i="43" a="1"/>
  <c r="I478" i="43" s="1"/>
  <c r="G480" i="43" a="1"/>
  <c r="G480" i="43" s="1"/>
  <c r="H478" i="43" a="1"/>
  <c r="H478" i="43" s="1"/>
  <c r="H477" i="43" a="1"/>
  <c r="H477" i="43" s="1"/>
  <c r="G477" i="43" a="1"/>
  <c r="G477" i="43" s="1"/>
  <c r="D478" i="43" a="1"/>
  <c r="D478" i="43" s="1"/>
  <c r="G478" i="43" a="1"/>
  <c r="G478" i="43" s="1"/>
  <c r="F480" i="43" a="1"/>
  <c r="F480" i="43" s="1"/>
  <c r="F478" i="43" a="1"/>
  <c r="F478" i="43" s="1"/>
  <c r="I480" i="43" a="1"/>
  <c r="I480" i="43" s="1"/>
  <c r="E478" i="43" a="1"/>
  <c r="E478" i="43" s="1"/>
  <c r="H480" i="43" a="1"/>
  <c r="H480" i="43" s="1"/>
  <c r="I477" i="43" a="1"/>
  <c r="I477" i="43" s="1"/>
  <c r="D480" i="43" a="1"/>
  <c r="D480" i="43" s="1"/>
  <c r="E477" i="43" a="1"/>
  <c r="E477" i="43" s="1"/>
  <c r="G172" i="43" a="1"/>
  <c r="G172" i="43" s="1"/>
  <c r="F172" i="43" a="1"/>
  <c r="F172" i="43" s="1"/>
  <c r="D327" i="43" a="1"/>
  <c r="D327" i="43" s="1"/>
  <c r="G173" i="43" a="1"/>
  <c r="G173" i="43" s="1"/>
  <c r="E171" i="43" a="1"/>
  <c r="E171" i="43" s="1"/>
  <c r="I327" i="43" a="1"/>
  <c r="I327" i="43" s="1"/>
  <c r="I324" i="43" a="1"/>
  <c r="I324" i="43" s="1"/>
  <c r="H173" i="43" a="1"/>
  <c r="H173" i="43" s="1"/>
  <c r="G325" i="43" a="1"/>
  <c r="G325" i="43" s="1"/>
  <c r="E327" i="43" a="1"/>
  <c r="E327" i="43" s="1"/>
  <c r="D171" i="43" a="1"/>
  <c r="D171" i="43" s="1"/>
  <c r="D183" i="43" s="1"/>
  <c r="H325" i="43" a="1"/>
  <c r="H325" i="43" s="1"/>
  <c r="D325" i="43" a="1"/>
  <c r="D325" i="43" s="1"/>
  <c r="D326" i="43" a="1"/>
  <c r="D326" i="43" s="1"/>
  <c r="D20" i="43" a="1"/>
  <c r="D20" i="43" s="1"/>
  <c r="D32" i="43" s="1"/>
  <c r="F21" i="43" a="1"/>
  <c r="F21" i="43" s="1"/>
  <c r="I23" i="43" a="1"/>
  <c r="I23" i="43" s="1"/>
  <c r="E21" i="43" a="1"/>
  <c r="E21" i="43" s="1"/>
  <c r="H23" i="43" a="1"/>
  <c r="H23" i="43" s="1"/>
  <c r="D21" i="43" a="1"/>
  <c r="D21" i="43" s="1"/>
  <c r="G23" i="43" a="1"/>
  <c r="G23" i="43" s="1"/>
  <c r="I20" i="43" a="1"/>
  <c r="I20" i="43" s="1"/>
  <c r="F23" i="43" a="1"/>
  <c r="F23" i="43" s="1"/>
  <c r="H20" i="43" a="1"/>
  <c r="H20" i="43" s="1"/>
  <c r="E23" i="43" a="1"/>
  <c r="E23" i="43" s="1"/>
  <c r="G20" i="43" a="1"/>
  <c r="G20" i="43" s="1"/>
  <c r="D23" i="43" a="1"/>
  <c r="D23" i="43" s="1"/>
  <c r="F20" i="43" a="1"/>
  <c r="F20" i="43" s="1"/>
  <c r="I22" i="43" a="1"/>
  <c r="I22" i="43" s="1"/>
  <c r="E20" i="43" a="1"/>
  <c r="E20" i="43" s="1"/>
  <c r="H22" i="43" a="1"/>
  <c r="H22" i="43" s="1"/>
  <c r="G22" i="43" a="1"/>
  <c r="G22" i="43" s="1"/>
  <c r="F22" i="43" a="1"/>
  <c r="F22" i="43" s="1"/>
  <c r="E22" i="43" a="1"/>
  <c r="E22" i="43" s="1"/>
  <c r="D22" i="43" a="1"/>
  <c r="D22" i="43" s="1"/>
  <c r="I21" i="43" a="1"/>
  <c r="I21" i="43" s="1"/>
  <c r="H21" i="43" a="1"/>
  <c r="H21" i="43" s="1"/>
  <c r="G21" i="43" a="1"/>
  <c r="G21" i="43" s="1"/>
  <c r="I11" i="44"/>
  <c r="D527" i="43"/>
  <c r="AM166" i="42"/>
  <c r="AM165" i="42"/>
  <c r="AM164" i="42"/>
  <c r="AM163" i="42"/>
  <c r="AM162" i="42"/>
  <c r="AM161" i="42"/>
  <c r="AM160" i="42"/>
  <c r="AM159" i="42"/>
  <c r="AM158" i="42"/>
  <c r="AM157" i="42"/>
  <c r="AM156" i="42"/>
  <c r="AM155" i="42"/>
  <c r="AM154" i="42"/>
  <c r="AM153" i="42"/>
  <c r="AM152" i="42"/>
  <c r="AM151" i="42"/>
  <c r="AM150" i="42"/>
  <c r="AM149" i="42"/>
  <c r="AM148" i="42"/>
  <c r="AM147" i="42"/>
  <c r="AM146" i="42"/>
  <c r="AM145" i="42"/>
  <c r="AM144" i="42"/>
  <c r="AM143" i="42"/>
  <c r="AM142" i="42"/>
  <c r="AM141" i="42"/>
  <c r="AM140" i="42"/>
  <c r="AM139" i="42"/>
  <c r="AM138" i="42"/>
  <c r="AM137" i="42"/>
  <c r="AM136" i="42"/>
  <c r="AM135" i="42"/>
  <c r="AM134" i="42"/>
  <c r="AM133" i="42"/>
  <c r="AM132" i="42"/>
  <c r="AM131" i="42"/>
  <c r="AM130" i="42"/>
  <c r="AM129" i="42"/>
  <c r="AM128" i="42"/>
  <c r="AM127" i="42"/>
  <c r="AM126" i="42"/>
  <c r="AM125" i="42"/>
  <c r="AM124" i="42"/>
  <c r="AM123" i="42"/>
  <c r="AM122" i="42"/>
  <c r="AM121" i="42"/>
  <c r="AM120" i="42"/>
  <c r="AM119" i="42"/>
  <c r="AM118" i="42"/>
  <c r="AM117" i="42"/>
  <c r="AM116" i="42"/>
  <c r="AM115" i="42"/>
  <c r="AM114" i="42"/>
  <c r="AM113" i="42"/>
  <c r="AM112" i="42"/>
  <c r="AM111" i="42"/>
  <c r="AM110" i="42"/>
  <c r="AM109" i="42"/>
  <c r="AM108" i="42"/>
  <c r="AM107" i="42"/>
  <c r="AM106" i="42"/>
  <c r="AM105" i="42"/>
  <c r="AM104" i="42"/>
  <c r="AM103" i="42"/>
  <c r="AM102" i="42"/>
  <c r="AM101" i="42"/>
  <c r="AM100" i="42"/>
  <c r="AM99" i="42"/>
  <c r="AM98" i="42"/>
  <c r="AM97" i="42"/>
  <c r="AM96" i="42"/>
  <c r="AM95" i="42"/>
  <c r="AM94" i="42"/>
  <c r="AM93" i="42"/>
  <c r="AM92" i="42"/>
  <c r="AM91" i="42"/>
  <c r="AM90" i="42"/>
  <c r="AM89" i="42"/>
  <c r="AM88" i="42"/>
  <c r="AM87" i="42"/>
  <c r="AM86" i="42"/>
  <c r="AM85" i="42"/>
  <c r="AM84" i="42"/>
  <c r="AM83" i="42"/>
  <c r="AM82" i="42"/>
  <c r="AM81" i="42"/>
  <c r="AL166" i="42"/>
  <c r="AL165" i="42"/>
  <c r="AL164" i="42"/>
  <c r="AL163" i="42"/>
  <c r="AL162" i="42"/>
  <c r="AL161" i="42"/>
  <c r="AL160" i="42"/>
  <c r="AL159" i="42"/>
  <c r="AL158" i="42"/>
  <c r="AL157" i="42"/>
  <c r="AL156" i="42"/>
  <c r="AL155" i="42"/>
  <c r="AL154" i="42"/>
  <c r="AL153" i="42"/>
  <c r="AL152" i="42"/>
  <c r="AL151" i="42"/>
  <c r="AL150" i="42"/>
  <c r="AL149" i="42"/>
  <c r="AL148" i="42"/>
  <c r="AL147" i="42"/>
  <c r="AL146" i="42"/>
  <c r="AL145" i="42"/>
  <c r="AL144" i="42"/>
  <c r="AL143" i="42"/>
  <c r="AL142" i="42"/>
  <c r="AL141" i="42"/>
  <c r="AL140" i="42"/>
  <c r="AL139" i="42"/>
  <c r="AL138" i="42"/>
  <c r="AL137" i="42"/>
  <c r="AL136" i="42"/>
  <c r="AL135" i="42"/>
  <c r="AL134" i="42"/>
  <c r="AL133" i="42"/>
  <c r="AL132" i="42"/>
  <c r="AL131" i="42"/>
  <c r="AL130" i="42"/>
  <c r="AL129" i="42"/>
  <c r="AL128" i="42"/>
  <c r="AL127" i="42"/>
  <c r="AL126" i="42"/>
  <c r="AL125" i="42"/>
  <c r="AL124" i="42"/>
  <c r="AL123" i="42"/>
  <c r="AL122" i="42"/>
  <c r="AL121" i="42"/>
  <c r="AL120" i="42"/>
  <c r="AL119" i="42"/>
  <c r="AL118" i="42"/>
  <c r="AL117" i="42"/>
  <c r="AL116" i="42"/>
  <c r="AL115" i="42"/>
  <c r="AL114" i="42"/>
  <c r="AL113" i="42"/>
  <c r="AL112" i="42"/>
  <c r="AL111" i="42"/>
  <c r="AL110" i="42"/>
  <c r="AL109" i="42"/>
  <c r="AL108" i="42"/>
  <c r="AL107" i="42"/>
  <c r="AL106" i="42"/>
  <c r="AL105" i="42"/>
  <c r="AL104" i="42"/>
  <c r="AL103" i="42"/>
  <c r="AL102" i="42"/>
  <c r="AL101" i="42"/>
  <c r="AL100" i="42"/>
  <c r="AL99" i="42"/>
  <c r="AL98" i="42"/>
  <c r="AL97" i="42"/>
  <c r="AL96" i="42"/>
  <c r="AL95" i="42"/>
  <c r="AL94" i="42"/>
  <c r="AL93" i="42"/>
  <c r="AL92" i="42"/>
  <c r="AL91" i="42"/>
  <c r="AL90" i="42"/>
  <c r="AL89" i="42"/>
  <c r="AL88" i="42"/>
  <c r="AL87" i="42"/>
  <c r="AL86" i="42"/>
  <c r="AL85" i="42"/>
  <c r="AL84" i="42"/>
  <c r="AL83" i="42"/>
  <c r="AL82" i="42"/>
  <c r="AL81" i="42"/>
  <c r="AM143" i="41"/>
  <c r="AL143" i="41"/>
  <c r="AM142" i="41"/>
  <c r="AL142" i="41"/>
  <c r="AM141" i="41"/>
  <c r="AL141" i="41"/>
  <c r="AM140" i="41"/>
  <c r="AL140" i="41"/>
  <c r="AM139" i="41"/>
  <c r="AL139" i="41"/>
  <c r="AM138" i="41"/>
  <c r="AL138" i="41"/>
  <c r="AM137" i="41"/>
  <c r="AL137" i="41"/>
  <c r="AM136" i="41"/>
  <c r="AL136" i="41"/>
  <c r="AM135" i="41"/>
  <c r="AL135" i="41"/>
  <c r="AM134" i="41"/>
  <c r="AL134" i="41"/>
  <c r="AM133" i="41"/>
  <c r="AL133" i="41"/>
  <c r="AM132" i="41"/>
  <c r="AL132" i="41"/>
  <c r="AM131" i="41"/>
  <c r="AL131" i="41"/>
  <c r="AM130" i="41"/>
  <c r="AL130" i="41"/>
  <c r="AM129" i="41"/>
  <c r="AL129" i="41"/>
  <c r="AM128" i="41"/>
  <c r="AL128" i="41"/>
  <c r="AM127" i="41"/>
  <c r="AL127" i="41"/>
  <c r="AM126" i="41"/>
  <c r="AL126" i="41"/>
  <c r="AM125" i="41"/>
  <c r="AL125" i="41"/>
  <c r="AM124" i="41"/>
  <c r="AL124" i="41"/>
  <c r="AM123" i="41"/>
  <c r="AL123" i="41"/>
  <c r="AM122" i="41"/>
  <c r="AL122" i="41"/>
  <c r="AM121" i="41"/>
  <c r="AL121" i="41"/>
  <c r="AM120" i="41"/>
  <c r="AL120" i="41"/>
  <c r="AM119" i="41"/>
  <c r="AL119" i="41"/>
  <c r="AM118" i="41"/>
  <c r="AL118" i="41"/>
  <c r="AM117" i="41"/>
  <c r="AL117" i="41"/>
  <c r="AM116" i="41"/>
  <c r="AL116" i="41"/>
  <c r="AM115" i="41"/>
  <c r="AL115" i="41"/>
  <c r="AM114" i="41"/>
  <c r="AL114" i="41"/>
  <c r="AM113" i="41"/>
  <c r="AL113" i="41"/>
  <c r="AM112" i="41"/>
  <c r="AL112" i="41"/>
  <c r="AM111" i="41"/>
  <c r="AL111" i="41"/>
  <c r="AM110" i="41"/>
  <c r="AL110" i="41"/>
  <c r="AM109" i="41"/>
  <c r="AL109" i="41"/>
  <c r="AM108" i="41"/>
  <c r="AL108" i="41"/>
  <c r="AM107" i="41"/>
  <c r="AL107" i="41"/>
  <c r="AM106" i="41"/>
  <c r="AL106" i="41"/>
  <c r="AM105" i="41"/>
  <c r="AL105" i="41"/>
  <c r="AM104" i="41"/>
  <c r="AL104" i="41"/>
  <c r="AM103" i="41"/>
  <c r="AL103" i="41"/>
  <c r="AM102" i="41"/>
  <c r="AL102" i="41"/>
  <c r="AM101" i="41"/>
  <c r="AL101" i="41"/>
  <c r="AM100" i="41"/>
  <c r="AL100" i="41"/>
  <c r="AM99" i="41"/>
  <c r="AL99" i="41"/>
  <c r="AM98" i="41"/>
  <c r="AL98" i="41"/>
  <c r="AM97" i="41"/>
  <c r="AL97" i="41"/>
  <c r="AM96" i="41"/>
  <c r="AL96" i="41"/>
  <c r="AM95" i="41"/>
  <c r="AL95" i="41"/>
  <c r="AM94" i="41"/>
  <c r="AL94" i="41"/>
  <c r="AM93" i="41"/>
  <c r="AL93" i="41"/>
  <c r="AM92" i="41"/>
  <c r="AL92" i="41"/>
  <c r="AM91" i="41"/>
  <c r="AL91" i="41"/>
  <c r="AM90" i="41"/>
  <c r="AL90" i="41"/>
  <c r="AM89" i="41"/>
  <c r="AL89" i="41"/>
  <c r="AM88" i="41"/>
  <c r="AL88" i="41"/>
  <c r="AM87" i="41"/>
  <c r="AL87" i="41"/>
  <c r="AM86" i="41"/>
  <c r="AL86" i="41"/>
  <c r="AM85" i="41"/>
  <c r="AL85" i="41"/>
  <c r="AM84" i="41"/>
  <c r="AL84" i="41"/>
  <c r="AM83" i="41"/>
  <c r="AL83" i="41"/>
  <c r="AM82" i="41"/>
  <c r="AL82" i="41"/>
  <c r="AM81" i="41"/>
  <c r="AL81" i="41"/>
  <c r="AM80" i="41"/>
  <c r="AL80" i="41"/>
  <c r="AM79" i="41"/>
  <c r="AL79" i="41"/>
  <c r="AM78" i="41"/>
  <c r="AL78" i="41"/>
  <c r="AM238" i="39"/>
  <c r="AL238" i="39"/>
  <c r="AM237" i="39"/>
  <c r="AL237" i="39"/>
  <c r="AM236" i="39"/>
  <c r="AL236" i="39"/>
  <c r="AM235" i="39"/>
  <c r="AL235" i="39"/>
  <c r="AM234" i="39"/>
  <c r="AL234" i="39"/>
  <c r="AM233" i="39"/>
  <c r="AL233" i="39"/>
  <c r="AM232" i="39"/>
  <c r="AL232" i="39"/>
  <c r="AM231" i="39"/>
  <c r="AL231" i="39"/>
  <c r="AM230" i="39"/>
  <c r="AL230" i="39"/>
  <c r="AM229" i="39"/>
  <c r="AL229" i="39"/>
  <c r="AM228" i="39"/>
  <c r="AL228" i="39"/>
  <c r="AM227" i="39"/>
  <c r="AL227" i="39"/>
  <c r="AM226" i="39"/>
  <c r="AL226" i="39"/>
  <c r="AM225" i="39"/>
  <c r="AL225" i="39"/>
  <c r="AM224" i="39"/>
  <c r="AL224" i="39"/>
  <c r="AM223" i="39"/>
  <c r="AL223" i="39"/>
  <c r="AM222" i="39"/>
  <c r="AL222" i="39"/>
  <c r="AM221" i="39"/>
  <c r="AL221" i="39"/>
  <c r="AM220" i="39"/>
  <c r="AL220" i="39"/>
  <c r="AM219" i="39"/>
  <c r="AL219" i="39"/>
  <c r="AM218" i="39"/>
  <c r="AL218" i="39"/>
  <c r="AM217" i="39"/>
  <c r="AL217" i="39"/>
  <c r="AM216" i="39"/>
  <c r="AL216" i="39"/>
  <c r="AM215" i="39"/>
  <c r="AL215" i="39"/>
  <c r="AM214" i="39"/>
  <c r="AL214" i="39"/>
  <c r="AM213" i="39"/>
  <c r="AL213" i="39"/>
  <c r="AM212" i="39"/>
  <c r="AL212" i="39"/>
  <c r="AM211" i="39"/>
  <c r="AL211" i="39"/>
  <c r="AM210" i="39"/>
  <c r="AL210" i="39"/>
  <c r="AM209" i="39"/>
  <c r="AL209" i="39"/>
  <c r="AM208" i="39"/>
  <c r="AL208" i="39"/>
  <c r="AM207" i="39"/>
  <c r="AL207" i="39"/>
  <c r="AM206" i="39"/>
  <c r="AL206" i="39"/>
  <c r="AM205" i="39"/>
  <c r="AL205" i="39"/>
  <c r="AM204" i="39"/>
  <c r="AL204" i="39"/>
  <c r="AM203" i="39"/>
  <c r="AL203" i="39"/>
  <c r="AM202" i="39"/>
  <c r="AL202" i="39"/>
  <c r="AM201" i="39"/>
  <c r="AL201" i="39"/>
  <c r="AM200" i="39"/>
  <c r="AL200" i="39"/>
  <c r="AM199" i="39"/>
  <c r="AL199" i="39"/>
  <c r="AM198" i="39"/>
  <c r="AL198" i="39"/>
  <c r="AM197" i="39"/>
  <c r="AL197" i="39"/>
  <c r="AM196" i="39"/>
  <c r="AL196" i="39"/>
  <c r="AM195" i="39"/>
  <c r="AL195" i="39"/>
  <c r="AM194" i="39"/>
  <c r="AL194" i="39"/>
  <c r="AM193" i="39"/>
  <c r="AL193" i="39"/>
  <c r="AM192" i="39"/>
  <c r="AL192" i="39"/>
  <c r="AM191" i="39"/>
  <c r="AL191" i="39"/>
  <c r="AM190" i="39"/>
  <c r="AL190" i="39"/>
  <c r="AM189" i="39"/>
  <c r="AL189" i="39"/>
  <c r="AM188" i="39"/>
  <c r="AL188" i="39"/>
  <c r="AM187" i="39"/>
  <c r="AL187" i="39"/>
  <c r="AM186" i="39"/>
  <c r="AL186" i="39"/>
  <c r="AM185" i="39"/>
  <c r="AL185" i="39"/>
  <c r="AM184" i="39"/>
  <c r="AL184" i="39"/>
  <c r="AM183" i="39"/>
  <c r="AL183" i="39"/>
  <c r="AM182" i="39"/>
  <c r="AL182" i="39"/>
  <c r="AM181" i="39"/>
  <c r="AL181" i="39"/>
  <c r="AM180" i="39"/>
  <c r="AL180" i="39"/>
  <c r="AM179" i="39"/>
  <c r="AL179" i="39"/>
  <c r="AM178" i="39"/>
  <c r="AL178" i="39"/>
  <c r="AM177" i="39"/>
  <c r="AL177" i="39"/>
  <c r="AM176" i="39"/>
  <c r="AL176" i="39"/>
  <c r="AM175" i="39"/>
  <c r="AL175" i="39"/>
  <c r="AM174" i="39"/>
  <c r="AL174" i="39"/>
  <c r="AM173" i="39"/>
  <c r="AL173" i="39"/>
  <c r="AM172" i="39"/>
  <c r="AL172" i="39"/>
  <c r="AM171" i="39"/>
  <c r="AL171" i="39"/>
  <c r="AM170" i="39"/>
  <c r="AL170" i="39"/>
  <c r="AM169" i="39"/>
  <c r="AL169" i="39"/>
  <c r="AM168" i="39"/>
  <c r="AL168" i="39"/>
  <c r="AM167" i="39"/>
  <c r="AL167" i="39"/>
  <c r="AM166" i="39"/>
  <c r="AL166" i="39"/>
  <c r="AM165" i="39"/>
  <c r="AL165" i="39"/>
  <c r="AM164" i="39"/>
  <c r="AL164" i="39"/>
  <c r="AM163" i="39"/>
  <c r="AL163" i="39"/>
  <c r="AM162" i="39"/>
  <c r="AL162" i="39"/>
  <c r="AM161" i="39"/>
  <c r="AL161" i="39"/>
  <c r="AM160" i="39"/>
  <c r="AL160" i="39"/>
  <c r="AM159" i="39"/>
  <c r="AL159" i="39"/>
  <c r="AM158" i="39"/>
  <c r="AL158" i="39"/>
  <c r="AM157" i="39"/>
  <c r="AL157" i="39"/>
  <c r="AM156" i="39"/>
  <c r="AL156" i="39"/>
  <c r="AM155" i="39"/>
  <c r="AL155" i="39"/>
  <c r="AM154" i="39"/>
  <c r="AL154" i="39"/>
  <c r="AM153" i="39"/>
  <c r="AL153" i="39"/>
  <c r="AM152" i="39"/>
  <c r="AL152" i="39"/>
  <c r="AM151" i="39"/>
  <c r="AL151" i="39"/>
  <c r="AM150" i="39"/>
  <c r="AL150" i="39"/>
  <c r="AM149" i="39"/>
  <c r="AL149" i="39"/>
  <c r="AM148" i="39"/>
  <c r="AL148" i="39"/>
  <c r="AM147" i="39"/>
  <c r="AL147" i="39"/>
  <c r="AM146" i="39"/>
  <c r="AL146" i="39"/>
  <c r="AM145" i="39"/>
  <c r="AL145" i="39"/>
  <c r="AM144" i="39"/>
  <c r="AL144" i="39"/>
  <c r="AM143" i="39"/>
  <c r="AL143" i="39"/>
  <c r="AM142" i="39"/>
  <c r="AL142" i="39"/>
  <c r="AM141" i="39"/>
  <c r="AL141" i="39"/>
  <c r="AM140" i="39"/>
  <c r="AL140" i="39"/>
  <c r="AM139" i="39"/>
  <c r="AL139" i="39"/>
  <c r="AM138" i="39"/>
  <c r="AL138" i="39"/>
  <c r="AM137" i="39"/>
  <c r="AL137" i="39"/>
  <c r="AM136" i="39"/>
  <c r="AL136" i="39"/>
  <c r="AM135" i="39"/>
  <c r="AL135" i="39"/>
  <c r="AM134" i="39"/>
  <c r="AL134" i="39"/>
  <c r="AM133" i="39"/>
  <c r="AL133" i="39"/>
  <c r="AM132" i="39"/>
  <c r="AL132" i="39"/>
  <c r="AM131" i="39"/>
  <c r="AL131" i="39"/>
  <c r="AM130" i="39"/>
  <c r="AL130" i="39"/>
  <c r="AM129" i="39"/>
  <c r="AL129" i="39"/>
  <c r="AM128" i="39"/>
  <c r="AL128" i="39"/>
  <c r="AM127" i="39"/>
  <c r="AL127" i="39"/>
  <c r="AM126" i="39"/>
  <c r="AL126" i="39"/>
  <c r="AM125" i="39"/>
  <c r="AL125" i="39"/>
  <c r="AM124" i="39"/>
  <c r="AL124" i="39"/>
  <c r="AM123" i="39"/>
  <c r="AL123" i="39"/>
  <c r="AM122" i="39"/>
  <c r="AL122" i="39"/>
  <c r="AM121" i="39"/>
  <c r="AL121" i="39"/>
  <c r="AM120" i="39"/>
  <c r="AL120" i="39"/>
  <c r="AM119" i="39"/>
  <c r="AL119" i="39"/>
  <c r="AM118" i="39"/>
  <c r="AL118" i="39"/>
  <c r="AM117" i="39"/>
  <c r="AL117" i="39"/>
  <c r="AM116" i="39"/>
  <c r="AL116" i="39"/>
  <c r="AM115" i="39"/>
  <c r="AL115" i="39"/>
  <c r="AM114" i="39"/>
  <c r="AL114" i="39"/>
  <c r="AM113" i="39"/>
  <c r="AL113" i="39"/>
  <c r="AM112" i="39"/>
  <c r="AL112" i="39"/>
  <c r="AM111" i="39"/>
  <c r="AL111" i="39"/>
  <c r="AM110" i="39"/>
  <c r="AL110" i="39"/>
  <c r="AM109" i="39"/>
  <c r="AL109" i="39"/>
  <c r="AM108" i="39"/>
  <c r="AL108" i="39"/>
  <c r="AM107" i="39"/>
  <c r="AL107" i="39"/>
  <c r="AM106" i="39"/>
  <c r="AL106" i="39"/>
  <c r="AM105" i="39"/>
  <c r="AL105" i="39"/>
  <c r="AM104" i="39"/>
  <c r="AL104" i="39"/>
  <c r="AM103" i="39"/>
  <c r="AL103" i="39"/>
  <c r="AM102" i="39"/>
  <c r="AL102" i="39"/>
  <c r="AM101" i="39"/>
  <c r="AL101" i="39"/>
  <c r="AM100" i="39"/>
  <c r="AL100" i="39"/>
  <c r="AM99" i="39"/>
  <c r="AL99" i="39"/>
  <c r="AM98" i="39"/>
  <c r="AL98" i="39"/>
  <c r="AM97" i="39"/>
  <c r="AL97" i="39"/>
  <c r="AM96" i="39"/>
  <c r="AL96" i="39"/>
  <c r="AM95" i="39"/>
  <c r="AL95" i="39"/>
  <c r="AM94" i="39"/>
  <c r="AL94" i="39"/>
  <c r="AM93" i="39"/>
  <c r="AL93" i="39"/>
  <c r="AM92" i="39"/>
  <c r="AL92" i="39"/>
  <c r="AM91" i="39"/>
  <c r="AL91" i="39"/>
  <c r="AM90" i="39"/>
  <c r="AL90" i="39"/>
  <c r="AM89" i="39"/>
  <c r="AL89" i="39"/>
  <c r="AM223" i="38"/>
  <c r="AL223" i="38"/>
  <c r="AM222" i="38"/>
  <c r="AL222" i="38"/>
  <c r="AM221" i="38"/>
  <c r="AL221" i="38"/>
  <c r="AM220" i="38"/>
  <c r="AL220" i="38"/>
  <c r="AM219" i="38"/>
  <c r="AL219" i="38"/>
  <c r="AM218" i="38"/>
  <c r="AL218" i="38"/>
  <c r="AM217" i="38"/>
  <c r="AL217" i="38"/>
  <c r="AM216" i="38"/>
  <c r="AL216" i="38"/>
  <c r="AM215" i="38"/>
  <c r="AL215" i="38"/>
  <c r="AM214" i="38"/>
  <c r="AL214" i="38"/>
  <c r="AM213" i="38"/>
  <c r="AL213" i="38"/>
  <c r="AM212" i="38"/>
  <c r="AL212" i="38"/>
  <c r="AM211" i="38"/>
  <c r="AL211" i="38"/>
  <c r="AM210" i="38"/>
  <c r="AL210" i="38"/>
  <c r="AM209" i="38"/>
  <c r="AL209" i="38"/>
  <c r="AM208" i="38"/>
  <c r="AL208" i="38"/>
  <c r="AM207" i="38"/>
  <c r="AL207" i="38"/>
  <c r="AM206" i="38"/>
  <c r="AL206" i="38"/>
  <c r="AM205" i="38"/>
  <c r="AL205" i="38"/>
  <c r="AM204" i="38"/>
  <c r="AL204" i="38"/>
  <c r="AM203" i="38"/>
  <c r="AL203" i="38"/>
  <c r="AM202" i="38"/>
  <c r="AL202" i="38"/>
  <c r="AM201" i="38"/>
  <c r="AL201" i="38"/>
  <c r="AM200" i="38"/>
  <c r="AL200" i="38"/>
  <c r="AM199" i="38"/>
  <c r="AL199" i="38"/>
  <c r="AM198" i="38"/>
  <c r="AL198" i="38"/>
  <c r="AM197" i="38"/>
  <c r="AL197" i="38"/>
  <c r="AM196" i="38"/>
  <c r="AL196" i="38"/>
  <c r="AM195" i="38"/>
  <c r="AL195" i="38"/>
  <c r="AM194" i="38"/>
  <c r="AL194" i="38"/>
  <c r="AM193" i="38"/>
  <c r="AL193" i="38"/>
  <c r="AM192" i="38"/>
  <c r="AL192" i="38"/>
  <c r="AM191" i="38"/>
  <c r="AL191" i="38"/>
  <c r="AM190" i="38"/>
  <c r="AL190" i="38"/>
  <c r="AM189" i="38"/>
  <c r="AL189" i="38"/>
  <c r="AM188" i="38"/>
  <c r="AL188" i="38"/>
  <c r="AM187" i="38"/>
  <c r="AL187" i="38"/>
  <c r="AM186" i="38"/>
  <c r="AL186" i="38"/>
  <c r="AM185" i="38"/>
  <c r="AL185" i="38"/>
  <c r="AM184" i="38"/>
  <c r="AL184" i="38"/>
  <c r="AM183" i="38"/>
  <c r="AL183" i="38"/>
  <c r="AM182" i="38"/>
  <c r="AL182" i="38"/>
  <c r="AM181" i="38"/>
  <c r="AL181" i="38"/>
  <c r="AM180" i="38"/>
  <c r="AL180" i="38"/>
  <c r="AM179" i="38"/>
  <c r="AL179" i="38"/>
  <c r="AM178" i="38"/>
  <c r="AL178" i="38"/>
  <c r="AM177" i="38"/>
  <c r="AL177" i="38"/>
  <c r="AM176" i="38"/>
  <c r="AL176" i="38"/>
  <c r="AM175" i="38"/>
  <c r="AL175" i="38"/>
  <c r="AM174" i="38"/>
  <c r="AL174" i="38"/>
  <c r="AM173" i="38"/>
  <c r="AL173" i="38"/>
  <c r="AM172" i="38"/>
  <c r="AL172" i="38"/>
  <c r="AM171" i="38"/>
  <c r="AL171" i="38"/>
  <c r="AM170" i="38"/>
  <c r="AL170" i="38"/>
  <c r="AM169" i="38"/>
  <c r="AL169" i="38"/>
  <c r="AM168" i="38"/>
  <c r="AL168" i="38"/>
  <c r="AM167" i="38"/>
  <c r="AL167" i="38"/>
  <c r="AM166" i="38"/>
  <c r="AL166" i="38"/>
  <c r="AM165" i="38"/>
  <c r="AL165" i="38"/>
  <c r="AM89" i="38"/>
  <c r="AL89" i="38"/>
  <c r="AL91" i="38"/>
  <c r="AM164" i="38"/>
  <c r="AL164" i="38"/>
  <c r="AM163" i="38"/>
  <c r="AL163" i="38"/>
  <c r="AM162" i="38"/>
  <c r="AL162" i="38"/>
  <c r="AM161" i="38"/>
  <c r="AL161" i="38"/>
  <c r="AM160" i="38"/>
  <c r="AL160" i="38"/>
  <c r="AM159" i="38"/>
  <c r="AL159" i="38"/>
  <c r="AM158" i="38"/>
  <c r="AL158" i="38"/>
  <c r="AM157" i="38"/>
  <c r="AL157" i="38"/>
  <c r="AM156" i="38"/>
  <c r="AL156" i="38"/>
  <c r="AM155" i="38"/>
  <c r="AL155" i="38"/>
  <c r="AM154" i="38"/>
  <c r="AL154" i="38"/>
  <c r="AM153" i="38"/>
  <c r="AL153" i="38"/>
  <c r="AM152" i="38"/>
  <c r="AL152" i="38"/>
  <c r="AM151" i="38"/>
  <c r="AL151" i="38"/>
  <c r="AM150" i="38"/>
  <c r="AL150" i="38"/>
  <c r="AM149" i="38"/>
  <c r="AL149" i="38"/>
  <c r="AM148" i="38"/>
  <c r="AL148" i="38"/>
  <c r="AM147" i="38"/>
  <c r="AL147" i="38"/>
  <c r="AM146" i="38"/>
  <c r="AL146" i="38"/>
  <c r="AM145" i="38"/>
  <c r="AL145" i="38"/>
  <c r="AM144" i="38"/>
  <c r="AL144" i="38"/>
  <c r="AM143" i="38"/>
  <c r="AL143" i="38"/>
  <c r="AM142" i="38"/>
  <c r="AL142" i="38"/>
  <c r="AM141" i="38"/>
  <c r="AL141" i="38"/>
  <c r="AM140" i="38"/>
  <c r="AL140" i="38"/>
  <c r="AM139" i="38"/>
  <c r="AL139" i="38"/>
  <c r="AM138" i="38"/>
  <c r="AL138" i="38"/>
  <c r="AM137" i="38"/>
  <c r="AL137" i="38"/>
  <c r="AM136" i="38"/>
  <c r="AL136" i="38"/>
  <c r="AM135" i="38"/>
  <c r="AL135" i="38"/>
  <c r="AM134" i="38"/>
  <c r="AL134" i="38"/>
  <c r="AM133" i="38"/>
  <c r="AL133" i="38"/>
  <c r="AM132" i="38"/>
  <c r="AL132" i="38"/>
  <c r="AM131" i="38"/>
  <c r="AL131" i="38"/>
  <c r="AM130" i="38"/>
  <c r="AL130" i="38"/>
  <c r="AM129" i="38"/>
  <c r="AL129" i="38"/>
  <c r="AM128" i="38"/>
  <c r="AL128" i="38"/>
  <c r="AM127" i="38"/>
  <c r="AL127" i="38"/>
  <c r="AM126" i="38"/>
  <c r="AL126" i="38"/>
  <c r="AM125" i="38"/>
  <c r="AL125" i="38"/>
  <c r="AM124" i="38"/>
  <c r="AL124" i="38"/>
  <c r="AM123" i="38"/>
  <c r="AL123" i="38"/>
  <c r="AM122" i="38"/>
  <c r="AL122" i="38"/>
  <c r="AM121" i="38"/>
  <c r="AL121" i="38"/>
  <c r="AM120" i="38"/>
  <c r="AL120" i="38"/>
  <c r="AM119" i="38"/>
  <c r="AL119" i="38"/>
  <c r="AM118" i="38"/>
  <c r="AL118" i="38"/>
  <c r="AM117" i="38"/>
  <c r="AL117" i="38"/>
  <c r="AM116" i="38"/>
  <c r="AL116" i="38"/>
  <c r="AM115" i="38"/>
  <c r="AL115" i="38"/>
  <c r="AM114" i="38"/>
  <c r="AL114" i="38"/>
  <c r="AM113" i="38"/>
  <c r="AL113" i="38"/>
  <c r="AM112" i="38"/>
  <c r="AL112" i="38"/>
  <c r="AM111" i="38"/>
  <c r="AL111" i="38"/>
  <c r="AM110" i="38"/>
  <c r="AL110" i="38"/>
  <c r="AM109" i="38"/>
  <c r="AL109" i="38"/>
  <c r="AM108" i="38"/>
  <c r="AL108" i="38"/>
  <c r="AM107" i="38"/>
  <c r="AL107" i="38"/>
  <c r="AM106" i="38"/>
  <c r="AL106" i="38"/>
  <c r="AM105" i="38"/>
  <c r="AL105" i="38"/>
  <c r="AM104" i="38"/>
  <c r="AL104" i="38"/>
  <c r="AM103" i="38"/>
  <c r="AL103" i="38"/>
  <c r="AM102" i="38"/>
  <c r="AL102" i="38"/>
  <c r="AM101" i="38"/>
  <c r="AL101" i="38"/>
  <c r="AM100" i="38"/>
  <c r="AL100" i="38"/>
  <c r="AM99" i="38"/>
  <c r="AL99" i="38"/>
  <c r="AM98" i="38"/>
  <c r="AL98" i="38"/>
  <c r="AM97" i="38"/>
  <c r="AL97" i="38"/>
  <c r="AM96" i="38"/>
  <c r="AL96" i="38"/>
  <c r="AM95" i="38"/>
  <c r="AL95" i="38"/>
  <c r="AM94" i="38"/>
  <c r="AL94" i="38"/>
  <c r="AM93" i="38"/>
  <c r="AL93" i="38"/>
  <c r="AM92" i="38"/>
  <c r="AL92" i="38"/>
  <c r="AM91" i="38"/>
  <c r="AM90" i="38"/>
  <c r="AL90" i="38"/>
  <c r="AM151" i="32"/>
  <c r="AM150" i="32"/>
  <c r="AM149" i="32"/>
  <c r="AM148" i="32"/>
  <c r="AM147" i="32"/>
  <c r="AM146" i="32"/>
  <c r="AM145" i="32"/>
  <c r="AM144" i="32"/>
  <c r="AM143" i="32"/>
  <c r="AM142" i="32"/>
  <c r="AM141" i="32"/>
  <c r="AM140" i="32"/>
  <c r="AM139" i="32"/>
  <c r="AM138" i="32"/>
  <c r="AM137" i="32"/>
  <c r="AM136" i="32"/>
  <c r="AM135" i="32"/>
  <c r="AM134" i="32"/>
  <c r="AM133" i="32"/>
  <c r="AM132" i="32"/>
  <c r="AM131" i="32"/>
  <c r="AM130" i="32"/>
  <c r="AM129" i="32"/>
  <c r="AM128" i="32"/>
  <c r="AM127" i="32"/>
  <c r="AM126" i="32"/>
  <c r="AM125" i="32"/>
  <c r="AM124" i="32"/>
  <c r="AM123" i="32"/>
  <c r="AM122" i="32"/>
  <c r="AM121" i="32"/>
  <c r="AM120" i="32"/>
  <c r="AM119" i="32"/>
  <c r="AM118" i="32"/>
  <c r="AM117" i="32"/>
  <c r="AM116" i="32"/>
  <c r="AM115" i="32"/>
  <c r="AM114" i="32"/>
  <c r="AM113" i="32"/>
  <c r="AM112" i="32"/>
  <c r="AM111" i="32"/>
  <c r="AM110" i="32"/>
  <c r="AM109" i="32"/>
  <c r="AM108" i="32"/>
  <c r="AM107" i="32"/>
  <c r="AM106" i="32"/>
  <c r="AM105" i="32"/>
  <c r="AM104" i="32"/>
  <c r="AM103" i="32"/>
  <c r="AM102" i="32"/>
  <c r="AM101" i="32"/>
  <c r="AM100" i="32"/>
  <c r="AM99" i="32"/>
  <c r="AM98" i="32"/>
  <c r="AM97" i="32"/>
  <c r="AM96" i="32"/>
  <c r="AM95" i="32"/>
  <c r="AM94" i="32"/>
  <c r="AM93" i="32"/>
  <c r="AM92" i="32"/>
  <c r="AM91" i="32"/>
  <c r="AM90" i="32"/>
  <c r="AM89" i="32"/>
  <c r="AM88" i="32"/>
  <c r="AM87" i="32"/>
  <c r="AM86" i="32"/>
  <c r="AM85" i="32"/>
  <c r="AM84" i="32"/>
  <c r="AM83" i="32"/>
  <c r="AM82" i="32"/>
  <c r="AM81" i="32"/>
  <c r="AM80" i="32"/>
  <c r="AM79" i="32"/>
  <c r="AM78" i="32"/>
  <c r="AM77" i="32"/>
  <c r="AM76" i="32"/>
  <c r="AM75" i="32"/>
  <c r="D71" i="43" l="1"/>
  <c r="AC71" i="43" s="1"/>
  <c r="D529" i="43"/>
  <c r="F529" i="43" s="1" a="1"/>
  <c r="F529" i="43" s="1"/>
  <c r="D376" i="43"/>
  <c r="F376" i="43" s="1" a="1"/>
  <c r="F376" i="43" s="1"/>
  <c r="D223" i="43"/>
  <c r="J223" i="43" s="1" a="1"/>
  <c r="J223" i="43" s="1"/>
  <c r="D682" i="43"/>
  <c r="J527" i="43" a="1"/>
  <c r="J527" i="43" s="1"/>
  <c r="I527" i="43" a="1"/>
  <c r="I527" i="43" s="1"/>
  <c r="H527" i="43" a="1"/>
  <c r="H527" i="43" s="1"/>
  <c r="G527" i="43" a="1"/>
  <c r="G527" i="43" s="1"/>
  <c r="F527" i="43" a="1"/>
  <c r="F527" i="43" s="1"/>
  <c r="D224" i="43"/>
  <c r="J325" i="43"/>
  <c r="J174" i="43"/>
  <c r="D671" i="43"/>
  <c r="J20" i="43"/>
  <c r="J171" i="43"/>
  <c r="J21" i="43"/>
  <c r="J326" i="43"/>
  <c r="J172" i="43"/>
  <c r="J327" i="43"/>
  <c r="J22" i="43"/>
  <c r="J173" i="43"/>
  <c r="J23" i="43"/>
  <c r="J324" i="43"/>
  <c r="P527" i="43"/>
  <c r="K527" i="43"/>
  <c r="L527" i="43" s="1"/>
  <c r="D514" i="43"/>
  <c r="D661" i="43"/>
  <c r="D338" i="43"/>
  <c r="D342" i="43"/>
  <c r="D340" i="43"/>
  <c r="D189" i="43"/>
  <c r="D187" i="43"/>
  <c r="D185" i="43"/>
  <c r="D51" i="43"/>
  <c r="AC527" i="43"/>
  <c r="AB527" i="43"/>
  <c r="D588" i="43"/>
  <c r="P588" i="43" s="1"/>
  <c r="D525" i="43"/>
  <c r="D516" i="43"/>
  <c r="D522" i="43"/>
  <c r="D520" i="43"/>
  <c r="D517" i="43"/>
  <c r="D518" i="43"/>
  <c r="D524" i="43"/>
  <c r="D528" i="43"/>
  <c r="D523" i="43"/>
  <c r="D512" i="43"/>
  <c r="D526" i="43"/>
  <c r="D673" i="43"/>
  <c r="D681" i="43"/>
  <c r="D665" i="43"/>
  <c r="D677" i="43"/>
  <c r="D666" i="43"/>
  <c r="D668" i="43"/>
  <c r="D670" i="43"/>
  <c r="D674" i="43"/>
  <c r="D676" i="43"/>
  <c r="D683" i="43"/>
  <c r="D680" i="43"/>
  <c r="D679" i="43"/>
  <c r="D664" i="43"/>
  <c r="D678" i="43"/>
  <c r="D667" i="43"/>
  <c r="D672" i="43"/>
  <c r="D669" i="43"/>
  <c r="D663" i="43"/>
  <c r="D675" i="43"/>
  <c r="D662" i="43"/>
  <c r="D508" i="43"/>
  <c r="D510" i="43"/>
  <c r="D511" i="43"/>
  <c r="D509" i="43"/>
  <c r="D513" i="43"/>
  <c r="D519" i="43"/>
  <c r="D515" i="43"/>
  <c r="D521" i="43"/>
  <c r="D530" i="43"/>
  <c r="D70" i="43"/>
  <c r="D61" i="43"/>
  <c r="D67" i="43"/>
  <c r="D63" i="43"/>
  <c r="D55" i="43"/>
  <c r="D374" i="43"/>
  <c r="D367" i="43"/>
  <c r="D369" i="43"/>
  <c r="D371" i="43"/>
  <c r="D372" i="43"/>
  <c r="D355" i="43"/>
  <c r="D373" i="43"/>
  <c r="D366" i="43"/>
  <c r="D356" i="43"/>
  <c r="D358" i="43"/>
  <c r="D377" i="43"/>
  <c r="D375" i="43"/>
  <c r="D357" i="43"/>
  <c r="D364" i="43"/>
  <c r="D360" i="43"/>
  <c r="D370" i="43"/>
  <c r="D362" i="43"/>
  <c r="D368" i="43"/>
  <c r="D359" i="43"/>
  <c r="D363" i="43"/>
  <c r="D365" i="43"/>
  <c r="D361" i="43"/>
  <c r="D203" i="43"/>
  <c r="D205" i="43"/>
  <c r="D221" i="43"/>
  <c r="D206" i="43"/>
  <c r="D208" i="43"/>
  <c r="D212" i="43"/>
  <c r="D218" i="43"/>
  <c r="D222" i="43"/>
  <c r="D210" i="43"/>
  <c r="D216" i="43"/>
  <c r="D207" i="43"/>
  <c r="D217" i="43"/>
  <c r="D213" i="43"/>
  <c r="D219" i="43"/>
  <c r="D204" i="43"/>
  <c r="D211" i="43"/>
  <c r="D214" i="43"/>
  <c r="D220" i="43"/>
  <c r="D202" i="43"/>
  <c r="D209" i="43"/>
  <c r="D215" i="43"/>
  <c r="D57" i="43"/>
  <c r="D65" i="43"/>
  <c r="D53" i="43"/>
  <c r="D54" i="43"/>
  <c r="D52" i="43"/>
  <c r="D60" i="43"/>
  <c r="D66" i="43"/>
  <c r="D58" i="43"/>
  <c r="D64" i="43"/>
  <c r="D56" i="43"/>
  <c r="D69" i="43"/>
  <c r="D68" i="43"/>
  <c r="D62" i="43"/>
  <c r="D72" i="43"/>
  <c r="D59" i="43"/>
  <c r="AB71" i="43" l="1"/>
  <c r="D132" i="43"/>
  <c r="I71" i="43" a="1"/>
  <c r="I71" i="43" s="1"/>
  <c r="H71" i="43" a="1"/>
  <c r="H71" i="43" s="1"/>
  <c r="G71" i="43" a="1"/>
  <c r="G71" i="43" s="1"/>
  <c r="F71" i="43" a="1"/>
  <c r="F71" i="43" s="1"/>
  <c r="J71" i="43" a="1"/>
  <c r="J71" i="43" s="1"/>
  <c r="K71" i="43"/>
  <c r="L71" i="43" s="1"/>
  <c r="J529" i="43" a="1"/>
  <c r="J529" i="43" s="1"/>
  <c r="G529" i="43" a="1"/>
  <c r="G529" i="43" s="1"/>
  <c r="H529" i="43" a="1"/>
  <c r="H529" i="43" s="1"/>
  <c r="D592" i="43"/>
  <c r="P592" i="43" s="1"/>
  <c r="Q592" i="43" s="1"/>
  <c r="I529" i="43" a="1"/>
  <c r="I529" i="43" s="1"/>
  <c r="D439" i="43"/>
  <c r="D440" i="43" s="1"/>
  <c r="J376" i="43" a="1"/>
  <c r="J376" i="43" s="1"/>
  <c r="H376" i="43" a="1"/>
  <c r="H376" i="43" s="1"/>
  <c r="G376" i="43" a="1"/>
  <c r="G376" i="43" s="1"/>
  <c r="I376" i="43" a="1"/>
  <c r="I376" i="43" s="1"/>
  <c r="F223" i="43" a="1"/>
  <c r="F223" i="43" s="1"/>
  <c r="D286" i="43"/>
  <c r="P286" i="43" s="1"/>
  <c r="Q286" i="43" s="1"/>
  <c r="I223" i="43" a="1"/>
  <c r="I223" i="43" s="1"/>
  <c r="H223" i="43" a="1"/>
  <c r="H223" i="43" s="1"/>
  <c r="G223" i="43" a="1"/>
  <c r="G223" i="43" s="1"/>
  <c r="K529" i="43"/>
  <c r="L529" i="43" s="1"/>
  <c r="J671" i="43" a="1"/>
  <c r="J671" i="43" s="1"/>
  <c r="I671" i="43" a="1"/>
  <c r="I671" i="43" s="1"/>
  <c r="H671" i="43" a="1"/>
  <c r="H671" i="43" s="1"/>
  <c r="G671" i="43" a="1"/>
  <c r="G671" i="43" s="1"/>
  <c r="F671" i="43" a="1"/>
  <c r="F671" i="43" s="1"/>
  <c r="H679" i="43" a="1"/>
  <c r="H679" i="43" s="1"/>
  <c r="G679" i="43" a="1"/>
  <c r="G679" i="43" s="1"/>
  <c r="F679" i="43" a="1"/>
  <c r="F679" i="43" s="1"/>
  <c r="J679" i="43" a="1"/>
  <c r="J679" i="43" s="1"/>
  <c r="I679" i="43" a="1"/>
  <c r="I679" i="43" s="1"/>
  <c r="J661" i="43" a="1"/>
  <c r="J661" i="43" s="1"/>
  <c r="G661" i="43" a="1"/>
  <c r="G661" i="43" s="1"/>
  <c r="I661" i="43" a="1"/>
  <c r="I661" i="43" s="1"/>
  <c r="H661" i="43" a="1"/>
  <c r="H661" i="43" s="1"/>
  <c r="F661" i="43" a="1"/>
  <c r="F661" i="43" s="1"/>
  <c r="J678" i="43" a="1"/>
  <c r="J678" i="43" s="1"/>
  <c r="I678" i="43" a="1"/>
  <c r="I678" i="43" s="1"/>
  <c r="H678" i="43" a="1"/>
  <c r="H678" i="43" s="1"/>
  <c r="G678" i="43" a="1"/>
  <c r="G678" i="43" s="1"/>
  <c r="F678" i="43" a="1"/>
  <c r="F678" i="43" s="1"/>
  <c r="J683" i="43" a="1"/>
  <c r="J683" i="43" s="1"/>
  <c r="I683" i="43" a="1"/>
  <c r="I683" i="43" s="1"/>
  <c r="H683" i="43" a="1"/>
  <c r="H683" i="43" s="1"/>
  <c r="G683" i="43" a="1"/>
  <c r="G683" i="43" s="1"/>
  <c r="F683" i="43" a="1"/>
  <c r="F683" i="43" s="1"/>
  <c r="I676" i="43" a="1"/>
  <c r="I676" i="43" s="1"/>
  <c r="H676" i="43" a="1"/>
  <c r="H676" i="43" s="1"/>
  <c r="G676" i="43" a="1"/>
  <c r="G676" i="43" s="1"/>
  <c r="F676" i="43" a="1"/>
  <c r="F676" i="43" s="1"/>
  <c r="J676" i="43" a="1"/>
  <c r="J676" i="43" s="1"/>
  <c r="J680" i="43" a="1"/>
  <c r="J680" i="43" s="1"/>
  <c r="I680" i="43" a="1"/>
  <c r="I680" i="43" s="1"/>
  <c r="H680" i="43" a="1"/>
  <c r="H680" i="43" s="1"/>
  <c r="G680" i="43" a="1"/>
  <c r="G680" i="43" s="1"/>
  <c r="F680" i="43" a="1"/>
  <c r="F680" i="43" s="1"/>
  <c r="J674" i="43" a="1"/>
  <c r="J674" i="43" s="1"/>
  <c r="I674" i="43" a="1"/>
  <c r="I674" i="43" s="1"/>
  <c r="H674" i="43" a="1"/>
  <c r="H674" i="43" s="1"/>
  <c r="G674" i="43" a="1"/>
  <c r="G674" i="43" s="1"/>
  <c r="F674" i="43" a="1"/>
  <c r="F674" i="43" s="1"/>
  <c r="H670" i="43" a="1"/>
  <c r="H670" i="43" s="1"/>
  <c r="G670" i="43" a="1"/>
  <c r="G670" i="43" s="1"/>
  <c r="F670" i="43" a="1"/>
  <c r="F670" i="43" s="1"/>
  <c r="J670" i="43" a="1"/>
  <c r="J670" i="43" s="1"/>
  <c r="I670" i="43" a="1"/>
  <c r="I670" i="43" s="1"/>
  <c r="F664" i="43" a="1"/>
  <c r="F664" i="43" s="1"/>
  <c r="H664" i="43" a="1"/>
  <c r="H664" i="43" s="1"/>
  <c r="J664" i="43" a="1"/>
  <c r="J664" i="43" s="1"/>
  <c r="I664" i="43" a="1"/>
  <c r="I664" i="43" s="1"/>
  <c r="G664" i="43" a="1"/>
  <c r="G664" i="43" s="1"/>
  <c r="J668" i="43" a="1"/>
  <c r="J668" i="43" s="1"/>
  <c r="I668" i="43" a="1"/>
  <c r="I668" i="43" s="1"/>
  <c r="H668" i="43" a="1"/>
  <c r="H668" i="43" s="1"/>
  <c r="G668" i="43" a="1"/>
  <c r="G668" i="43" s="1"/>
  <c r="F668" i="43" a="1"/>
  <c r="F668" i="43" s="1"/>
  <c r="J666" i="43" a="1"/>
  <c r="J666" i="43" s="1"/>
  <c r="I666" i="43" a="1"/>
  <c r="I666" i="43" s="1"/>
  <c r="H666" i="43" a="1"/>
  <c r="H666" i="43" s="1"/>
  <c r="G666" i="43" a="1"/>
  <c r="G666" i="43" s="1"/>
  <c r="F666" i="43" a="1"/>
  <c r="F666" i="43" s="1"/>
  <c r="J662" i="43" a="1"/>
  <c r="J662" i="43" s="1"/>
  <c r="I662" i="43" a="1"/>
  <c r="I662" i="43" s="1"/>
  <c r="H662" i="43" a="1"/>
  <c r="H662" i="43" s="1"/>
  <c r="G662" i="43" a="1"/>
  <c r="G662" i="43" s="1"/>
  <c r="F662" i="43" a="1"/>
  <c r="F662" i="43" s="1"/>
  <c r="J677" i="43" a="1"/>
  <c r="J677" i="43" s="1"/>
  <c r="I677" i="43" a="1"/>
  <c r="I677" i="43" s="1"/>
  <c r="F677" i="43" a="1"/>
  <c r="F677" i="43" s="1"/>
  <c r="H677" i="43" a="1"/>
  <c r="H677" i="43" s="1"/>
  <c r="G677" i="43" a="1"/>
  <c r="G677" i="43" s="1"/>
  <c r="J665" i="43" a="1"/>
  <c r="J665" i="43" s="1"/>
  <c r="I665" i="43" a="1"/>
  <c r="I665" i="43" s="1"/>
  <c r="H665" i="43" a="1"/>
  <c r="H665" i="43" s="1"/>
  <c r="G665" i="43" a="1"/>
  <c r="G665" i="43" s="1"/>
  <c r="F665" i="43" a="1"/>
  <c r="F665" i="43" s="1"/>
  <c r="J663" i="43" a="1"/>
  <c r="J663" i="43" s="1"/>
  <c r="I663" i="43" a="1"/>
  <c r="I663" i="43" s="1"/>
  <c r="H663" i="43" a="1"/>
  <c r="H663" i="43" s="1"/>
  <c r="G663" i="43" a="1"/>
  <c r="G663" i="43" s="1"/>
  <c r="F663" i="43" a="1"/>
  <c r="F663" i="43" s="1"/>
  <c r="J681" i="43" a="1"/>
  <c r="J681" i="43" s="1"/>
  <c r="I681" i="43" a="1"/>
  <c r="I681" i="43" s="1"/>
  <c r="H681" i="43" a="1"/>
  <c r="H681" i="43" s="1"/>
  <c r="G681" i="43" a="1"/>
  <c r="G681" i="43" s="1"/>
  <c r="F681" i="43" a="1"/>
  <c r="F681" i="43" s="1"/>
  <c r="J675" i="43" a="1"/>
  <c r="J675" i="43" s="1"/>
  <c r="I675" i="43" a="1"/>
  <c r="I675" i="43" s="1"/>
  <c r="H675" i="43" a="1"/>
  <c r="H675" i="43" s="1"/>
  <c r="G675" i="43" a="1"/>
  <c r="G675" i="43" s="1"/>
  <c r="F675" i="43" a="1"/>
  <c r="F675" i="43" s="1"/>
  <c r="I673" i="43" a="1"/>
  <c r="I673" i="43" s="1"/>
  <c r="H673" i="43" a="1"/>
  <c r="H673" i="43" s="1"/>
  <c r="G673" i="43" a="1"/>
  <c r="G673" i="43" s="1"/>
  <c r="F673" i="43" a="1"/>
  <c r="F673" i="43" s="1"/>
  <c r="J673" i="43" a="1"/>
  <c r="J673" i="43" s="1"/>
  <c r="J669" i="43" a="1"/>
  <c r="J669" i="43" s="1"/>
  <c r="I669" i="43" a="1"/>
  <c r="I669" i="43" s="1"/>
  <c r="H669" i="43" a="1"/>
  <c r="H669" i="43" s="1"/>
  <c r="G669" i="43" a="1"/>
  <c r="G669" i="43" s="1"/>
  <c r="F669" i="43" a="1"/>
  <c r="F669" i="43" s="1"/>
  <c r="J672" i="43" a="1"/>
  <c r="J672" i="43" s="1"/>
  <c r="I672" i="43" a="1"/>
  <c r="I672" i="43" s="1"/>
  <c r="H672" i="43" a="1"/>
  <c r="H672" i="43" s="1"/>
  <c r="G672" i="43" a="1"/>
  <c r="G672" i="43" s="1"/>
  <c r="F672" i="43" a="1"/>
  <c r="F672" i="43" s="1"/>
  <c r="G667" i="43" a="1"/>
  <c r="G667" i="43" s="1"/>
  <c r="F667" i="43" a="1"/>
  <c r="F667" i="43" s="1"/>
  <c r="I667" i="43" a="1"/>
  <c r="I667" i="43" s="1"/>
  <c r="J667" i="43" a="1"/>
  <c r="J667" i="43" s="1"/>
  <c r="H667" i="43" a="1"/>
  <c r="H667" i="43" s="1"/>
  <c r="D745" i="43"/>
  <c r="H682" i="43" a="1"/>
  <c r="H682" i="43" s="1"/>
  <c r="G682" i="43" a="1"/>
  <c r="G682" i="43" s="1"/>
  <c r="F682" i="43" a="1"/>
  <c r="F682" i="43" s="1"/>
  <c r="I682" i="43" a="1"/>
  <c r="I682" i="43" s="1"/>
  <c r="J682" i="43" a="1"/>
  <c r="J682" i="43" s="1"/>
  <c r="J515" i="43" a="1"/>
  <c r="J515" i="43" s="1"/>
  <c r="I515" i="43" a="1"/>
  <c r="I515" i="43" s="1"/>
  <c r="H515" i="43" a="1"/>
  <c r="H515" i="43" s="1"/>
  <c r="G515" i="43" a="1"/>
  <c r="G515" i="43" s="1"/>
  <c r="F515" i="43" a="1"/>
  <c r="F515" i="43" s="1"/>
  <c r="J518" i="43" a="1"/>
  <c r="J518" i="43" s="1"/>
  <c r="I518" i="43" a="1"/>
  <c r="I518" i="43" s="1"/>
  <c r="H518" i="43" a="1"/>
  <c r="H518" i="43" s="1"/>
  <c r="G518" i="43" a="1"/>
  <c r="G518" i="43" s="1"/>
  <c r="F518" i="43" a="1"/>
  <c r="F518" i="43" s="1"/>
  <c r="G520" i="43" a="1"/>
  <c r="G520" i="43" s="1"/>
  <c r="J520" i="43" a="1"/>
  <c r="J520" i="43" s="1"/>
  <c r="I520" i="43" a="1"/>
  <c r="I520" i="43" s="1"/>
  <c r="H520" i="43" a="1"/>
  <c r="H520" i="43" s="1"/>
  <c r="F520" i="43" a="1"/>
  <c r="F520" i="43" s="1"/>
  <c r="F517" i="43" a="1"/>
  <c r="F517" i="43" s="1"/>
  <c r="J517" i="43" a="1"/>
  <c r="J517" i="43" s="1"/>
  <c r="I517" i="43" a="1"/>
  <c r="I517" i="43" s="1"/>
  <c r="H517" i="43" a="1"/>
  <c r="H517" i="43" s="1"/>
  <c r="G517" i="43" a="1"/>
  <c r="G517" i="43" s="1"/>
  <c r="J522" i="43" a="1"/>
  <c r="J522" i="43" s="1"/>
  <c r="I522" i="43" a="1"/>
  <c r="I522" i="43" s="1"/>
  <c r="H522" i="43" a="1"/>
  <c r="H522" i="43" s="1"/>
  <c r="G522" i="43" a="1"/>
  <c r="G522" i="43" s="1"/>
  <c r="F522" i="43" a="1"/>
  <c r="F522" i="43" s="1"/>
  <c r="J514" i="43" a="1"/>
  <c r="J514" i="43" s="1"/>
  <c r="I514" i="43" a="1"/>
  <c r="I514" i="43" s="1"/>
  <c r="H514" i="43" a="1"/>
  <c r="H514" i="43" s="1"/>
  <c r="G514" i="43" a="1"/>
  <c r="G514" i="43" s="1"/>
  <c r="F514" i="43" a="1"/>
  <c r="F514" i="43" s="1"/>
  <c r="I516" i="43" a="1"/>
  <c r="I516" i="43" s="1"/>
  <c r="H516" i="43" a="1"/>
  <c r="H516" i="43" s="1"/>
  <c r="G516" i="43" a="1"/>
  <c r="G516" i="43" s="1"/>
  <c r="F516" i="43" a="1"/>
  <c r="F516" i="43" s="1"/>
  <c r="J516" i="43" a="1"/>
  <c r="J516" i="43" s="1"/>
  <c r="J525" i="43" a="1"/>
  <c r="J525" i="43" s="1"/>
  <c r="I525" i="43" a="1"/>
  <c r="I525" i="43" s="1"/>
  <c r="H525" i="43" a="1"/>
  <c r="H525" i="43" s="1"/>
  <c r="G525" i="43" a="1"/>
  <c r="G525" i="43" s="1"/>
  <c r="F525" i="43" a="1"/>
  <c r="F525" i="43" s="1"/>
  <c r="J509" i="43" a="1"/>
  <c r="J509" i="43" s="1"/>
  <c r="I509" i="43" a="1"/>
  <c r="I509" i="43" s="1"/>
  <c r="H509" i="43" a="1"/>
  <c r="H509" i="43" s="1"/>
  <c r="G509" i="43" a="1"/>
  <c r="G509" i="43" s="1"/>
  <c r="F509" i="43" a="1"/>
  <c r="F509" i="43" s="1"/>
  <c r="G526" i="43" a="1"/>
  <c r="G526" i="43" s="1"/>
  <c r="F526" i="43" a="1"/>
  <c r="F526" i="43" s="1"/>
  <c r="I526" i="43" a="1"/>
  <c r="I526" i="43" s="1"/>
  <c r="J526" i="43" a="1"/>
  <c r="J526" i="43" s="1"/>
  <c r="H526" i="43" a="1"/>
  <c r="H526" i="43" s="1"/>
  <c r="H513" i="43" a="1"/>
  <c r="H513" i="43" s="1"/>
  <c r="G513" i="43" a="1"/>
  <c r="G513" i="43" s="1"/>
  <c r="F513" i="43" a="1"/>
  <c r="F513" i="43" s="1"/>
  <c r="J513" i="43" a="1"/>
  <c r="J513" i="43" s="1"/>
  <c r="I513" i="43" a="1"/>
  <c r="I513" i="43" s="1"/>
  <c r="J512" i="43" a="1"/>
  <c r="J512" i="43" s="1"/>
  <c r="I512" i="43" a="1"/>
  <c r="I512" i="43" s="1"/>
  <c r="H512" i="43" a="1"/>
  <c r="H512" i="43" s="1"/>
  <c r="G512" i="43" a="1"/>
  <c r="G512" i="43" s="1"/>
  <c r="F512" i="43" a="1"/>
  <c r="F512" i="43" s="1"/>
  <c r="J519" i="43" a="1"/>
  <c r="J519" i="43" s="1"/>
  <c r="I519" i="43" a="1"/>
  <c r="I519" i="43" s="1"/>
  <c r="H519" i="43" a="1"/>
  <c r="H519" i="43" s="1"/>
  <c r="G519" i="43" a="1"/>
  <c r="G519" i="43" s="1"/>
  <c r="F519" i="43" a="1"/>
  <c r="F519" i="43" s="1"/>
  <c r="D550" i="43"/>
  <c r="J508" i="43" a="1"/>
  <c r="J508" i="43" s="1"/>
  <c r="I508" i="43" a="1"/>
  <c r="I508" i="43" s="1"/>
  <c r="H508" i="43" a="1"/>
  <c r="H508" i="43" s="1"/>
  <c r="G508" i="43" a="1"/>
  <c r="G508" i="43" s="1"/>
  <c r="F508" i="43" a="1"/>
  <c r="F508" i="43" s="1"/>
  <c r="F523" i="43" a="1"/>
  <c r="F523" i="43" s="1"/>
  <c r="H523" i="43" a="1"/>
  <c r="H523" i="43" s="1"/>
  <c r="J523" i="43" a="1"/>
  <c r="J523" i="43" s="1"/>
  <c r="I523" i="43" a="1"/>
  <c r="I523" i="43" s="1"/>
  <c r="G523" i="43" a="1"/>
  <c r="G523" i="43" s="1"/>
  <c r="G510" i="43" a="1"/>
  <c r="G510" i="43" s="1"/>
  <c r="F510" i="43" a="1"/>
  <c r="F510" i="43" s="1"/>
  <c r="I510" i="43" a="1"/>
  <c r="I510" i="43" s="1"/>
  <c r="J510" i="43" a="1"/>
  <c r="J510" i="43" s="1"/>
  <c r="H510" i="43" a="1"/>
  <c r="H510" i="43" s="1"/>
  <c r="J530" i="43" a="1"/>
  <c r="J530" i="43" s="1"/>
  <c r="I530" i="43" a="1"/>
  <c r="I530" i="43" s="1"/>
  <c r="H530" i="43" a="1"/>
  <c r="H530" i="43" s="1"/>
  <c r="G530" i="43" a="1"/>
  <c r="G530" i="43" s="1"/>
  <c r="F530" i="43" a="1"/>
  <c r="F530" i="43" s="1"/>
  <c r="J528" i="43" a="1"/>
  <c r="J528" i="43" s="1"/>
  <c r="I528" i="43" a="1"/>
  <c r="I528" i="43" s="1"/>
  <c r="H528" i="43" a="1"/>
  <c r="H528" i="43" s="1"/>
  <c r="G528" i="43" a="1"/>
  <c r="G528" i="43" s="1"/>
  <c r="F528" i="43" a="1"/>
  <c r="F528" i="43" s="1"/>
  <c r="J511" i="43" a="1"/>
  <c r="J511" i="43" s="1"/>
  <c r="I511" i="43" a="1"/>
  <c r="I511" i="43" s="1"/>
  <c r="H511" i="43" a="1"/>
  <c r="H511" i="43" s="1"/>
  <c r="G511" i="43" a="1"/>
  <c r="G511" i="43" s="1"/>
  <c r="F511" i="43" a="1"/>
  <c r="F511" i="43" s="1"/>
  <c r="J521" i="43" a="1"/>
  <c r="J521" i="43" s="1"/>
  <c r="I521" i="43" a="1"/>
  <c r="I521" i="43" s="1"/>
  <c r="H521" i="43" a="1"/>
  <c r="H521" i="43" s="1"/>
  <c r="G521" i="43" a="1"/>
  <c r="G521" i="43" s="1"/>
  <c r="F521" i="43" a="1"/>
  <c r="F521" i="43" s="1"/>
  <c r="J524" i="43" a="1"/>
  <c r="J524" i="43" s="1"/>
  <c r="I524" i="43" a="1"/>
  <c r="I524" i="43" s="1"/>
  <c r="H524" i="43" a="1"/>
  <c r="H524" i="43" s="1"/>
  <c r="G524" i="43" a="1"/>
  <c r="G524" i="43" s="1"/>
  <c r="F524" i="43" a="1"/>
  <c r="F524" i="43" s="1"/>
  <c r="K365" i="43"/>
  <c r="J365" i="43" a="1"/>
  <c r="J365" i="43" s="1"/>
  <c r="I365" i="43" a="1"/>
  <c r="I365" i="43" s="1"/>
  <c r="H365" i="43" a="1"/>
  <c r="H365" i="43" s="1"/>
  <c r="G365" i="43" a="1"/>
  <c r="G365" i="43" s="1"/>
  <c r="F365" i="43" a="1"/>
  <c r="F365" i="43" s="1"/>
  <c r="K372" i="43"/>
  <c r="I372" i="43" a="1"/>
  <c r="I372" i="43" s="1"/>
  <c r="H372" i="43" a="1"/>
  <c r="H372" i="43" s="1"/>
  <c r="G372" i="43" a="1"/>
  <c r="G372" i="43" s="1"/>
  <c r="F372" i="43" a="1"/>
  <c r="F372" i="43" s="1"/>
  <c r="J372" i="43" a="1"/>
  <c r="J372" i="43" s="1"/>
  <c r="G366" i="43" a="1"/>
  <c r="G366" i="43" s="1"/>
  <c r="F366" i="43" a="1"/>
  <c r="F366" i="43" s="1"/>
  <c r="I366" i="43" a="1"/>
  <c r="I366" i="43" s="1"/>
  <c r="J366" i="43" a="1"/>
  <c r="J366" i="43" s="1"/>
  <c r="H366" i="43" a="1"/>
  <c r="H366" i="43" s="1"/>
  <c r="K369" i="43"/>
  <c r="H369" i="43" a="1"/>
  <c r="H369" i="43" s="1"/>
  <c r="G369" i="43" a="1"/>
  <c r="G369" i="43" s="1"/>
  <c r="F369" i="43" a="1"/>
  <c r="F369" i="43" s="1"/>
  <c r="J369" i="43" a="1"/>
  <c r="J369" i="43" s="1"/>
  <c r="I369" i="43" a="1"/>
  <c r="I369" i="43" s="1"/>
  <c r="K356" i="43"/>
  <c r="I356" i="43" a="1"/>
  <c r="I356" i="43" s="1"/>
  <c r="H356" i="43" a="1"/>
  <c r="H356" i="43" s="1"/>
  <c r="G356" i="43" a="1"/>
  <c r="G356" i="43" s="1"/>
  <c r="F356" i="43" a="1"/>
  <c r="F356" i="43" s="1"/>
  <c r="J356" i="43" a="1"/>
  <c r="J356" i="43" s="1"/>
  <c r="K367" i="43"/>
  <c r="G367" i="43" a="1"/>
  <c r="G367" i="43" s="1"/>
  <c r="J367" i="43" a="1"/>
  <c r="J367" i="43" s="1"/>
  <c r="I367" i="43" a="1"/>
  <c r="I367" i="43" s="1"/>
  <c r="H367" i="43" a="1"/>
  <c r="H367" i="43" s="1"/>
  <c r="F367" i="43" a="1"/>
  <c r="F367" i="43" s="1"/>
  <c r="F363" i="43" a="1"/>
  <c r="F363" i="43" s="1"/>
  <c r="H363" i="43" a="1"/>
  <c r="H363" i="43" s="1"/>
  <c r="J363" i="43" a="1"/>
  <c r="J363" i="43" s="1"/>
  <c r="I363" i="43" a="1"/>
  <c r="I363" i="43" s="1"/>
  <c r="G363" i="43" a="1"/>
  <c r="G363" i="43" s="1"/>
  <c r="K374" i="43"/>
  <c r="J374" i="43" a="1"/>
  <c r="J374" i="43" s="1"/>
  <c r="I374" i="43" a="1"/>
  <c r="I374" i="43" s="1"/>
  <c r="H374" i="43" a="1"/>
  <c r="H374" i="43" s="1"/>
  <c r="G374" i="43" a="1"/>
  <c r="G374" i="43" s="1"/>
  <c r="F374" i="43" a="1"/>
  <c r="F374" i="43" s="1"/>
  <c r="K371" i="43"/>
  <c r="J371" i="43" a="1"/>
  <c r="J371" i="43" s="1"/>
  <c r="I371" i="43" a="1"/>
  <c r="I371" i="43" s="1"/>
  <c r="H371" i="43" a="1"/>
  <c r="H371" i="43" s="1"/>
  <c r="G371" i="43" a="1"/>
  <c r="G371" i="43" s="1"/>
  <c r="F371" i="43" a="1"/>
  <c r="F371" i="43" s="1"/>
  <c r="K370" i="43"/>
  <c r="H370" i="43" a="1"/>
  <c r="H370" i="43" s="1"/>
  <c r="J370" i="43" a="1"/>
  <c r="J370" i="43" s="1"/>
  <c r="I370" i="43" a="1"/>
  <c r="I370" i="43" s="1"/>
  <c r="G370" i="43" a="1"/>
  <c r="G370" i="43" s="1"/>
  <c r="F370" i="43" a="1"/>
  <c r="F370" i="43" s="1"/>
  <c r="K359" i="43"/>
  <c r="J359" i="43" a="1"/>
  <c r="J359" i="43" s="1"/>
  <c r="I359" i="43" a="1"/>
  <c r="I359" i="43" s="1"/>
  <c r="H359" i="43" a="1"/>
  <c r="H359" i="43" s="1"/>
  <c r="G359" i="43" a="1"/>
  <c r="G359" i="43" s="1"/>
  <c r="F359" i="43" a="1"/>
  <c r="F359" i="43" s="1"/>
  <c r="K360" i="43"/>
  <c r="J360" i="43" a="1"/>
  <c r="J360" i="43" s="1"/>
  <c r="G360" i="43" a="1"/>
  <c r="G360" i="43" s="1"/>
  <c r="I360" i="43" a="1"/>
  <c r="I360" i="43" s="1"/>
  <c r="H360" i="43" a="1"/>
  <c r="H360" i="43" s="1"/>
  <c r="F360" i="43" a="1"/>
  <c r="F360" i="43" s="1"/>
  <c r="J358" i="43" a="1"/>
  <c r="J358" i="43" s="1"/>
  <c r="I358" i="43" a="1"/>
  <c r="I358" i="43" s="1"/>
  <c r="H358" i="43" a="1"/>
  <c r="H358" i="43" s="1"/>
  <c r="G358" i="43" a="1"/>
  <c r="G358" i="43" s="1"/>
  <c r="F358" i="43" a="1"/>
  <c r="F358" i="43" s="1"/>
  <c r="J362" i="43" a="1"/>
  <c r="J362" i="43" s="1"/>
  <c r="I362" i="43" a="1"/>
  <c r="I362" i="43" s="1"/>
  <c r="H362" i="43" a="1"/>
  <c r="H362" i="43" s="1"/>
  <c r="G362" i="43" a="1"/>
  <c r="G362" i="43" s="1"/>
  <c r="F362" i="43" a="1"/>
  <c r="F362" i="43" s="1"/>
  <c r="K364" i="43"/>
  <c r="F364" i="43" a="1"/>
  <c r="F364" i="43" s="1"/>
  <c r="J364" i="43" a="1"/>
  <c r="J364" i="43" s="1"/>
  <c r="I364" i="43" a="1"/>
  <c r="I364" i="43" s="1"/>
  <c r="H364" i="43" a="1"/>
  <c r="H364" i="43" s="1"/>
  <c r="G364" i="43" a="1"/>
  <c r="G364" i="43" s="1"/>
  <c r="F377" i="43" a="1"/>
  <c r="F377" i="43" s="1"/>
  <c r="J377" i="43" a="1"/>
  <c r="J377" i="43" s="1"/>
  <c r="I377" i="43" a="1"/>
  <c r="I377" i="43" s="1"/>
  <c r="H377" i="43" a="1"/>
  <c r="H377" i="43" s="1"/>
  <c r="G377" i="43" a="1"/>
  <c r="G377" i="43" s="1"/>
  <c r="J368" i="43" a="1"/>
  <c r="J368" i="43" s="1"/>
  <c r="I368" i="43" a="1"/>
  <c r="I368" i="43" s="1"/>
  <c r="H368" i="43" a="1"/>
  <c r="H368" i="43" s="1"/>
  <c r="G368" i="43" a="1"/>
  <c r="G368" i="43" s="1"/>
  <c r="F368" i="43" a="1"/>
  <c r="F368" i="43" s="1"/>
  <c r="I357" i="43" a="1"/>
  <c r="I357" i="43" s="1"/>
  <c r="J357" i="43" a="1"/>
  <c r="J357" i="43" s="1"/>
  <c r="F357" i="43" a="1"/>
  <c r="F357" i="43" s="1"/>
  <c r="H357" i="43" a="1"/>
  <c r="H357" i="43" s="1"/>
  <c r="G357" i="43" a="1"/>
  <c r="G357" i="43" s="1"/>
  <c r="K373" i="43"/>
  <c r="F373" i="43" a="1"/>
  <c r="F373" i="43" s="1"/>
  <c r="J373" i="43" a="1"/>
  <c r="J373" i="43" s="1"/>
  <c r="G373" i="43" a="1"/>
  <c r="G373" i="43" s="1"/>
  <c r="I373" i="43" a="1"/>
  <c r="I373" i="43" s="1"/>
  <c r="H373" i="43" a="1"/>
  <c r="H373" i="43" s="1"/>
  <c r="K375" i="43"/>
  <c r="J375" i="43" a="1"/>
  <c r="J375" i="43" s="1"/>
  <c r="I375" i="43" a="1"/>
  <c r="I375" i="43" s="1"/>
  <c r="H375" i="43" a="1"/>
  <c r="H375" i="43" s="1"/>
  <c r="G375" i="43" a="1"/>
  <c r="G375" i="43" s="1"/>
  <c r="F375" i="43" a="1"/>
  <c r="F375" i="43" s="1"/>
  <c r="K361" i="43"/>
  <c r="J361" i="43" a="1"/>
  <c r="J361" i="43" s="1"/>
  <c r="I361" i="43" a="1"/>
  <c r="I361" i="43" s="1"/>
  <c r="H361" i="43" a="1"/>
  <c r="H361" i="43" s="1"/>
  <c r="G361" i="43" a="1"/>
  <c r="G361" i="43" s="1"/>
  <c r="F361" i="43" a="1"/>
  <c r="F361" i="43" s="1"/>
  <c r="J355" i="43" a="1"/>
  <c r="J355" i="43" s="1"/>
  <c r="F355" i="43" a="1"/>
  <c r="F355" i="43" s="1"/>
  <c r="I355" i="43" a="1"/>
  <c r="I355" i="43" s="1"/>
  <c r="H355" i="43" a="1"/>
  <c r="H355" i="43" s="1"/>
  <c r="G355" i="43" a="1"/>
  <c r="G355" i="43" s="1"/>
  <c r="J209" i="43" a="1"/>
  <c r="J209" i="43" s="1"/>
  <c r="I209" i="43" a="1"/>
  <c r="I209" i="43" s="1"/>
  <c r="H209" i="43" a="1"/>
  <c r="H209" i="43" s="1"/>
  <c r="G209" i="43" a="1"/>
  <c r="G209" i="43" s="1"/>
  <c r="F209" i="43" a="1"/>
  <c r="F209" i="43" s="1"/>
  <c r="K206" i="43"/>
  <c r="J206" i="43" a="1"/>
  <c r="J206" i="43" s="1"/>
  <c r="I206" i="43" a="1"/>
  <c r="I206" i="43" s="1"/>
  <c r="H206" i="43" a="1"/>
  <c r="H206" i="43" s="1"/>
  <c r="G206" i="43" a="1"/>
  <c r="G206" i="43" s="1"/>
  <c r="F206" i="43" a="1"/>
  <c r="F206" i="43" s="1"/>
  <c r="K220" i="43"/>
  <c r="H220" i="43" a="1"/>
  <c r="H220" i="43" s="1"/>
  <c r="J220" i="43" a="1"/>
  <c r="J220" i="43" s="1"/>
  <c r="I220" i="43" a="1"/>
  <c r="I220" i="43" s="1"/>
  <c r="G220" i="43" a="1"/>
  <c r="G220" i="43" s="1"/>
  <c r="F220" i="43" a="1"/>
  <c r="F220" i="43" s="1"/>
  <c r="I205" i="43" a="1"/>
  <c r="I205" i="43" s="1"/>
  <c r="J205" i="43" a="1"/>
  <c r="J205" i="43" s="1"/>
  <c r="F205" i="43" a="1"/>
  <c r="F205" i="43" s="1"/>
  <c r="H205" i="43" a="1"/>
  <c r="H205" i="43" s="1"/>
  <c r="G205" i="43" a="1"/>
  <c r="G205" i="43" s="1"/>
  <c r="G210" i="43" a="1"/>
  <c r="G210" i="43" s="1"/>
  <c r="F210" i="43" a="1"/>
  <c r="F210" i="43" s="1"/>
  <c r="J210" i="43" a="1"/>
  <c r="J210" i="43" s="1"/>
  <c r="I210" i="43" a="1"/>
  <c r="I210" i="43" s="1"/>
  <c r="H210" i="43" a="1"/>
  <c r="H210" i="43" s="1"/>
  <c r="J203" i="43" a="1"/>
  <c r="J203" i="43" s="1"/>
  <c r="I203" i="43" a="1"/>
  <c r="I203" i="43" s="1"/>
  <c r="H203" i="43" a="1"/>
  <c r="H203" i="43" s="1"/>
  <c r="G203" i="43" a="1"/>
  <c r="G203" i="43" s="1"/>
  <c r="F203" i="43" a="1"/>
  <c r="F203" i="43" s="1"/>
  <c r="K212" i="43"/>
  <c r="J212" i="43" a="1"/>
  <c r="J212" i="43" s="1"/>
  <c r="I212" i="43" a="1"/>
  <c r="I212" i="43" s="1"/>
  <c r="H212" i="43" a="1"/>
  <c r="H212" i="43" s="1"/>
  <c r="F212" i="43" a="1"/>
  <c r="F212" i="43" s="1"/>
  <c r="G212" i="43" a="1"/>
  <c r="G212" i="43" s="1"/>
  <c r="K211" i="43"/>
  <c r="G211" i="43" a="1"/>
  <c r="G211" i="43" s="1"/>
  <c r="H211" i="43" a="1"/>
  <c r="H211" i="43" s="1"/>
  <c r="J211" i="43" a="1"/>
  <c r="J211" i="43" s="1"/>
  <c r="I211" i="43" a="1"/>
  <c r="I211" i="43" s="1"/>
  <c r="F211" i="43" a="1"/>
  <c r="F211" i="43" s="1"/>
  <c r="K222" i="43"/>
  <c r="G222" i="43" a="1"/>
  <c r="G222" i="43" s="1"/>
  <c r="F222" i="43" a="1"/>
  <c r="F222" i="43" s="1"/>
  <c r="J222" i="43" a="1"/>
  <c r="J222" i="43" s="1"/>
  <c r="I222" i="43" a="1"/>
  <c r="I222" i="43" s="1"/>
  <c r="H222" i="43" a="1"/>
  <c r="H222" i="43" s="1"/>
  <c r="J204" i="43" a="1"/>
  <c r="J204" i="43" s="1"/>
  <c r="I204" i="43" a="1"/>
  <c r="I204" i="43" s="1"/>
  <c r="H204" i="43" a="1"/>
  <c r="H204" i="43" s="1"/>
  <c r="G204" i="43" a="1"/>
  <c r="G204" i="43" s="1"/>
  <c r="F204" i="43" a="1"/>
  <c r="F204" i="43" s="1"/>
  <c r="K214" i="43"/>
  <c r="H214" i="43" a="1"/>
  <c r="H214" i="43" s="1"/>
  <c r="I214" i="43" a="1"/>
  <c r="I214" i="43" s="1"/>
  <c r="J214" i="43" a="1"/>
  <c r="J214" i="43" s="1"/>
  <c r="G214" i="43" a="1"/>
  <c r="G214" i="43" s="1"/>
  <c r="F214" i="43" a="1"/>
  <c r="F214" i="43" s="1"/>
  <c r="J224" i="43" a="1"/>
  <c r="J224" i="43" s="1"/>
  <c r="I224" i="43" a="1"/>
  <c r="I224" i="43" s="1"/>
  <c r="H224" i="43" a="1"/>
  <c r="H224" i="43" s="1"/>
  <c r="G224" i="43" a="1"/>
  <c r="G224" i="43" s="1"/>
  <c r="F224" i="43" a="1"/>
  <c r="F224" i="43" s="1"/>
  <c r="K216" i="43"/>
  <c r="I216" i="43" a="1"/>
  <c r="I216" i="43" s="1"/>
  <c r="H216" i="43" a="1"/>
  <c r="H216" i="43" s="1"/>
  <c r="G216" i="43" a="1"/>
  <c r="G216" i="43" s="1"/>
  <c r="F216" i="43" a="1"/>
  <c r="F216" i="43" s="1"/>
  <c r="J216" i="43" a="1"/>
  <c r="J216" i="43" s="1"/>
  <c r="H219" i="43" a="1"/>
  <c r="H219" i="43" s="1"/>
  <c r="G219" i="43" a="1"/>
  <c r="G219" i="43" s="1"/>
  <c r="F219" i="43" a="1"/>
  <c r="F219" i="43" s="1"/>
  <c r="K219" i="43" s="1"/>
  <c r="J219" i="43" a="1"/>
  <c r="J219" i="43" s="1"/>
  <c r="I219" i="43" a="1"/>
  <c r="I219" i="43" s="1"/>
  <c r="H213" i="43" a="1"/>
  <c r="H213" i="43" s="1"/>
  <c r="G213" i="43" a="1"/>
  <c r="G213" i="43" s="1"/>
  <c r="F213" i="43" a="1"/>
  <c r="F213" i="43" s="1"/>
  <c r="J213" i="43" a="1"/>
  <c r="J213" i="43" s="1"/>
  <c r="I213" i="43" a="1"/>
  <c r="I213" i="43" s="1"/>
  <c r="J221" i="43" a="1"/>
  <c r="J221" i="43" s="1"/>
  <c r="I221" i="43" a="1"/>
  <c r="I221" i="43" s="1"/>
  <c r="H221" i="43" a="1"/>
  <c r="H221" i="43" s="1"/>
  <c r="F221" i="43" a="1"/>
  <c r="F221" i="43" s="1"/>
  <c r="G221" i="43" a="1"/>
  <c r="G221" i="43" s="1"/>
  <c r="K217" i="43"/>
  <c r="H217" i="43" a="1"/>
  <c r="H217" i="43" s="1"/>
  <c r="I217" i="43" a="1"/>
  <c r="I217" i="43" s="1"/>
  <c r="J217" i="43" a="1"/>
  <c r="J217" i="43" s="1"/>
  <c r="G217" i="43" a="1"/>
  <c r="G217" i="43" s="1"/>
  <c r="F217" i="43" a="1"/>
  <c r="F217" i="43" s="1"/>
  <c r="J202" i="43" a="1"/>
  <c r="J202" i="43" s="1"/>
  <c r="H202" i="43" a="1"/>
  <c r="H202" i="43" s="1"/>
  <c r="I202" i="43" a="1"/>
  <c r="I202" i="43" s="1"/>
  <c r="G202" i="43" a="1"/>
  <c r="G202" i="43" s="1"/>
  <c r="F202" i="43" a="1"/>
  <c r="F202" i="43" s="1"/>
  <c r="K207" i="43"/>
  <c r="F207" i="43" a="1"/>
  <c r="F207" i="43" s="1"/>
  <c r="J207" i="43" a="1"/>
  <c r="J207" i="43" s="1"/>
  <c r="I207" i="43" a="1"/>
  <c r="I207" i="43" s="1"/>
  <c r="H207" i="43" a="1"/>
  <c r="H207" i="43" s="1"/>
  <c r="G207" i="43" a="1"/>
  <c r="G207" i="43" s="1"/>
  <c r="K218" i="43"/>
  <c r="J218" i="43" a="1"/>
  <c r="J218" i="43" s="1"/>
  <c r="I218" i="43" a="1"/>
  <c r="I218" i="43" s="1"/>
  <c r="G218" i="43" a="1"/>
  <c r="G218" i="43" s="1"/>
  <c r="H218" i="43" a="1"/>
  <c r="H218" i="43" s="1"/>
  <c r="F218" i="43" a="1"/>
  <c r="F218" i="43" s="1"/>
  <c r="J215" i="43" a="1"/>
  <c r="J215" i="43" s="1"/>
  <c r="I215" i="43" a="1"/>
  <c r="I215" i="43" s="1"/>
  <c r="G215" i="43" a="1"/>
  <c r="G215" i="43" s="1"/>
  <c r="H215" i="43" a="1"/>
  <c r="H215" i="43" s="1"/>
  <c r="F215" i="43" a="1"/>
  <c r="F215" i="43" s="1"/>
  <c r="J208" i="43" a="1"/>
  <c r="J208" i="43" s="1"/>
  <c r="F208" i="43" a="1"/>
  <c r="F208" i="43" s="1"/>
  <c r="G208" i="43" a="1"/>
  <c r="G208" i="43" s="1"/>
  <c r="I208" i="43" a="1"/>
  <c r="I208" i="43" s="1"/>
  <c r="H208" i="43" a="1"/>
  <c r="H208" i="43" s="1"/>
  <c r="K56" i="43"/>
  <c r="J56" i="43" a="1"/>
  <c r="J56" i="43" s="1"/>
  <c r="I56" i="43" a="1"/>
  <c r="I56" i="43" s="1"/>
  <c r="H56" i="43" a="1"/>
  <c r="H56" i="43" s="1"/>
  <c r="G56" i="43" a="1"/>
  <c r="G56" i="43" s="1"/>
  <c r="F56" i="43" a="1"/>
  <c r="F56" i="43" s="1"/>
  <c r="H64" i="43" a="1"/>
  <c r="H64" i="43" s="1"/>
  <c r="G64" i="43" a="1"/>
  <c r="G64" i="43" s="1"/>
  <c r="F64" i="43" a="1"/>
  <c r="F64" i="43" s="1"/>
  <c r="J64" i="43" a="1"/>
  <c r="J64" i="43" s="1"/>
  <c r="I64" i="43" a="1"/>
  <c r="I64" i="43" s="1"/>
  <c r="I58" i="43" a="1"/>
  <c r="I58" i="43" s="1"/>
  <c r="H58" i="43" a="1"/>
  <c r="H58" i="43" s="1"/>
  <c r="G58" i="43" a="1"/>
  <c r="G58" i="43" s="1"/>
  <c r="F58" i="43" a="1"/>
  <c r="F58" i="43" s="1"/>
  <c r="J58" i="43" a="1"/>
  <c r="J58" i="43" s="1"/>
  <c r="K66" i="43"/>
  <c r="J66" i="43" a="1"/>
  <c r="J66" i="43" s="1"/>
  <c r="I66" i="43" a="1"/>
  <c r="I66" i="43" s="1"/>
  <c r="H66" i="43" a="1"/>
  <c r="H66" i="43" s="1"/>
  <c r="G66" i="43" a="1"/>
  <c r="G66" i="43" s="1"/>
  <c r="F66" i="43" a="1"/>
  <c r="F66" i="43" s="1"/>
  <c r="K60" i="43"/>
  <c r="J60" i="43" a="1"/>
  <c r="J60" i="43" s="1"/>
  <c r="I60" i="43" a="1"/>
  <c r="I60" i="43" s="1"/>
  <c r="H60" i="43" a="1"/>
  <c r="H60" i="43" s="1"/>
  <c r="G60" i="43" a="1"/>
  <c r="G60" i="43" s="1"/>
  <c r="F60" i="43" a="1"/>
  <c r="F60" i="43" s="1"/>
  <c r="J51" i="43" a="1"/>
  <c r="J51" i="43" s="1"/>
  <c r="I51" i="43" a="1"/>
  <c r="I51" i="43" s="1"/>
  <c r="H51" i="43" a="1"/>
  <c r="H51" i="43" s="1"/>
  <c r="G51" i="43" a="1"/>
  <c r="G51" i="43" s="1"/>
  <c r="F51" i="43" a="1"/>
  <c r="F51" i="43" s="1"/>
  <c r="K63" i="43"/>
  <c r="J63" i="43" a="1"/>
  <c r="J63" i="43" s="1"/>
  <c r="I63" i="43" a="1"/>
  <c r="I63" i="43" s="1"/>
  <c r="H63" i="43" a="1"/>
  <c r="H63" i="43" s="1"/>
  <c r="G63" i="43" a="1"/>
  <c r="G63" i="43" s="1"/>
  <c r="F63" i="43" a="1"/>
  <c r="F63" i="43" s="1"/>
  <c r="K67" i="43"/>
  <c r="G67" i="43" a="1"/>
  <c r="G67" i="43" s="1"/>
  <c r="F67" i="43" a="1"/>
  <c r="F67" i="43" s="1"/>
  <c r="J67" i="43" a="1"/>
  <c r="J67" i="43" s="1"/>
  <c r="I67" i="43" a="1"/>
  <c r="I67" i="43" s="1"/>
  <c r="H67" i="43" a="1"/>
  <c r="H67" i="43" s="1"/>
  <c r="K61" i="43"/>
  <c r="I61" i="43" a="1"/>
  <c r="I61" i="43" s="1"/>
  <c r="H61" i="43" a="1"/>
  <c r="H61" i="43" s="1"/>
  <c r="G61" i="43" a="1"/>
  <c r="G61" i="43" s="1"/>
  <c r="F61" i="43" a="1"/>
  <c r="F61" i="43" s="1"/>
  <c r="J61" i="43" a="1"/>
  <c r="J61" i="43" s="1"/>
  <c r="K55" i="43"/>
  <c r="J55" i="43" a="1"/>
  <c r="J55" i="43" s="1"/>
  <c r="I55" i="43" a="1"/>
  <c r="I55" i="43" s="1"/>
  <c r="H55" i="43" a="1"/>
  <c r="H55" i="43" s="1"/>
  <c r="G55" i="43" a="1"/>
  <c r="G55" i="43" s="1"/>
  <c r="F55" i="43" a="1"/>
  <c r="F55" i="43" s="1"/>
  <c r="K70" i="43"/>
  <c r="F70" i="43" a="1"/>
  <c r="F70" i="43" s="1"/>
  <c r="J70" i="43" a="1"/>
  <c r="J70" i="43" s="1"/>
  <c r="I70" i="43" a="1"/>
  <c r="I70" i="43" s="1"/>
  <c r="H70" i="43" a="1"/>
  <c r="H70" i="43" s="1"/>
  <c r="G70" i="43" a="1"/>
  <c r="G70" i="43" s="1"/>
  <c r="K57" i="43"/>
  <c r="J57" i="43" a="1"/>
  <c r="J57" i="43" s="1"/>
  <c r="I57" i="43" a="1"/>
  <c r="I57" i="43" s="1"/>
  <c r="H57" i="43" a="1"/>
  <c r="H57" i="43" s="1"/>
  <c r="G57" i="43" a="1"/>
  <c r="G57" i="43" s="1"/>
  <c r="F57" i="43" a="1"/>
  <c r="F57" i="43" s="1"/>
  <c r="J59" i="43" a="1"/>
  <c r="J59" i="43" s="1"/>
  <c r="I59" i="43" a="1"/>
  <c r="I59" i="43" s="1"/>
  <c r="H59" i="43" a="1"/>
  <c r="H59" i="43" s="1"/>
  <c r="G59" i="43" a="1"/>
  <c r="G59" i="43" s="1"/>
  <c r="F59" i="43" a="1"/>
  <c r="F59" i="43" s="1"/>
  <c r="F53" i="43" a="1"/>
  <c r="F53" i="43" s="1"/>
  <c r="J53" i="43" a="1"/>
  <c r="J53" i="43" s="1"/>
  <c r="I53" i="43" a="1"/>
  <c r="I53" i="43" s="1"/>
  <c r="H53" i="43" a="1"/>
  <c r="H53" i="43" s="1"/>
  <c r="G53" i="43" a="1"/>
  <c r="G53" i="43" s="1"/>
  <c r="J72" i="43" a="1"/>
  <c r="J72" i="43" s="1"/>
  <c r="I72" i="43" a="1"/>
  <c r="I72" i="43" s="1"/>
  <c r="H72" i="43" a="1"/>
  <c r="H72" i="43" s="1"/>
  <c r="G72" i="43" a="1"/>
  <c r="G72" i="43" s="1"/>
  <c r="F72" i="43" a="1"/>
  <c r="F72" i="43" s="1"/>
  <c r="K65" i="43"/>
  <c r="J65" i="43" a="1"/>
  <c r="J65" i="43" s="1"/>
  <c r="I65" i="43" a="1"/>
  <c r="I65" i="43" s="1"/>
  <c r="H65" i="43" a="1"/>
  <c r="H65" i="43" s="1"/>
  <c r="G65" i="43" a="1"/>
  <c r="G65" i="43" s="1"/>
  <c r="F65" i="43" a="1"/>
  <c r="F65" i="43" s="1"/>
  <c r="J62" i="43" a="1"/>
  <c r="J62" i="43" s="1"/>
  <c r="I62" i="43" a="1"/>
  <c r="I62" i="43" s="1"/>
  <c r="H62" i="43" a="1"/>
  <c r="H62" i="43" s="1"/>
  <c r="G62" i="43" a="1"/>
  <c r="G62" i="43" s="1"/>
  <c r="F62" i="43" a="1"/>
  <c r="F62" i="43" s="1"/>
  <c r="J54" i="43" a="1"/>
  <c r="J54" i="43" s="1"/>
  <c r="I54" i="43" a="1"/>
  <c r="I54" i="43" s="1"/>
  <c r="H54" i="43" a="1"/>
  <c r="H54" i="43" s="1"/>
  <c r="G54" i="43" a="1"/>
  <c r="G54" i="43" s="1"/>
  <c r="F54" i="43" a="1"/>
  <c r="F54" i="43" s="1"/>
  <c r="K68" i="43"/>
  <c r="J68" i="43" a="1"/>
  <c r="J68" i="43" s="1"/>
  <c r="I68" i="43" a="1"/>
  <c r="I68" i="43" s="1"/>
  <c r="H68" i="43" a="1"/>
  <c r="H68" i="43" s="1"/>
  <c r="G68" i="43" a="1"/>
  <c r="G68" i="43" s="1"/>
  <c r="F68" i="43" a="1"/>
  <c r="F68" i="43" s="1"/>
  <c r="J52" i="43" a="1"/>
  <c r="J52" i="43" s="1"/>
  <c r="I52" i="43" a="1"/>
  <c r="I52" i="43" s="1"/>
  <c r="H52" i="43" a="1"/>
  <c r="H52" i="43" s="1"/>
  <c r="G52" i="43" a="1"/>
  <c r="G52" i="43" s="1"/>
  <c r="F52" i="43" a="1"/>
  <c r="F52" i="43" s="1"/>
  <c r="K69" i="43"/>
  <c r="J69" i="43" a="1"/>
  <c r="J69" i="43" s="1"/>
  <c r="I69" i="43" a="1"/>
  <c r="I69" i="43" s="1"/>
  <c r="H69" i="43" a="1"/>
  <c r="H69" i="43" s="1"/>
  <c r="G69" i="43" a="1"/>
  <c r="G69" i="43" s="1"/>
  <c r="F69" i="43" a="1"/>
  <c r="F69" i="43" s="1"/>
  <c r="K675" i="43"/>
  <c r="K681" i="43"/>
  <c r="K666" i="43"/>
  <c r="K671" i="43"/>
  <c r="K677" i="43"/>
  <c r="K661" i="43"/>
  <c r="K676" i="43"/>
  <c r="K662" i="43"/>
  <c r="K680" i="43"/>
  <c r="K663" i="43"/>
  <c r="K669" i="43"/>
  <c r="K667" i="43"/>
  <c r="K670" i="43"/>
  <c r="K679" i="43"/>
  <c r="K665" i="43"/>
  <c r="K673" i="43"/>
  <c r="K678" i="43"/>
  <c r="K509" i="43"/>
  <c r="K512" i="43"/>
  <c r="P51" i="43"/>
  <c r="K51" i="43"/>
  <c r="P526" i="43"/>
  <c r="K526" i="43"/>
  <c r="L526" i="43" s="1"/>
  <c r="P523" i="43"/>
  <c r="K523" i="43"/>
  <c r="P208" i="43"/>
  <c r="K208" i="43"/>
  <c r="P528" i="43"/>
  <c r="K528" i="43"/>
  <c r="L528" i="43" s="1"/>
  <c r="AB202" i="43"/>
  <c r="K202" i="43"/>
  <c r="P524" i="43"/>
  <c r="K524" i="43"/>
  <c r="P518" i="43"/>
  <c r="K518" i="43"/>
  <c r="P517" i="43"/>
  <c r="K517" i="43"/>
  <c r="P513" i="43"/>
  <c r="K513" i="43"/>
  <c r="P520" i="43"/>
  <c r="K520" i="43"/>
  <c r="K355" i="43"/>
  <c r="F384" i="43"/>
  <c r="P522" i="43"/>
  <c r="K522" i="43"/>
  <c r="K516" i="43"/>
  <c r="K510" i="43"/>
  <c r="AC510" i="43" s="1"/>
  <c r="P525" i="43"/>
  <c r="K525" i="43"/>
  <c r="L525" i="43" s="1"/>
  <c r="P508" i="43"/>
  <c r="K508" i="43"/>
  <c r="P514" i="43"/>
  <c r="K514" i="43"/>
  <c r="D92" i="43"/>
  <c r="Q51" i="43"/>
  <c r="AC51" i="43"/>
  <c r="AB51" i="43"/>
  <c r="D589" i="43"/>
  <c r="P589" i="43" s="1"/>
  <c r="AB588" i="43"/>
  <c r="AA588" i="43"/>
  <c r="AB526" i="43"/>
  <c r="AC526" i="43"/>
  <c r="AC523" i="43"/>
  <c r="AB523" i="43"/>
  <c r="AC528" i="43"/>
  <c r="AB528" i="43"/>
  <c r="AC524" i="43"/>
  <c r="AB524" i="43"/>
  <c r="AB518" i="43"/>
  <c r="AC518" i="43"/>
  <c r="AC517" i="43"/>
  <c r="AB517" i="43"/>
  <c r="AC520" i="43"/>
  <c r="AB520" i="43"/>
  <c r="AC508" i="43"/>
  <c r="AB508" i="43"/>
  <c r="AC525" i="43"/>
  <c r="AB525" i="43"/>
  <c r="K588" i="43"/>
  <c r="L588" i="43" s="1"/>
  <c r="D576" i="43"/>
  <c r="D580" i="43"/>
  <c r="P580" i="43" s="1"/>
  <c r="D560" i="43"/>
  <c r="P560" i="43" s="1"/>
  <c r="D570" i="43"/>
  <c r="P570" i="43" s="1"/>
  <c r="D572" i="43"/>
  <c r="D562" i="43"/>
  <c r="P562" i="43" s="1"/>
  <c r="D556" i="43"/>
  <c r="D568" i="43"/>
  <c r="P568" i="43" s="1"/>
  <c r="D554" i="43"/>
  <c r="D574" i="43"/>
  <c r="P574" i="43" s="1"/>
  <c r="D582" i="43"/>
  <c r="P582" i="43" s="1"/>
  <c r="D578" i="43"/>
  <c r="P578" i="43" s="1"/>
  <c r="D566" i="43"/>
  <c r="D584" i="43"/>
  <c r="P584" i="43" s="1"/>
  <c r="D564" i="43"/>
  <c r="D590" i="43"/>
  <c r="P590" i="43" s="1"/>
  <c r="D586" i="43"/>
  <c r="P586" i="43" s="1"/>
  <c r="D594" i="43"/>
  <c r="D558" i="43"/>
  <c r="D124" i="43"/>
  <c r="AB67" i="43"/>
  <c r="AC67" i="43"/>
  <c r="P67" i="43"/>
  <c r="D719" i="43"/>
  <c r="AC669" i="43"/>
  <c r="AB669" i="43"/>
  <c r="D727" i="43"/>
  <c r="P727" i="43" s="1"/>
  <c r="P673" i="43"/>
  <c r="AC673" i="43"/>
  <c r="AB673" i="43"/>
  <c r="D104" i="43"/>
  <c r="AC57" i="43"/>
  <c r="P57" i="43"/>
  <c r="AB57" i="43"/>
  <c r="D276" i="43"/>
  <c r="P276" i="43" s="1"/>
  <c r="P218" i="43"/>
  <c r="AC218" i="43"/>
  <c r="AB218" i="43"/>
  <c r="D401" i="43"/>
  <c r="D112" i="43"/>
  <c r="AC61" i="43"/>
  <c r="P61" i="43"/>
  <c r="AB61" i="43"/>
  <c r="D725" i="43"/>
  <c r="D256" i="43"/>
  <c r="P256" i="43" s="1"/>
  <c r="AC208" i="43"/>
  <c r="AB208" i="43"/>
  <c r="D441" i="43"/>
  <c r="D737" i="43"/>
  <c r="AB678" i="43"/>
  <c r="P678" i="43"/>
  <c r="AC678" i="43"/>
  <c r="D270" i="43"/>
  <c r="D244" i="43"/>
  <c r="P244" i="43" s="1"/>
  <c r="P202" i="43"/>
  <c r="AC202" i="43"/>
  <c r="D252" i="43"/>
  <c r="P252" i="43" s="1"/>
  <c r="AC206" i="43"/>
  <c r="AB206" i="43"/>
  <c r="P206" i="43"/>
  <c r="D403" i="43"/>
  <c r="D709" i="43"/>
  <c r="D258" i="43"/>
  <c r="D280" i="43"/>
  <c r="P280" i="43" s="1"/>
  <c r="P220" i="43"/>
  <c r="AC220" i="43"/>
  <c r="AB220" i="43"/>
  <c r="D282" i="43"/>
  <c r="P282" i="43" s="1"/>
  <c r="D399" i="43"/>
  <c r="P399" i="43" s="1"/>
  <c r="AB356" i="43"/>
  <c r="P356" i="43"/>
  <c r="AC356" i="43"/>
  <c r="D739" i="43"/>
  <c r="P739" i="43" s="1"/>
  <c r="P679" i="43"/>
  <c r="D126" i="43"/>
  <c r="AB68" i="43"/>
  <c r="AC68" i="43"/>
  <c r="P68" i="43"/>
  <c r="D268" i="43"/>
  <c r="P268" i="43" s="1"/>
  <c r="AC214" i="43"/>
  <c r="AB214" i="43"/>
  <c r="P214" i="43"/>
  <c r="D250" i="43"/>
  <c r="D419" i="43"/>
  <c r="D741" i="43"/>
  <c r="P741" i="43" s="1"/>
  <c r="AB680" i="43"/>
  <c r="P680" i="43"/>
  <c r="AC680" i="43"/>
  <c r="D262" i="43"/>
  <c r="P262" i="43" s="1"/>
  <c r="AC211" i="43"/>
  <c r="AB211" i="43"/>
  <c r="P211" i="43"/>
  <c r="D246" i="43"/>
  <c r="D433" i="43"/>
  <c r="P433" i="43" s="1"/>
  <c r="AC373" i="43"/>
  <c r="AB373" i="43"/>
  <c r="P373" i="43"/>
  <c r="D747" i="43"/>
  <c r="D130" i="43"/>
  <c r="D248" i="43"/>
  <c r="D409" i="43"/>
  <c r="P409" i="43" s="1"/>
  <c r="AC361" i="43"/>
  <c r="AB361" i="43"/>
  <c r="P361" i="43"/>
  <c r="D397" i="43"/>
  <c r="P397" i="43" s="1"/>
  <c r="P355" i="43"/>
  <c r="AC355" i="43"/>
  <c r="AB355" i="43"/>
  <c r="D733" i="43"/>
  <c r="P733" i="43" s="1"/>
  <c r="AC676" i="43"/>
  <c r="AB676" i="43"/>
  <c r="P676" i="43"/>
  <c r="D120" i="43"/>
  <c r="AC65" i="43"/>
  <c r="P65" i="43"/>
  <c r="AB65" i="43"/>
  <c r="D278" i="43"/>
  <c r="P278" i="43" s="1"/>
  <c r="P219" i="43"/>
  <c r="D417" i="43"/>
  <c r="P417" i="43" s="1"/>
  <c r="P365" i="43"/>
  <c r="AC365" i="43"/>
  <c r="AB365" i="43"/>
  <c r="D431" i="43"/>
  <c r="P431" i="43" s="1"/>
  <c r="AB372" i="43"/>
  <c r="AC372" i="43"/>
  <c r="P372" i="43"/>
  <c r="D729" i="43"/>
  <c r="D437" i="43"/>
  <c r="P437" i="43" s="1"/>
  <c r="P375" i="43"/>
  <c r="D102" i="43"/>
  <c r="D266" i="43"/>
  <c r="D413" i="43"/>
  <c r="D429" i="43"/>
  <c r="P429" i="43" s="1"/>
  <c r="P371" i="43"/>
  <c r="AC371" i="43"/>
  <c r="AB371" i="43"/>
  <c r="D721" i="43"/>
  <c r="P721" i="43" s="1"/>
  <c r="P670" i="43"/>
  <c r="AB670" i="43"/>
  <c r="AC670" i="43"/>
  <c r="D415" i="43"/>
  <c r="P415" i="43" s="1"/>
  <c r="AB364" i="43"/>
  <c r="P364" i="43"/>
  <c r="AC364" i="43"/>
  <c r="D114" i="43"/>
  <c r="D122" i="43"/>
  <c r="AB66" i="43"/>
  <c r="AC66" i="43"/>
  <c r="P66" i="43"/>
  <c r="D288" i="43"/>
  <c r="D405" i="43"/>
  <c r="P405" i="43" s="1"/>
  <c r="AC359" i="43"/>
  <c r="AB359" i="43"/>
  <c r="P359" i="43"/>
  <c r="D425" i="43"/>
  <c r="P425" i="43" s="1"/>
  <c r="AC369" i="43"/>
  <c r="AB369" i="43"/>
  <c r="P369" i="43"/>
  <c r="D717" i="43"/>
  <c r="D108" i="43"/>
  <c r="D106" i="43"/>
  <c r="D274" i="43"/>
  <c r="P274" i="43" s="1"/>
  <c r="AB217" i="43"/>
  <c r="P217" i="43"/>
  <c r="AC217" i="43"/>
  <c r="D423" i="43"/>
  <c r="D421" i="43"/>
  <c r="P421" i="43" s="1"/>
  <c r="P367" i="43"/>
  <c r="AC367" i="43"/>
  <c r="AB367" i="43"/>
  <c r="D705" i="43"/>
  <c r="D713" i="43"/>
  <c r="P713" i="43" s="1"/>
  <c r="AC666" i="43"/>
  <c r="AB666" i="43"/>
  <c r="P666" i="43"/>
  <c r="D284" i="43"/>
  <c r="P284" i="43" s="1"/>
  <c r="AC222" i="43"/>
  <c r="AB222" i="43"/>
  <c r="P222" i="43"/>
  <c r="D110" i="43"/>
  <c r="AC60" i="43"/>
  <c r="P60" i="43"/>
  <c r="AB60" i="43"/>
  <c r="D411" i="43"/>
  <c r="D435" i="43"/>
  <c r="P435" i="43" s="1"/>
  <c r="AC374" i="43"/>
  <c r="AB374" i="43"/>
  <c r="P374" i="43"/>
  <c r="D703" i="43"/>
  <c r="P703" i="43" s="1"/>
  <c r="AC661" i="43"/>
  <c r="AB661" i="43"/>
  <c r="P661" i="43"/>
  <c r="D735" i="43"/>
  <c r="P735" i="43" s="1"/>
  <c r="AC677" i="43"/>
  <c r="AB677" i="43"/>
  <c r="P677" i="43"/>
  <c r="D264" i="43"/>
  <c r="P264" i="43" s="1"/>
  <c r="AC212" i="43"/>
  <c r="AB212" i="43"/>
  <c r="P212" i="43"/>
  <c r="D128" i="43"/>
  <c r="D254" i="43"/>
  <c r="P254" i="43" s="1"/>
  <c r="P207" i="43"/>
  <c r="AB207" i="43"/>
  <c r="AC207" i="43"/>
  <c r="D98" i="43"/>
  <c r="D272" i="43"/>
  <c r="P272" i="43" s="1"/>
  <c r="P216" i="43"/>
  <c r="D427" i="43"/>
  <c r="P427" i="43" s="1"/>
  <c r="AB370" i="43"/>
  <c r="P370" i="43"/>
  <c r="AC370" i="43"/>
  <c r="D100" i="43"/>
  <c r="AB55" i="43"/>
  <c r="AC55" i="43"/>
  <c r="P55" i="43"/>
  <c r="D731" i="43"/>
  <c r="P731" i="43" s="1"/>
  <c r="P675" i="43"/>
  <c r="AC675" i="43"/>
  <c r="AB675" i="43"/>
  <c r="D711" i="43"/>
  <c r="P711" i="43" s="1"/>
  <c r="AC665" i="43"/>
  <c r="AB665" i="43"/>
  <c r="P665" i="43"/>
  <c r="D715" i="43"/>
  <c r="P715" i="43" s="1"/>
  <c r="AC667" i="43"/>
  <c r="AB667" i="43"/>
  <c r="P667" i="43"/>
  <c r="D118" i="43"/>
  <c r="D94" i="43"/>
  <c r="D96" i="43"/>
  <c r="D260" i="43"/>
  <c r="D407" i="43"/>
  <c r="P407" i="43" s="1"/>
  <c r="AC360" i="43"/>
  <c r="AB360" i="43"/>
  <c r="P360" i="43"/>
  <c r="D116" i="43"/>
  <c r="AC63" i="43"/>
  <c r="P63" i="43"/>
  <c r="AB63" i="43"/>
  <c r="D707" i="43"/>
  <c r="P707" i="43" s="1"/>
  <c r="Q707" i="43" s="1"/>
  <c r="D743" i="43"/>
  <c r="P743" i="43" s="1"/>
  <c r="AC681" i="43"/>
  <c r="AB681" i="43"/>
  <c r="P681" i="43"/>
  <c r="D134" i="43"/>
  <c r="K592" i="43" l="1"/>
  <c r="AA592" i="43" s="1"/>
  <c r="D593" i="43"/>
  <c r="K593" i="43" s="1"/>
  <c r="AB593" i="43" s="1"/>
  <c r="AB219" i="43"/>
  <c r="AC219" i="43"/>
  <c r="M529" i="43"/>
  <c r="P529" i="43" s="1"/>
  <c r="Q529" i="43" s="1"/>
  <c r="M71" i="43"/>
  <c r="P71" i="43" s="1"/>
  <c r="K132" i="43"/>
  <c r="L132" i="43" s="1"/>
  <c r="AB132" i="43"/>
  <c r="D133" i="43"/>
  <c r="AA132" i="43"/>
  <c r="P132" i="43"/>
  <c r="Q132" i="43" s="1"/>
  <c r="K286" i="43"/>
  <c r="AB286" i="43" s="1"/>
  <c r="D287" i="43"/>
  <c r="K287" i="43" s="1"/>
  <c r="AB287" i="43" s="1"/>
  <c r="K223" i="43"/>
  <c r="L223" i="43" s="1"/>
  <c r="P439" i="43"/>
  <c r="Q439" i="43" s="1"/>
  <c r="K439" i="43"/>
  <c r="M376" i="43"/>
  <c r="P376" i="43" s="1"/>
  <c r="Q376" i="43" s="1"/>
  <c r="M223" i="43"/>
  <c r="P223" i="43" s="1"/>
  <c r="Q223" i="43" s="1"/>
  <c r="K376" i="43"/>
  <c r="L376" i="43" s="1"/>
  <c r="AC376" i="43"/>
  <c r="AB376" i="43"/>
  <c r="AB592" i="43"/>
  <c r="AB529" i="43"/>
  <c r="AC529" i="43"/>
  <c r="F385" i="43"/>
  <c r="K682" i="43"/>
  <c r="L682" i="43" s="1"/>
  <c r="AB682" i="43"/>
  <c r="AC682" i="43"/>
  <c r="D746" i="43"/>
  <c r="K745" i="43"/>
  <c r="AA745" i="43" s="1"/>
  <c r="P745" i="43"/>
  <c r="Q745" i="43" s="1"/>
  <c r="M682" i="43"/>
  <c r="P682" i="43" s="1"/>
  <c r="Q682" i="43" s="1"/>
  <c r="K440" i="43"/>
  <c r="AB440" i="43" s="1"/>
  <c r="P440" i="43"/>
  <c r="Q440" i="43" s="1"/>
  <c r="AA439" i="43"/>
  <c r="AB439" i="43"/>
  <c r="AA286" i="43"/>
  <c r="AC223" i="43"/>
  <c r="AB223" i="43"/>
  <c r="K683" i="43"/>
  <c r="AC683" i="43" s="1"/>
  <c r="K664" i="43"/>
  <c r="AB664" i="43" s="1"/>
  <c r="K515" i="43"/>
  <c r="K519" i="43"/>
  <c r="AC519" i="43" s="1"/>
  <c r="K511" i="43"/>
  <c r="AC511" i="43" s="1"/>
  <c r="K530" i="43"/>
  <c r="I691" i="43"/>
  <c r="K674" i="43"/>
  <c r="AB674" i="43" s="1"/>
  <c r="K672" i="43"/>
  <c r="AB672" i="43" s="1"/>
  <c r="K668" i="43"/>
  <c r="AB668" i="43" s="1"/>
  <c r="K521" i="43"/>
  <c r="I538" i="43"/>
  <c r="AB510" i="43"/>
  <c r="E384" i="43"/>
  <c r="K384" i="43" s="1"/>
  <c r="L355" i="43"/>
  <c r="P737" i="43"/>
  <c r="K737" i="43"/>
  <c r="L737" i="43" s="1"/>
  <c r="D93" i="43"/>
  <c r="AB93" i="43" s="1"/>
  <c r="D577" i="43"/>
  <c r="P92" i="43"/>
  <c r="AA92" i="43"/>
  <c r="AB92" i="43"/>
  <c r="K92" i="43"/>
  <c r="D418" i="43"/>
  <c r="P418" i="43" s="1"/>
  <c r="K417" i="43"/>
  <c r="L417" i="43" s="1"/>
  <c r="AB417" i="43"/>
  <c r="AA417" i="43"/>
  <c r="K134" i="43"/>
  <c r="D442" i="43"/>
  <c r="K441" i="43"/>
  <c r="K566" i="43"/>
  <c r="AB566" i="43" s="1"/>
  <c r="D408" i="43"/>
  <c r="P408" i="43" s="1"/>
  <c r="K407" i="43"/>
  <c r="L407" i="43" s="1"/>
  <c r="AB407" i="43"/>
  <c r="AA407" i="43"/>
  <c r="K102" i="43"/>
  <c r="AB102" i="43"/>
  <c r="AA102" i="43"/>
  <c r="D575" i="43"/>
  <c r="P575" i="43" s="1"/>
  <c r="AB574" i="43"/>
  <c r="AA574" i="43"/>
  <c r="K118" i="43"/>
  <c r="AB118" i="43" s="1"/>
  <c r="D555" i="43"/>
  <c r="D422" i="43"/>
  <c r="P422" i="43" s="1"/>
  <c r="AB421" i="43"/>
  <c r="AA421" i="43"/>
  <c r="K421" i="43"/>
  <c r="L421" i="43" s="1"/>
  <c r="D402" i="43"/>
  <c r="K401" i="43"/>
  <c r="AB401" i="43" s="1"/>
  <c r="AB743" i="43"/>
  <c r="AA743" i="43"/>
  <c r="D569" i="43"/>
  <c r="P569" i="43" s="1"/>
  <c r="AB568" i="43"/>
  <c r="AA568" i="43"/>
  <c r="D583" i="43"/>
  <c r="P583" i="43" s="1"/>
  <c r="AB582" i="43"/>
  <c r="AA582" i="43"/>
  <c r="D424" i="43"/>
  <c r="K423" i="43"/>
  <c r="AA423" i="43" s="1"/>
  <c r="D438" i="43"/>
  <c r="P438" i="43" s="1"/>
  <c r="K437" i="43"/>
  <c r="AB437" i="43" s="1"/>
  <c r="D410" i="43"/>
  <c r="P410" i="43" s="1"/>
  <c r="K409" i="43"/>
  <c r="L409" i="43" s="1"/>
  <c r="AB409" i="43"/>
  <c r="AA409" i="43"/>
  <c r="D434" i="43"/>
  <c r="P434" i="43" s="1"/>
  <c r="K433" i="43"/>
  <c r="L433" i="43" s="1"/>
  <c r="AB433" i="43"/>
  <c r="AA433" i="43"/>
  <c r="D420" i="43"/>
  <c r="K419" i="43"/>
  <c r="D557" i="43"/>
  <c r="AB721" i="43"/>
  <c r="AA721" i="43"/>
  <c r="K100" i="43"/>
  <c r="AB100" i="43"/>
  <c r="AA100" i="43"/>
  <c r="D428" i="43"/>
  <c r="P428" i="43" s="1"/>
  <c r="AB427" i="43"/>
  <c r="K427" i="43"/>
  <c r="L427" i="43" s="1"/>
  <c r="AA427" i="43"/>
  <c r="K124" i="43"/>
  <c r="L124" i="43" s="1"/>
  <c r="AB124" i="43"/>
  <c r="AA124" i="43"/>
  <c r="K562" i="43"/>
  <c r="AB562" i="43" s="1"/>
  <c r="AB715" i="43"/>
  <c r="AA715" i="43"/>
  <c r="D436" i="43"/>
  <c r="P436" i="43" s="1"/>
  <c r="AB435" i="43"/>
  <c r="AA435" i="43"/>
  <c r="K435" i="43"/>
  <c r="L435" i="43" s="1"/>
  <c r="D573" i="43"/>
  <c r="K108" i="43"/>
  <c r="AB108" i="43" s="1"/>
  <c r="K122" i="43"/>
  <c r="L122" i="43" s="1"/>
  <c r="AB122" i="43"/>
  <c r="AA122" i="43"/>
  <c r="K128" i="43"/>
  <c r="AB128" i="43"/>
  <c r="AA128" i="43"/>
  <c r="K96" i="43"/>
  <c r="K570" i="43"/>
  <c r="L570" i="43" s="1"/>
  <c r="AB570" i="43"/>
  <c r="AA570" i="43"/>
  <c r="AB713" i="43"/>
  <c r="AA713" i="43"/>
  <c r="K114" i="43"/>
  <c r="AA114" i="43" s="1"/>
  <c r="D414" i="43"/>
  <c r="K413" i="43"/>
  <c r="AA413" i="43" s="1"/>
  <c r="K120" i="43"/>
  <c r="L120" i="43" s="1"/>
  <c r="AB120" i="43"/>
  <c r="AA120" i="43"/>
  <c r="D400" i="43"/>
  <c r="P400" i="43" s="1"/>
  <c r="K399" i="43"/>
  <c r="L399" i="43" s="1"/>
  <c r="AB399" i="43"/>
  <c r="AA399" i="43"/>
  <c r="K558" i="43"/>
  <c r="D561" i="43"/>
  <c r="P561" i="43" s="1"/>
  <c r="K126" i="43"/>
  <c r="L126" i="43" s="1"/>
  <c r="AB126" i="43"/>
  <c r="AA126" i="43"/>
  <c r="AB703" i="43"/>
  <c r="AA703" i="43"/>
  <c r="D430" i="43"/>
  <c r="P430" i="43" s="1"/>
  <c r="AB429" i="43"/>
  <c r="AA429" i="43"/>
  <c r="K429" i="43"/>
  <c r="L429" i="43" s="1"/>
  <c r="AB711" i="43"/>
  <c r="AA711" i="43"/>
  <c r="D412" i="43"/>
  <c r="K411" i="43"/>
  <c r="AA411" i="43" s="1"/>
  <c r="K104" i="43"/>
  <c r="L104" i="43" s="1"/>
  <c r="AB104" i="43"/>
  <c r="AA104" i="43"/>
  <c r="D595" i="43"/>
  <c r="D581" i="43"/>
  <c r="P581" i="43" s="1"/>
  <c r="AB580" i="43"/>
  <c r="AA580" i="43"/>
  <c r="D398" i="43"/>
  <c r="P398" i="43" s="1"/>
  <c r="AB397" i="43"/>
  <c r="AA397" i="43"/>
  <c r="K397" i="43"/>
  <c r="O449" i="43"/>
  <c r="AB737" i="43"/>
  <c r="AA737" i="43"/>
  <c r="K586" i="43"/>
  <c r="L586" i="43" s="1"/>
  <c r="AB586" i="43"/>
  <c r="AA586" i="43"/>
  <c r="K576" i="43"/>
  <c r="AB576" i="43" s="1"/>
  <c r="D426" i="43"/>
  <c r="P426" i="43" s="1"/>
  <c r="K425" i="43"/>
  <c r="L425" i="43" s="1"/>
  <c r="AB425" i="43"/>
  <c r="AA425" i="43"/>
  <c r="K116" i="43"/>
  <c r="L116" i="43" s="1"/>
  <c r="AB116" i="43"/>
  <c r="AA116" i="43"/>
  <c r="D404" i="43"/>
  <c r="K403" i="43"/>
  <c r="AB403" i="43" s="1"/>
  <c r="D591" i="43"/>
  <c r="P591" i="43" s="1"/>
  <c r="AB590" i="43"/>
  <c r="AA590" i="43"/>
  <c r="D579" i="43"/>
  <c r="P579" i="43" s="1"/>
  <c r="D406" i="43"/>
  <c r="P406" i="43" s="1"/>
  <c r="AB405" i="43"/>
  <c r="AA405" i="43"/>
  <c r="K405" i="43"/>
  <c r="L405" i="43" s="1"/>
  <c r="D416" i="43"/>
  <c r="P416" i="43" s="1"/>
  <c r="K415" i="43"/>
  <c r="L415" i="43" s="1"/>
  <c r="AB415" i="43"/>
  <c r="AA415" i="43"/>
  <c r="D432" i="43"/>
  <c r="P432" i="43" s="1"/>
  <c r="K431" i="43"/>
  <c r="L431" i="43" s="1"/>
  <c r="AB431" i="43"/>
  <c r="AA431" i="43"/>
  <c r="AB733" i="43"/>
  <c r="AA733" i="43"/>
  <c r="K130" i="43"/>
  <c r="AB130" i="43" s="1"/>
  <c r="AA130" i="43"/>
  <c r="D565" i="43"/>
  <c r="AB741" i="43"/>
  <c r="AA741" i="43"/>
  <c r="K106" i="43"/>
  <c r="AB106" i="43" s="1"/>
  <c r="K94" i="43"/>
  <c r="AB94" i="43" s="1"/>
  <c r="AB731" i="43"/>
  <c r="AA731" i="43"/>
  <c r="K98" i="43"/>
  <c r="AA98" i="43" s="1"/>
  <c r="AB735" i="43"/>
  <c r="AA735" i="43"/>
  <c r="K110" i="43"/>
  <c r="L110" i="43" s="1"/>
  <c r="AB110" i="43"/>
  <c r="AA110" i="43"/>
  <c r="K112" i="43"/>
  <c r="L112" i="43" s="1"/>
  <c r="AB112" i="43"/>
  <c r="AA112" i="43"/>
  <c r="AB727" i="43"/>
  <c r="AA727" i="43"/>
  <c r="D585" i="43"/>
  <c r="P585" i="43" s="1"/>
  <c r="AB584" i="43"/>
  <c r="AA584" i="43"/>
  <c r="K589" i="43"/>
  <c r="AB589" i="43"/>
  <c r="AA589" i="43"/>
  <c r="D571" i="43"/>
  <c r="P571" i="43" s="1"/>
  <c r="K578" i="43"/>
  <c r="AB578" i="43" s="1"/>
  <c r="D587" i="43"/>
  <c r="P587" i="43" s="1"/>
  <c r="K574" i="43"/>
  <c r="L574" i="43" s="1"/>
  <c r="K568" i="43"/>
  <c r="L568" i="43" s="1"/>
  <c r="K560" i="43"/>
  <c r="AB560" i="43" s="1"/>
  <c r="K582" i="43"/>
  <c r="L582" i="43" s="1"/>
  <c r="K590" i="43"/>
  <c r="L590" i="43" s="1"/>
  <c r="K580" i="43"/>
  <c r="L580" i="43" s="1"/>
  <c r="D567" i="43"/>
  <c r="D563" i="43"/>
  <c r="P563" i="43" s="1"/>
  <c r="K594" i="43"/>
  <c r="AB594" i="43" s="1"/>
  <c r="K556" i="43"/>
  <c r="D559" i="43"/>
  <c r="AA268" i="43"/>
  <c r="AB268" i="43"/>
  <c r="AA252" i="43"/>
  <c r="AB252" i="43"/>
  <c r="AA280" i="43"/>
  <c r="AB280" i="43"/>
  <c r="K572" i="43"/>
  <c r="AB572" i="43" s="1"/>
  <c r="AB256" i="43"/>
  <c r="AA256" i="43"/>
  <c r="AA244" i="43"/>
  <c r="AB244" i="43"/>
  <c r="K554" i="43"/>
  <c r="AB554" i="43" s="1"/>
  <c r="AB254" i="43"/>
  <c r="AA254" i="43"/>
  <c r="K564" i="43"/>
  <c r="AA564" i="43" s="1"/>
  <c r="AA284" i="43"/>
  <c r="AB284" i="43"/>
  <c r="AA276" i="43"/>
  <c r="AB276" i="43"/>
  <c r="AA262" i="43"/>
  <c r="AB262" i="43"/>
  <c r="AA274" i="43"/>
  <c r="AB274" i="43"/>
  <c r="K584" i="43"/>
  <c r="L584" i="43" s="1"/>
  <c r="AB272" i="43"/>
  <c r="AA272" i="43"/>
  <c r="AA264" i="43"/>
  <c r="AB264" i="43"/>
  <c r="D279" i="43"/>
  <c r="P279" i="43" s="1"/>
  <c r="K278" i="43"/>
  <c r="D740" i="43"/>
  <c r="P740" i="43" s="1"/>
  <c r="K739" i="43"/>
  <c r="D259" i="43"/>
  <c r="K258" i="43"/>
  <c r="AA258" i="43" s="1"/>
  <c r="D245" i="43"/>
  <c r="P245" i="43" s="1"/>
  <c r="K244" i="43"/>
  <c r="L244" i="43" s="1"/>
  <c r="D708" i="43"/>
  <c r="K707" i="43"/>
  <c r="D277" i="43"/>
  <c r="P277" i="43" s="1"/>
  <c r="K276" i="43"/>
  <c r="L276" i="43" s="1"/>
  <c r="D730" i="43"/>
  <c r="K729" i="43"/>
  <c r="AA729" i="43" s="1"/>
  <c r="D249" i="43"/>
  <c r="K248" i="43"/>
  <c r="AB248" i="43" s="1"/>
  <c r="D247" i="43"/>
  <c r="K246" i="43"/>
  <c r="D251" i="43"/>
  <c r="K250" i="43"/>
  <c r="AA250" i="43" s="1"/>
  <c r="D710" i="43"/>
  <c r="K709" i="43"/>
  <c r="AB709" i="43" s="1"/>
  <c r="D271" i="43"/>
  <c r="K270" i="43"/>
  <c r="AB270" i="43" s="1"/>
  <c r="D285" i="43"/>
  <c r="P285" i="43" s="1"/>
  <c r="K284" i="43"/>
  <c r="L284" i="43" s="1"/>
  <c r="D712" i="43"/>
  <c r="P712" i="43" s="1"/>
  <c r="K711" i="43"/>
  <c r="L711" i="43" s="1"/>
  <c r="D273" i="43"/>
  <c r="P273" i="43" s="1"/>
  <c r="K272" i="43"/>
  <c r="D265" i="43"/>
  <c r="P265" i="43" s="1"/>
  <c r="K264" i="43"/>
  <c r="L264" i="43" s="1"/>
  <c r="D726" i="43"/>
  <c r="K725" i="43"/>
  <c r="D734" i="43"/>
  <c r="P734" i="43" s="1"/>
  <c r="K733" i="43"/>
  <c r="L733" i="43" s="1"/>
  <c r="D263" i="43"/>
  <c r="P263" i="43" s="1"/>
  <c r="K262" i="43"/>
  <c r="L262" i="43" s="1"/>
  <c r="D269" i="43"/>
  <c r="P269" i="43" s="1"/>
  <c r="K268" i="43"/>
  <c r="L268" i="43" s="1"/>
  <c r="D283" i="43"/>
  <c r="P283" i="43" s="1"/>
  <c r="K282" i="43"/>
  <c r="D738" i="43"/>
  <c r="P738" i="43" s="1"/>
  <c r="D732" i="43"/>
  <c r="P732" i="43" s="1"/>
  <c r="K731" i="43"/>
  <c r="L731" i="43" s="1"/>
  <c r="D736" i="43"/>
  <c r="P736" i="43" s="1"/>
  <c r="K735" i="43"/>
  <c r="L735" i="43" s="1"/>
  <c r="D718" i="43"/>
  <c r="K717" i="43"/>
  <c r="AA717" i="43" s="1"/>
  <c r="D275" i="43"/>
  <c r="P275" i="43" s="1"/>
  <c r="K274" i="43"/>
  <c r="L274" i="43" s="1"/>
  <c r="D728" i="43"/>
  <c r="P728" i="43" s="1"/>
  <c r="K727" i="43"/>
  <c r="L727" i="43" s="1"/>
  <c r="D748" i="43"/>
  <c r="K747" i="43"/>
  <c r="AB747" i="43" s="1"/>
  <c r="D742" i="43"/>
  <c r="P742" i="43" s="1"/>
  <c r="K741" i="43"/>
  <c r="L741" i="43" s="1"/>
  <c r="D281" i="43"/>
  <c r="P281" i="43" s="1"/>
  <c r="K280" i="43"/>
  <c r="L280" i="43" s="1"/>
  <c r="D253" i="43"/>
  <c r="P253" i="43" s="1"/>
  <c r="K252" i="43"/>
  <c r="L252" i="43" s="1"/>
  <c r="D714" i="43"/>
  <c r="P714" i="43" s="1"/>
  <c r="K713" i="43"/>
  <c r="L713" i="43" s="1"/>
  <c r="D706" i="43"/>
  <c r="K706" i="43" s="1"/>
  <c r="K705" i="43"/>
  <c r="D704" i="43"/>
  <c r="P704" i="43" s="1"/>
  <c r="K703" i="43"/>
  <c r="D716" i="43"/>
  <c r="P716" i="43" s="1"/>
  <c r="K715" i="43"/>
  <c r="L715" i="43" s="1"/>
  <c r="D267" i="43"/>
  <c r="K266" i="43"/>
  <c r="AA266" i="43" s="1"/>
  <c r="D722" i="43"/>
  <c r="P722" i="43" s="1"/>
  <c r="K721" i="43"/>
  <c r="L721" i="43" s="1"/>
  <c r="D255" i="43"/>
  <c r="P255" i="43" s="1"/>
  <c r="K254" i="43"/>
  <c r="L254" i="43" s="1"/>
  <c r="D289" i="43"/>
  <c r="K288" i="43"/>
  <c r="D744" i="43"/>
  <c r="P744" i="43" s="1"/>
  <c r="K743" i="43"/>
  <c r="L743" i="43" s="1"/>
  <c r="D261" i="43"/>
  <c r="K260" i="43"/>
  <c r="D257" i="43"/>
  <c r="P257" i="43" s="1"/>
  <c r="K256" i="43"/>
  <c r="L256" i="43" s="1"/>
  <c r="D720" i="43"/>
  <c r="K719" i="43"/>
  <c r="AA719" i="43" s="1"/>
  <c r="D105" i="43"/>
  <c r="P104" i="43"/>
  <c r="D95" i="43"/>
  <c r="D99" i="43"/>
  <c r="D111" i="43"/>
  <c r="P110" i="43"/>
  <c r="D131" i="43"/>
  <c r="P130" i="43"/>
  <c r="D109" i="43"/>
  <c r="D103" i="43"/>
  <c r="P102" i="43"/>
  <c r="D127" i="43"/>
  <c r="P126" i="43"/>
  <c r="D113" i="43"/>
  <c r="P112" i="43"/>
  <c r="D119" i="43"/>
  <c r="D101" i="43"/>
  <c r="P100" i="43"/>
  <c r="D135" i="43"/>
  <c r="D129" i="43"/>
  <c r="P128" i="43"/>
  <c r="D97" i="43"/>
  <c r="D107" i="43"/>
  <c r="D115" i="43"/>
  <c r="D121" i="43"/>
  <c r="P120" i="43"/>
  <c r="D125" i="43"/>
  <c r="P124" i="43"/>
  <c r="D123" i="43"/>
  <c r="P122" i="43"/>
  <c r="D117" i="43"/>
  <c r="P116" i="43"/>
  <c r="G63" i="42"/>
  <c r="G61" i="41"/>
  <c r="G73" i="39"/>
  <c r="G72" i="38"/>
  <c r="P593" i="43" l="1"/>
  <c r="Q593" i="43" s="1"/>
  <c r="AA278" i="43"/>
  <c r="AB278" i="43"/>
  <c r="P287" i="43"/>
  <c r="Q287" i="43" s="1"/>
  <c r="K133" i="43"/>
  <c r="AA133" i="43"/>
  <c r="AB133" i="43"/>
  <c r="P133" i="43"/>
  <c r="Q133" i="43" s="1"/>
  <c r="AA593" i="43"/>
  <c r="L439" i="43"/>
  <c r="AA287" i="43"/>
  <c r="AC668" i="43"/>
  <c r="AC664" i="43"/>
  <c r="E142" i="43"/>
  <c r="K142" i="43" s="1"/>
  <c r="AB683" i="43"/>
  <c r="AB745" i="43"/>
  <c r="K746" i="43"/>
  <c r="AB746" i="43" s="1"/>
  <c r="AA746" i="43"/>
  <c r="P746" i="43"/>
  <c r="Q746" i="43" s="1"/>
  <c r="AC674" i="43"/>
  <c r="AC672" i="43"/>
  <c r="L592" i="43"/>
  <c r="AA440" i="43"/>
  <c r="L286" i="43"/>
  <c r="AB519" i="43"/>
  <c r="AB511" i="43"/>
  <c r="AA118" i="43"/>
  <c r="AB719" i="43"/>
  <c r="AA747" i="43"/>
  <c r="O757" i="43" s="1"/>
  <c r="AB729" i="43"/>
  <c r="AA108" i="43"/>
  <c r="AA106" i="43"/>
  <c r="AA725" i="43"/>
  <c r="AB725" i="43"/>
  <c r="AB717" i="43"/>
  <c r="AA709" i="43"/>
  <c r="AA554" i="43"/>
  <c r="AB413" i="43"/>
  <c r="AA260" i="43"/>
  <c r="AB260" i="43"/>
  <c r="AA572" i="43"/>
  <c r="AB556" i="43"/>
  <c r="AA556" i="43"/>
  <c r="K577" i="43"/>
  <c r="AB577" i="43" s="1"/>
  <c r="AB423" i="43"/>
  <c r="AB419" i="43"/>
  <c r="AA419" i="43"/>
  <c r="AA403" i="43"/>
  <c r="AB266" i="43"/>
  <c r="AA270" i="43"/>
  <c r="AB258" i="43"/>
  <c r="AB250" i="43"/>
  <c r="K93" i="43"/>
  <c r="P93" i="43"/>
  <c r="AA93" i="43"/>
  <c r="L397" i="43"/>
  <c r="E449" i="43"/>
  <c r="K449" i="43" s="1"/>
  <c r="E756" i="43"/>
  <c r="I756" i="43" s="1"/>
  <c r="L703" i="43"/>
  <c r="E755" i="43"/>
  <c r="K755" i="43" s="1"/>
  <c r="AA707" i="43"/>
  <c r="AB707" i="43"/>
  <c r="AB705" i="43"/>
  <c r="AA705" i="43"/>
  <c r="O755" i="43" s="1"/>
  <c r="AB96" i="43"/>
  <c r="E144" i="43"/>
  <c r="AB134" i="43"/>
  <c r="L92" i="43"/>
  <c r="AA594" i="43"/>
  <c r="L100" i="43"/>
  <c r="AA558" i="43"/>
  <c r="AB558" i="43"/>
  <c r="AB411" i="43"/>
  <c r="AA401" i="43"/>
  <c r="AA248" i="43"/>
  <c r="AA288" i="43"/>
  <c r="AB288" i="43"/>
  <c r="AB246" i="43"/>
  <c r="AA246" i="43"/>
  <c r="AB114" i="43"/>
  <c r="AA134" i="43"/>
  <c r="AA96" i="43"/>
  <c r="AA94" i="43"/>
  <c r="O142" i="43" s="1"/>
  <c r="AB98" i="43"/>
  <c r="AB739" i="43"/>
  <c r="AA739" i="43"/>
  <c r="AA441" i="43"/>
  <c r="O453" i="43" s="1"/>
  <c r="AB441" i="43"/>
  <c r="AA437" i="43"/>
  <c r="AA282" i="43"/>
  <c r="AB282" i="43"/>
  <c r="AB564" i="43"/>
  <c r="AA562" i="43"/>
  <c r="AA560" i="43"/>
  <c r="K704" i="43"/>
  <c r="AA704" i="43"/>
  <c r="AB704" i="43"/>
  <c r="AA111" i="43"/>
  <c r="AB111" i="43"/>
  <c r="AB123" i="43"/>
  <c r="AA123" i="43"/>
  <c r="K730" i="43"/>
  <c r="L729" i="43" s="1"/>
  <c r="K720" i="43"/>
  <c r="L719" i="43" s="1"/>
  <c r="K716" i="43"/>
  <c r="AB716" i="43"/>
  <c r="AA716" i="43"/>
  <c r="K728" i="43"/>
  <c r="AA728" i="43"/>
  <c r="AB728" i="43"/>
  <c r="K710" i="43"/>
  <c r="L709" i="43" s="1"/>
  <c r="K585" i="43"/>
  <c r="AB585" i="43"/>
  <c r="AA585" i="43"/>
  <c r="K579" i="43"/>
  <c r="AA579" i="43" s="1"/>
  <c r="K561" i="43"/>
  <c r="AA561" i="43" s="1"/>
  <c r="K426" i="43"/>
  <c r="AB426" i="43"/>
  <c r="AA426" i="43"/>
  <c r="AA422" i="43"/>
  <c r="AB422" i="43"/>
  <c r="K422" i="43"/>
  <c r="AA129" i="43"/>
  <c r="AB706" i="43"/>
  <c r="AA706" i="43"/>
  <c r="K718" i="43"/>
  <c r="L717" i="43" s="1"/>
  <c r="K726" i="43"/>
  <c r="L725" i="43" s="1"/>
  <c r="K740" i="43"/>
  <c r="AB740" i="43"/>
  <c r="AA740" i="43"/>
  <c r="K591" i="43"/>
  <c r="AB591" i="43"/>
  <c r="AA591" i="43"/>
  <c r="AB436" i="43"/>
  <c r="AA436" i="43"/>
  <c r="K436" i="43"/>
  <c r="K595" i="43"/>
  <c r="AA595" i="43" s="1"/>
  <c r="K410" i="43"/>
  <c r="AB410" i="43"/>
  <c r="AA410" i="43"/>
  <c r="K571" i="43"/>
  <c r="AA571" i="43"/>
  <c r="AB571" i="43"/>
  <c r="AA430" i="43"/>
  <c r="K430" i="43"/>
  <c r="AB430" i="43"/>
  <c r="K569" i="43"/>
  <c r="AB569" i="43"/>
  <c r="AA569" i="43"/>
  <c r="K575" i="43"/>
  <c r="AB575" i="43"/>
  <c r="AA575" i="43"/>
  <c r="AA576" i="43"/>
  <c r="AA398" i="43"/>
  <c r="K398" i="43"/>
  <c r="AB398" i="43"/>
  <c r="AB428" i="43"/>
  <c r="AA428" i="43"/>
  <c r="K428" i="43"/>
  <c r="K442" i="43"/>
  <c r="AB442" i="43" s="1"/>
  <c r="K414" i="43"/>
  <c r="AA414" i="43" s="1"/>
  <c r="K734" i="43"/>
  <c r="AB734" i="43"/>
  <c r="AA734" i="43"/>
  <c r="K438" i="43"/>
  <c r="AA438" i="43" s="1"/>
  <c r="AB438" i="43"/>
  <c r="K555" i="43"/>
  <c r="AA555" i="43" s="1"/>
  <c r="K587" i="43"/>
  <c r="AA587" i="43"/>
  <c r="AB587" i="43"/>
  <c r="K565" i="43"/>
  <c r="AB565" i="43" s="1"/>
  <c r="K420" i="43"/>
  <c r="AA420" i="43" s="1"/>
  <c r="K744" i="43"/>
  <c r="AA744" i="43"/>
  <c r="AB744" i="43"/>
  <c r="K732" i="43"/>
  <c r="AB732" i="43"/>
  <c r="AA732" i="43"/>
  <c r="K559" i="43"/>
  <c r="AA559" i="43" s="1"/>
  <c r="K404" i="43"/>
  <c r="AA404" i="43" s="1"/>
  <c r="K400" i="43"/>
  <c r="AB400" i="43"/>
  <c r="AA400" i="43"/>
  <c r="K416" i="43"/>
  <c r="AB416" i="43"/>
  <c r="AA416" i="43"/>
  <c r="AA406" i="43"/>
  <c r="K406" i="43"/>
  <c r="AB406" i="43"/>
  <c r="AB125" i="43"/>
  <c r="AA125" i="43"/>
  <c r="K738" i="43"/>
  <c r="AB738" i="43"/>
  <c r="AA738" i="43"/>
  <c r="K712" i="43"/>
  <c r="AA712" i="43"/>
  <c r="AB712" i="43"/>
  <c r="K563" i="43"/>
  <c r="AA563" i="43" s="1"/>
  <c r="AB121" i="43"/>
  <c r="AA121" i="43"/>
  <c r="AB113" i="43"/>
  <c r="AA113" i="43"/>
  <c r="AB105" i="43"/>
  <c r="AA105" i="43"/>
  <c r="K722" i="43"/>
  <c r="AB722" i="43"/>
  <c r="AA722" i="43"/>
  <c r="K742" i="43"/>
  <c r="AB742" i="43"/>
  <c r="AA742" i="43"/>
  <c r="K567" i="43"/>
  <c r="AB567" i="43" s="1"/>
  <c r="K581" i="43"/>
  <c r="AB581" i="43"/>
  <c r="AA581" i="43"/>
  <c r="K412" i="43"/>
  <c r="AA412" i="43" s="1"/>
  <c r="K408" i="43"/>
  <c r="AB408" i="43"/>
  <c r="AA408" i="43"/>
  <c r="K424" i="43"/>
  <c r="AB424" i="43" s="1"/>
  <c r="AA566" i="43"/>
  <c r="K557" i="43"/>
  <c r="AB557" i="43" s="1"/>
  <c r="K714" i="43"/>
  <c r="AB714" i="43"/>
  <c r="AA714" i="43"/>
  <c r="AB101" i="43"/>
  <c r="AA101" i="43"/>
  <c r="AA127" i="43"/>
  <c r="AB127" i="43"/>
  <c r="AB434" i="43"/>
  <c r="AA434" i="43"/>
  <c r="K434" i="43"/>
  <c r="K402" i="43"/>
  <c r="AA402" i="43" s="1"/>
  <c r="K583" i="43"/>
  <c r="AB583" i="43"/>
  <c r="AA583" i="43"/>
  <c r="AB117" i="43"/>
  <c r="AA117" i="43"/>
  <c r="K736" i="43"/>
  <c r="AA736" i="43"/>
  <c r="AB736" i="43"/>
  <c r="K748" i="43"/>
  <c r="L747" i="43" s="1"/>
  <c r="K708" i="43"/>
  <c r="AA708" i="43" s="1"/>
  <c r="K432" i="43"/>
  <c r="AB432" i="43"/>
  <c r="AA432" i="43"/>
  <c r="AA578" i="43"/>
  <c r="K573" i="43"/>
  <c r="AA573" i="43" s="1"/>
  <c r="AB418" i="43"/>
  <c r="AA418" i="43"/>
  <c r="K418" i="43"/>
  <c r="K269" i="43"/>
  <c r="AB269" i="43"/>
  <c r="AA269" i="43"/>
  <c r="K267" i="43"/>
  <c r="AB267" i="43" s="1"/>
  <c r="K251" i="43"/>
  <c r="AB251" i="43" s="1"/>
  <c r="K259" i="43"/>
  <c r="AA259" i="43" s="1"/>
  <c r="K285" i="43"/>
  <c r="AB285" i="43"/>
  <c r="AA285" i="43"/>
  <c r="K263" i="43"/>
  <c r="AA263" i="43"/>
  <c r="AB263" i="43"/>
  <c r="K247" i="43"/>
  <c r="AA247" i="43" s="1"/>
  <c r="K289" i="43"/>
  <c r="AA289" i="43" s="1"/>
  <c r="K253" i="43"/>
  <c r="AB253" i="43"/>
  <c r="AA253" i="43"/>
  <c r="K265" i="43"/>
  <c r="AA265" i="43"/>
  <c r="AB265" i="43"/>
  <c r="K249" i="43"/>
  <c r="AB249" i="43" s="1"/>
  <c r="K279" i="43"/>
  <c r="L278" i="43" s="1"/>
  <c r="K257" i="43"/>
  <c r="AA257" i="43"/>
  <c r="AB257" i="43"/>
  <c r="K261" i="43"/>
  <c r="AB261" i="43" s="1"/>
  <c r="K245" i="43"/>
  <c r="AA245" i="43"/>
  <c r="AB245" i="43"/>
  <c r="K281" i="43"/>
  <c r="AA281" i="43"/>
  <c r="AB281" i="43"/>
  <c r="K273" i="43"/>
  <c r="AB273" i="43" s="1"/>
  <c r="AA273" i="43"/>
  <c r="K271" i="43"/>
  <c r="AB271" i="43" s="1"/>
  <c r="K275" i="43"/>
  <c r="AA275" i="43"/>
  <c r="AB275" i="43"/>
  <c r="K277" i="43"/>
  <c r="AA277" i="43"/>
  <c r="AB277" i="43"/>
  <c r="K255" i="43"/>
  <c r="AB255" i="43"/>
  <c r="AA255" i="43"/>
  <c r="K283" i="43"/>
  <c r="AB283" i="43" s="1"/>
  <c r="K97" i="43"/>
  <c r="P131" i="43"/>
  <c r="K131" i="43"/>
  <c r="AA131" i="43" s="1"/>
  <c r="P117" i="43"/>
  <c r="K117" i="43"/>
  <c r="P123" i="43"/>
  <c r="K123" i="43"/>
  <c r="P101" i="43"/>
  <c r="K101" i="43"/>
  <c r="K119" i="43"/>
  <c r="AA119" i="43" s="1"/>
  <c r="P103" i="43"/>
  <c r="K103" i="43"/>
  <c r="AA103" i="43" s="1"/>
  <c r="P111" i="43"/>
  <c r="K111" i="43"/>
  <c r="P121" i="43"/>
  <c r="K121" i="43"/>
  <c r="K115" i="43"/>
  <c r="AA115" i="43" s="1"/>
  <c r="K107" i="43"/>
  <c r="AB107" i="43" s="1"/>
  <c r="K109" i="43"/>
  <c r="AB109" i="43" s="1"/>
  <c r="P129" i="43"/>
  <c r="K129" i="43"/>
  <c r="AB129" i="43" s="1"/>
  <c r="K135" i="43"/>
  <c r="E148" i="43" s="1"/>
  <c r="P125" i="43"/>
  <c r="K125" i="43"/>
  <c r="K99" i="43"/>
  <c r="AB99" i="43" s="1"/>
  <c r="K95" i="43"/>
  <c r="E143" i="43" s="1"/>
  <c r="P113" i="43"/>
  <c r="K113" i="43"/>
  <c r="P105" i="43"/>
  <c r="K105" i="43"/>
  <c r="P127" i="43"/>
  <c r="K127" i="43"/>
  <c r="G58" i="32"/>
  <c r="AA279" i="43" l="1"/>
  <c r="AB279" i="43"/>
  <c r="L745" i="43"/>
  <c r="AB720" i="43"/>
  <c r="AA283" i="43"/>
  <c r="AB414" i="43"/>
  <c r="AA720" i="43"/>
  <c r="AA748" i="43"/>
  <c r="AB748" i="43"/>
  <c r="AB726" i="43"/>
  <c r="AA267" i="43"/>
  <c r="AA261" i="43"/>
  <c r="O303" i="43" s="1"/>
  <c r="AA271" i="43"/>
  <c r="AB119" i="43"/>
  <c r="AA730" i="43"/>
  <c r="AB730" i="43"/>
  <c r="AA726" i="43"/>
  <c r="O756" i="43"/>
  <c r="AA718" i="43"/>
  <c r="AB718" i="43"/>
  <c r="AA710" i="43"/>
  <c r="AB710" i="43"/>
  <c r="AB555" i="43"/>
  <c r="AA577" i="43"/>
  <c r="O456" i="43"/>
  <c r="AA424" i="43"/>
  <c r="AA109" i="43"/>
  <c r="O149" i="43" s="1"/>
  <c r="AB420" i="43"/>
  <c r="AB573" i="43"/>
  <c r="AA557" i="43"/>
  <c r="O451" i="43"/>
  <c r="AB404" i="43"/>
  <c r="AB259" i="43"/>
  <c r="AA251" i="43"/>
  <c r="AA107" i="43"/>
  <c r="O144" i="43"/>
  <c r="AB559" i="43"/>
  <c r="AB708" i="43"/>
  <c r="O450" i="43"/>
  <c r="O759" i="43"/>
  <c r="O298" i="43"/>
  <c r="E149" i="43"/>
  <c r="E146" i="43"/>
  <c r="K146" i="43" s="1"/>
  <c r="F143" i="43"/>
  <c r="F142" i="43"/>
  <c r="AB135" i="43"/>
  <c r="E147" i="43"/>
  <c r="AA97" i="43"/>
  <c r="E145" i="43"/>
  <c r="AA249" i="43"/>
  <c r="O299" i="43" s="1"/>
  <c r="O296" i="43"/>
  <c r="AB595" i="43"/>
  <c r="AA95" i="43"/>
  <c r="O146" i="43" s="1"/>
  <c r="AA135" i="43"/>
  <c r="AB115" i="43"/>
  <c r="AB412" i="43"/>
  <c r="O452" i="43"/>
  <c r="AB402" i="43"/>
  <c r="AB289" i="43"/>
  <c r="O302" i="43" s="1"/>
  <c r="AB247" i="43"/>
  <c r="O297" i="43" s="1"/>
  <c r="AB97" i="43"/>
  <c r="O143" i="43"/>
  <c r="AB95" i="43"/>
  <c r="AA442" i="43"/>
  <c r="O455" i="43" s="1"/>
  <c r="AB131" i="43"/>
  <c r="AB103" i="43"/>
  <c r="AA99" i="43"/>
  <c r="O145" i="43" s="1"/>
  <c r="O604" i="43"/>
  <c r="AB561" i="43"/>
  <c r="AB579" i="43"/>
  <c r="AA567" i="43"/>
  <c r="AA565" i="43"/>
  <c r="O605" i="43"/>
  <c r="O609" i="43"/>
  <c r="AB563" i="43"/>
  <c r="G184" i="42"/>
  <c r="H184" i="42" s="1"/>
  <c r="G183" i="42"/>
  <c r="H183" i="42" s="1"/>
  <c r="H180" i="42"/>
  <c r="G62" i="42"/>
  <c r="H62" i="42" s="1"/>
  <c r="G61" i="42"/>
  <c r="H61" i="42" s="1"/>
  <c r="G165" i="41"/>
  <c r="H165" i="41" s="1"/>
  <c r="G164" i="41"/>
  <c r="H164" i="41" s="1"/>
  <c r="G163" i="41"/>
  <c r="H163" i="41" s="1"/>
  <c r="H162" i="41"/>
  <c r="H161" i="41"/>
  <c r="G60" i="41"/>
  <c r="H60" i="41" s="1"/>
  <c r="G59" i="41"/>
  <c r="H59" i="41" s="1"/>
  <c r="G258" i="39"/>
  <c r="H258" i="39" s="1"/>
  <c r="G257" i="39"/>
  <c r="H257" i="39" s="1"/>
  <c r="G256" i="39"/>
  <c r="H256" i="39" s="1"/>
  <c r="H255" i="39"/>
  <c r="H254" i="39"/>
  <c r="G72" i="39"/>
  <c r="H72" i="39" s="1"/>
  <c r="G71" i="39"/>
  <c r="H71" i="39" s="1"/>
  <c r="G243" i="38"/>
  <c r="H243" i="38" s="1"/>
  <c r="G242" i="38"/>
  <c r="H242" i="38" s="1"/>
  <c r="G241" i="38"/>
  <c r="H241" i="38" s="1"/>
  <c r="H240" i="38"/>
  <c r="H239" i="38"/>
  <c r="G71" i="38"/>
  <c r="H71" i="38" s="1"/>
  <c r="G70" i="38"/>
  <c r="H70" i="38" s="1"/>
  <c r="G67" i="38"/>
  <c r="H67" i="38" s="1"/>
  <c r="G166" i="32"/>
  <c r="H166" i="32" s="1"/>
  <c r="G165" i="32"/>
  <c r="H165" i="32" s="1"/>
  <c r="G57" i="32"/>
  <c r="H57" i="32" s="1"/>
  <c r="G56" i="32"/>
  <c r="H56" i="32" s="1"/>
  <c r="O760" i="43" l="1"/>
  <c r="O607" i="43"/>
  <c r="O300" i="43"/>
  <c r="O454" i="43"/>
  <c r="O147" i="43"/>
  <c r="O148" i="43"/>
  <c r="O608" i="43"/>
  <c r="O301" i="43"/>
  <c r="H185" i="42" l="1"/>
  <c r="H63" i="42"/>
  <c r="H166" i="41"/>
  <c r="H61" i="41"/>
  <c r="H73" i="39"/>
  <c r="H259" i="39"/>
  <c r="H244" i="38"/>
  <c r="H72" i="38"/>
  <c r="H167" i="32"/>
  <c r="H58" i="32"/>
  <c r="J692" i="43"/>
  <c r="T755" i="43"/>
  <c r="U755" i="43" s="1"/>
  <c r="N755" i="43"/>
  <c r="M748" i="43"/>
  <c r="P748" i="43" s="1"/>
  <c r="Q748" i="43" s="1"/>
  <c r="M747" i="43"/>
  <c r="P747" i="43" s="1"/>
  <c r="Q747" i="43" s="1"/>
  <c r="M744" i="43"/>
  <c r="M743" i="43"/>
  <c r="M742" i="43"/>
  <c r="M741" i="43"/>
  <c r="M740" i="43"/>
  <c r="M739" i="43"/>
  <c r="M738" i="43"/>
  <c r="M737" i="43"/>
  <c r="M736" i="43"/>
  <c r="M735" i="43"/>
  <c r="M734" i="43"/>
  <c r="M733" i="43"/>
  <c r="M732" i="43"/>
  <c r="M731" i="43"/>
  <c r="M730" i="43"/>
  <c r="P730" i="43" s="1"/>
  <c r="Q730" i="43" s="1"/>
  <c r="M729" i="43"/>
  <c r="P729" i="43" s="1"/>
  <c r="Q729" i="43" s="1"/>
  <c r="M728" i="43"/>
  <c r="M727" i="43"/>
  <c r="M726" i="43"/>
  <c r="P726" i="43" s="1"/>
  <c r="Q726" i="43" s="1"/>
  <c r="M725" i="43"/>
  <c r="P725" i="43" s="1"/>
  <c r="Q725" i="43" s="1"/>
  <c r="M724" i="43"/>
  <c r="M723" i="43"/>
  <c r="M722" i="43"/>
  <c r="M721" i="43"/>
  <c r="M720" i="43"/>
  <c r="P720" i="43" s="1"/>
  <c r="Q720" i="43" s="1"/>
  <c r="M719" i="43"/>
  <c r="P719" i="43" s="1"/>
  <c r="Q719" i="43" s="1"/>
  <c r="M718" i="43"/>
  <c r="P718" i="43" s="1"/>
  <c r="Q718" i="43" s="1"/>
  <c r="M717" i="43"/>
  <c r="P717" i="43" s="1"/>
  <c r="Q717" i="43" s="1"/>
  <c r="M716" i="43"/>
  <c r="M715" i="43"/>
  <c r="M714" i="43"/>
  <c r="M713" i="43"/>
  <c r="M712" i="43"/>
  <c r="M711" i="43"/>
  <c r="M710" i="43"/>
  <c r="P710" i="43" s="1"/>
  <c r="Q710" i="43" s="1"/>
  <c r="M709" i="43"/>
  <c r="P709" i="43" s="1"/>
  <c r="Q709" i="43" s="1"/>
  <c r="M708" i="43"/>
  <c r="P708" i="43" s="1"/>
  <c r="Q708" i="43" s="1"/>
  <c r="M707" i="43"/>
  <c r="M706" i="43"/>
  <c r="P706" i="43" s="1"/>
  <c r="M705" i="43"/>
  <c r="P705" i="43" s="1"/>
  <c r="M704" i="43"/>
  <c r="Q703" i="43"/>
  <c r="M703" i="43"/>
  <c r="S690" i="43"/>
  <c r="T690" i="43" s="1"/>
  <c r="N690" i="43"/>
  <c r="I34" i="44" s="1"/>
  <c r="Q661" i="43"/>
  <c r="L649" i="43"/>
  <c r="J649" i="43"/>
  <c r="L648" i="43"/>
  <c r="J648" i="43"/>
  <c r="L647" i="43"/>
  <c r="J647" i="43"/>
  <c r="L646" i="43"/>
  <c r="J646" i="43"/>
  <c r="L645" i="43"/>
  <c r="J645" i="43"/>
  <c r="L644" i="43"/>
  <c r="J644" i="43"/>
  <c r="L643" i="43"/>
  <c r="J643" i="43"/>
  <c r="U642" i="43"/>
  <c r="V642" i="43" s="1"/>
  <c r="L642" i="43"/>
  <c r="J642" i="43"/>
  <c r="U630" i="43"/>
  <c r="V630" i="43" s="1"/>
  <c r="Q642" i="43" l="1"/>
  <c r="J32" i="44" s="1"/>
  <c r="R642" i="43"/>
  <c r="J33" i="44" s="1"/>
  <c r="I36" i="44"/>
  <c r="I35" i="44"/>
  <c r="G690" i="43"/>
  <c r="I690" i="43"/>
  <c r="E760" i="43"/>
  <c r="F690" i="43"/>
  <c r="F692" i="43"/>
  <c r="H690" i="43"/>
  <c r="G692" i="43"/>
  <c r="H692" i="43"/>
  <c r="J690" i="43"/>
  <c r="I692" i="43"/>
  <c r="E759" i="43"/>
  <c r="M661" i="43"/>
  <c r="T602" i="43"/>
  <c r="U602" i="43" s="1"/>
  <c r="N602" i="43"/>
  <c r="M595" i="43"/>
  <c r="P595" i="43" s="1"/>
  <c r="Q595" i="43" s="1"/>
  <c r="M594" i="43"/>
  <c r="P594" i="43" s="1"/>
  <c r="Q594" i="43" s="1"/>
  <c r="M591" i="43"/>
  <c r="M590" i="43"/>
  <c r="M589" i="43"/>
  <c r="M588" i="43"/>
  <c r="M587" i="43"/>
  <c r="M586" i="43"/>
  <c r="M585" i="43"/>
  <c r="M584" i="43"/>
  <c r="M583" i="43"/>
  <c r="M582" i="43"/>
  <c r="M581" i="43"/>
  <c r="M580" i="43"/>
  <c r="M579" i="43"/>
  <c r="M578" i="43"/>
  <c r="M577" i="43"/>
  <c r="P577" i="43" s="1"/>
  <c r="Q577" i="43" s="1"/>
  <c r="M576" i="43"/>
  <c r="P576" i="43" s="1"/>
  <c r="Q576" i="43" s="1"/>
  <c r="M575" i="43"/>
  <c r="M574" i="43"/>
  <c r="M573" i="43"/>
  <c r="P573" i="43" s="1"/>
  <c r="Q573" i="43" s="1"/>
  <c r="M572" i="43"/>
  <c r="P572" i="43" s="1"/>
  <c r="Q572" i="43" s="1"/>
  <c r="M571" i="43"/>
  <c r="M570" i="43"/>
  <c r="M569" i="43"/>
  <c r="M568" i="43"/>
  <c r="M567" i="43"/>
  <c r="P567" i="43" s="1"/>
  <c r="Q567" i="43" s="1"/>
  <c r="M566" i="43"/>
  <c r="P566" i="43" s="1"/>
  <c r="Q566" i="43" s="1"/>
  <c r="M565" i="43"/>
  <c r="P565" i="43" s="1"/>
  <c r="Q565" i="43" s="1"/>
  <c r="M564" i="43"/>
  <c r="P564" i="43" s="1"/>
  <c r="Q564" i="43" s="1"/>
  <c r="M563" i="43"/>
  <c r="M562" i="43"/>
  <c r="M561" i="43"/>
  <c r="M560" i="43"/>
  <c r="M559" i="43"/>
  <c r="P559" i="43" s="1"/>
  <c r="Q559" i="43" s="1"/>
  <c r="M558" i="43"/>
  <c r="P558" i="43" s="1"/>
  <c r="Q558" i="43" s="1"/>
  <c r="M557" i="43"/>
  <c r="P557" i="43" s="1"/>
  <c r="Q557" i="43" s="1"/>
  <c r="M556" i="43"/>
  <c r="P556" i="43" s="1"/>
  <c r="Q556" i="43" s="1"/>
  <c r="M555" i="43"/>
  <c r="P555" i="43" s="1"/>
  <c r="Q555" i="43" s="1"/>
  <c r="M554" i="43"/>
  <c r="P554" i="43" s="1"/>
  <c r="Q554" i="43" s="1"/>
  <c r="M553" i="43"/>
  <c r="M552" i="43"/>
  <c r="M551" i="43"/>
  <c r="Q550" i="43"/>
  <c r="M550" i="43"/>
  <c r="S537" i="43"/>
  <c r="T537" i="43" s="1"/>
  <c r="N537" i="43"/>
  <c r="I28" i="44" s="1"/>
  <c r="Q508" i="43"/>
  <c r="L496" i="43"/>
  <c r="J496" i="43"/>
  <c r="L495" i="43"/>
  <c r="J495" i="43"/>
  <c r="L494" i="43"/>
  <c r="J494" i="43"/>
  <c r="L493" i="43"/>
  <c r="J493" i="43"/>
  <c r="L492" i="43"/>
  <c r="J492" i="43"/>
  <c r="L491" i="43"/>
  <c r="J491" i="43"/>
  <c r="L490" i="43"/>
  <c r="J490" i="43"/>
  <c r="U489" i="43"/>
  <c r="V489" i="43" s="1"/>
  <c r="L489" i="43"/>
  <c r="J489" i="43"/>
  <c r="U477" i="43"/>
  <c r="V477" i="43" s="1"/>
  <c r="N384" i="43"/>
  <c r="I22" i="44" s="1"/>
  <c r="T449" i="43"/>
  <c r="U449" i="43" s="1"/>
  <c r="N449" i="43"/>
  <c r="M442" i="43"/>
  <c r="P442" i="43" s="1"/>
  <c r="Q442" i="43" s="1"/>
  <c r="M441" i="43"/>
  <c r="P441" i="43" s="1"/>
  <c r="Q441" i="43" s="1"/>
  <c r="M438" i="43"/>
  <c r="M437" i="43"/>
  <c r="M436" i="43"/>
  <c r="M435" i="43"/>
  <c r="M434" i="43"/>
  <c r="M433" i="43"/>
  <c r="M432" i="43"/>
  <c r="M431" i="43"/>
  <c r="M430" i="43"/>
  <c r="M429" i="43"/>
  <c r="M428" i="43"/>
  <c r="M427" i="43"/>
  <c r="M426" i="43"/>
  <c r="M425" i="43"/>
  <c r="M424" i="43"/>
  <c r="P424" i="43" s="1"/>
  <c r="Q424" i="43" s="1"/>
  <c r="M423" i="43"/>
  <c r="P423" i="43" s="1"/>
  <c r="Q423" i="43" s="1"/>
  <c r="M422" i="43"/>
  <c r="M421" i="43"/>
  <c r="M420" i="43"/>
  <c r="P420" i="43" s="1"/>
  <c r="Q420" i="43" s="1"/>
  <c r="M419" i="43"/>
  <c r="P419" i="43" s="1"/>
  <c r="Q419" i="43" s="1"/>
  <c r="M418" i="43"/>
  <c r="M417" i="43"/>
  <c r="M416" i="43"/>
  <c r="M415" i="43"/>
  <c r="M414" i="43"/>
  <c r="P414" i="43" s="1"/>
  <c r="Q414" i="43" s="1"/>
  <c r="M413" i="43"/>
  <c r="P413" i="43" s="1"/>
  <c r="Q413" i="43" s="1"/>
  <c r="M412" i="43"/>
  <c r="M411" i="43"/>
  <c r="M410" i="43"/>
  <c r="M409" i="43"/>
  <c r="M408" i="43"/>
  <c r="M407" i="43"/>
  <c r="M406" i="43"/>
  <c r="M405" i="43"/>
  <c r="M404" i="43"/>
  <c r="P404" i="43" s="1"/>
  <c r="Q404" i="43" s="1"/>
  <c r="M403" i="43"/>
  <c r="P403" i="43" s="1"/>
  <c r="Q403" i="43" s="1"/>
  <c r="M402" i="43"/>
  <c r="M401" i="43"/>
  <c r="M400" i="43"/>
  <c r="M399" i="43"/>
  <c r="M398" i="43"/>
  <c r="Q397" i="43"/>
  <c r="M397" i="43"/>
  <c r="S384" i="43"/>
  <c r="T384" i="43" s="1"/>
  <c r="Q355" i="43"/>
  <c r="L343" i="43"/>
  <c r="O343" i="43" s="1"/>
  <c r="P343" i="43" s="1"/>
  <c r="J343" i="43"/>
  <c r="L342" i="43"/>
  <c r="O342" i="43" s="1"/>
  <c r="P342" i="43" s="1"/>
  <c r="J342" i="43"/>
  <c r="L341" i="43"/>
  <c r="O341" i="43" s="1"/>
  <c r="P341" i="43" s="1"/>
  <c r="J341" i="43"/>
  <c r="L340" i="43"/>
  <c r="O340" i="43" s="1"/>
  <c r="P340" i="43" s="1"/>
  <c r="J340" i="43"/>
  <c r="L339" i="43"/>
  <c r="J339" i="43"/>
  <c r="L338" i="43"/>
  <c r="J338" i="43"/>
  <c r="L337" i="43"/>
  <c r="J337" i="43"/>
  <c r="U336" i="43"/>
  <c r="V336" i="43" s="1"/>
  <c r="L336" i="43"/>
  <c r="J336" i="43"/>
  <c r="U324" i="43"/>
  <c r="V324" i="43" s="1"/>
  <c r="M283" i="43"/>
  <c r="M282" i="43"/>
  <c r="U296" i="43"/>
  <c r="N296" i="43"/>
  <c r="M289" i="43"/>
  <c r="M288" i="43"/>
  <c r="M285" i="43"/>
  <c r="M284" i="43"/>
  <c r="M281" i="43"/>
  <c r="M280" i="43"/>
  <c r="M279" i="43"/>
  <c r="M278" i="43"/>
  <c r="M277" i="43"/>
  <c r="M276" i="43"/>
  <c r="M275" i="43"/>
  <c r="M274" i="43"/>
  <c r="M273" i="43"/>
  <c r="M272" i="43"/>
  <c r="M271" i="43"/>
  <c r="P271" i="43" s="1"/>
  <c r="Q271" i="43" s="1"/>
  <c r="M270" i="43"/>
  <c r="P270" i="43" s="1"/>
  <c r="Q270" i="43" s="1"/>
  <c r="M269" i="43"/>
  <c r="M268" i="43"/>
  <c r="M267" i="43"/>
  <c r="P267" i="43" s="1"/>
  <c r="Q267" i="43" s="1"/>
  <c r="M266" i="43"/>
  <c r="P266" i="43" s="1"/>
  <c r="Q266" i="43" s="1"/>
  <c r="M265" i="43"/>
  <c r="M264" i="43"/>
  <c r="M263" i="43"/>
  <c r="M262" i="43"/>
  <c r="M261" i="43"/>
  <c r="P261" i="43" s="1"/>
  <c r="Q261" i="43" s="1"/>
  <c r="M260" i="43"/>
  <c r="P260" i="43" s="1"/>
  <c r="Q260" i="43" s="1"/>
  <c r="M259" i="43"/>
  <c r="P259" i="43" s="1"/>
  <c r="Q259" i="43" s="1"/>
  <c r="M258" i="43"/>
  <c r="P258" i="43" s="1"/>
  <c r="Q258" i="43" s="1"/>
  <c r="M257" i="43"/>
  <c r="M256" i="43"/>
  <c r="M255" i="43"/>
  <c r="M254" i="43"/>
  <c r="M253" i="43"/>
  <c r="M252" i="43"/>
  <c r="M251" i="43"/>
  <c r="P251" i="43" s="1"/>
  <c r="Q251" i="43" s="1"/>
  <c r="M250" i="43"/>
  <c r="P250" i="43" s="1"/>
  <c r="Q250" i="43" s="1"/>
  <c r="M249" i="43"/>
  <c r="M248" i="43"/>
  <c r="M247" i="43"/>
  <c r="M246" i="43"/>
  <c r="M245" i="43"/>
  <c r="Q244" i="43"/>
  <c r="M244" i="43"/>
  <c r="S231" i="43"/>
  <c r="T231" i="43" s="1"/>
  <c r="N231" i="43"/>
  <c r="I16" i="44" s="1"/>
  <c r="Q202" i="43"/>
  <c r="L190" i="43"/>
  <c r="O190" i="43" s="1"/>
  <c r="P190" i="43" s="1"/>
  <c r="J190" i="43"/>
  <c r="L189" i="43"/>
  <c r="O189" i="43" s="1"/>
  <c r="P189" i="43" s="1"/>
  <c r="J189" i="43"/>
  <c r="L188" i="43"/>
  <c r="O188" i="43" s="1"/>
  <c r="P188" i="43" s="1"/>
  <c r="J188" i="43"/>
  <c r="L187" i="43"/>
  <c r="O187" i="43" s="1"/>
  <c r="P187" i="43" s="1"/>
  <c r="J187" i="43"/>
  <c r="L186" i="43"/>
  <c r="O186" i="43" s="1"/>
  <c r="P186" i="43" s="1"/>
  <c r="J186" i="43"/>
  <c r="L185" i="43"/>
  <c r="O185" i="43" s="1"/>
  <c r="P185" i="43" s="1"/>
  <c r="J185" i="43"/>
  <c r="L184" i="43"/>
  <c r="J184" i="43"/>
  <c r="U183" i="43"/>
  <c r="V183" i="43" s="1"/>
  <c r="L183" i="43"/>
  <c r="J183" i="43"/>
  <c r="V171" i="43"/>
  <c r="M97" i="43"/>
  <c r="P97" i="43" s="1"/>
  <c r="Q97" i="43" s="1"/>
  <c r="M96" i="43"/>
  <c r="P96" i="43" s="1"/>
  <c r="Q96" i="43" s="1"/>
  <c r="U142" i="43"/>
  <c r="M135" i="43"/>
  <c r="P135" i="43" s="1"/>
  <c r="Q135" i="43" s="1"/>
  <c r="M134" i="43"/>
  <c r="P134" i="43" s="1"/>
  <c r="Q134" i="43" s="1"/>
  <c r="M130" i="43"/>
  <c r="M129" i="43"/>
  <c r="M95" i="43"/>
  <c r="P95" i="43" s="1"/>
  <c r="M131" i="43"/>
  <c r="M128" i="43"/>
  <c r="M127" i="43"/>
  <c r="M126" i="43"/>
  <c r="M125" i="43"/>
  <c r="M124" i="43"/>
  <c r="M123" i="43"/>
  <c r="M122" i="43"/>
  <c r="M121" i="43"/>
  <c r="M120" i="43"/>
  <c r="M119" i="43"/>
  <c r="P119" i="43" s="1"/>
  <c r="Q119" i="43" s="1"/>
  <c r="M118" i="43"/>
  <c r="P118" i="43" s="1"/>
  <c r="Q118" i="43" s="1"/>
  <c r="M117" i="43"/>
  <c r="M116" i="43"/>
  <c r="M115" i="43"/>
  <c r="P115" i="43" s="1"/>
  <c r="Q115" i="43" s="1"/>
  <c r="M114" i="43"/>
  <c r="P114" i="43" s="1"/>
  <c r="Q114" i="43" s="1"/>
  <c r="M113" i="43"/>
  <c r="M112" i="43"/>
  <c r="M111" i="43"/>
  <c r="M110" i="43"/>
  <c r="M109" i="43"/>
  <c r="P109" i="43" s="1"/>
  <c r="Q109" i="43" s="1"/>
  <c r="M108" i="43"/>
  <c r="P108" i="43" s="1"/>
  <c r="Q108" i="43" s="1"/>
  <c r="M107" i="43"/>
  <c r="P107" i="43" s="1"/>
  <c r="Q107" i="43" s="1"/>
  <c r="M106" i="43"/>
  <c r="P106" i="43" s="1"/>
  <c r="Q106" i="43" s="1"/>
  <c r="M105" i="43"/>
  <c r="M104" i="43"/>
  <c r="M103" i="43"/>
  <c r="M102" i="43"/>
  <c r="M101" i="43"/>
  <c r="M100" i="43"/>
  <c r="M99" i="43"/>
  <c r="P99" i="43" s="1"/>
  <c r="Q99" i="43" s="1"/>
  <c r="M98" i="43"/>
  <c r="P98" i="43" s="1"/>
  <c r="Q98" i="43" s="1"/>
  <c r="M94" i="43"/>
  <c r="P94" i="43" s="1"/>
  <c r="M93" i="43"/>
  <c r="Q92" i="43"/>
  <c r="T79" i="43"/>
  <c r="V32" i="43"/>
  <c r="O339" i="43" l="1"/>
  <c r="P339" i="43" s="1"/>
  <c r="O338" i="43"/>
  <c r="P338" i="43" s="1"/>
  <c r="L661" i="43"/>
  <c r="H759" i="43"/>
  <c r="K759" i="43"/>
  <c r="P289" i="43"/>
  <c r="Q289" i="43" s="1"/>
  <c r="P246" i="43"/>
  <c r="Q246" i="43" s="1"/>
  <c r="P248" i="43"/>
  <c r="Q248" i="43" s="1"/>
  <c r="P412" i="43"/>
  <c r="Q412" i="43" s="1"/>
  <c r="P401" i="43"/>
  <c r="Q401" i="43" s="1"/>
  <c r="P402" i="43"/>
  <c r="Q402" i="43" s="1"/>
  <c r="Q183" i="43"/>
  <c r="J14" i="44" s="1"/>
  <c r="P247" i="43"/>
  <c r="Q247" i="43" s="1"/>
  <c r="P411" i="43"/>
  <c r="Q411" i="43" s="1"/>
  <c r="P249" i="43"/>
  <c r="Q249" i="43" s="1"/>
  <c r="P288" i="43"/>
  <c r="Q288" i="43" s="1"/>
  <c r="R336" i="43"/>
  <c r="J21" i="44" s="1"/>
  <c r="D644" i="43"/>
  <c r="O644" i="43" s="1"/>
  <c r="P644" i="43" s="1"/>
  <c r="D648" i="43"/>
  <c r="K648" i="43" s="1"/>
  <c r="K642" i="43"/>
  <c r="Q336" i="43"/>
  <c r="J20" i="44" s="1"/>
  <c r="R183" i="43"/>
  <c r="J15" i="44" s="1"/>
  <c r="O184" i="43"/>
  <c r="P184" i="43" s="1"/>
  <c r="O183" i="43"/>
  <c r="P183" i="43" s="1"/>
  <c r="D646" i="43"/>
  <c r="K342" i="43"/>
  <c r="K187" i="43"/>
  <c r="K189" i="43"/>
  <c r="K183" i="43"/>
  <c r="K340" i="43"/>
  <c r="I24" i="44"/>
  <c r="I23" i="44"/>
  <c r="I18" i="44"/>
  <c r="I17" i="44"/>
  <c r="I30" i="44"/>
  <c r="I29" i="44"/>
  <c r="Q489" i="43"/>
  <c r="J26" i="44" s="1"/>
  <c r="R489" i="43"/>
  <c r="J27" i="44" s="1"/>
  <c r="H691" i="43"/>
  <c r="F691" i="43"/>
  <c r="G691" i="43"/>
  <c r="J691" i="43"/>
  <c r="M676" i="43"/>
  <c r="I759" i="43"/>
  <c r="M680" i="43"/>
  <c r="M668" i="43"/>
  <c r="P668" i="43" s="1"/>
  <c r="Q668" i="43" s="1"/>
  <c r="J756" i="43"/>
  <c r="G756" i="43"/>
  <c r="H756" i="43"/>
  <c r="F756" i="43"/>
  <c r="E757" i="43"/>
  <c r="L633" i="43"/>
  <c r="O633" i="43" s="1"/>
  <c r="J759" i="43"/>
  <c r="G759" i="43"/>
  <c r="F760" i="43"/>
  <c r="J760" i="43"/>
  <c r="I760" i="43"/>
  <c r="H760" i="43"/>
  <c r="G760" i="43"/>
  <c r="F759" i="43"/>
  <c r="J631" i="43"/>
  <c r="K631" i="43" s="1"/>
  <c r="M664" i="43"/>
  <c r="P664" i="43" s="1"/>
  <c r="Q664" i="43" s="1"/>
  <c r="M674" i="43"/>
  <c r="P674" i="43" s="1"/>
  <c r="Q674" i="43" s="1"/>
  <c r="M662" i="43"/>
  <c r="P662" i="43" s="1"/>
  <c r="M683" i="43"/>
  <c r="P683" i="43" s="1"/>
  <c r="Q683" i="43" s="1"/>
  <c r="J632" i="43"/>
  <c r="K632" i="43" s="1"/>
  <c r="L631" i="43"/>
  <c r="O631" i="43" s="1"/>
  <c r="L632" i="43"/>
  <c r="L630" i="43"/>
  <c r="O630" i="43" s="1"/>
  <c r="J630" i="43"/>
  <c r="K630" i="43" s="1"/>
  <c r="J633" i="43"/>
  <c r="K633" i="43" s="1"/>
  <c r="M672" i="43"/>
  <c r="P672" i="43" s="1"/>
  <c r="Q672" i="43" s="1"/>
  <c r="M678" i="43"/>
  <c r="M670" i="43"/>
  <c r="M666" i="43"/>
  <c r="M681" i="43"/>
  <c r="M669" i="43"/>
  <c r="P669" i="43" s="1"/>
  <c r="Q669" i="43" s="1"/>
  <c r="M663" i="43"/>
  <c r="P663" i="43" s="1"/>
  <c r="Q663" i="43" s="1"/>
  <c r="M675" i="43"/>
  <c r="E692" i="43"/>
  <c r="M673" i="43"/>
  <c r="M665" i="43"/>
  <c r="M667" i="43"/>
  <c r="E690" i="43"/>
  <c r="K690" i="43" s="1"/>
  <c r="M677" i="43"/>
  <c r="F537" i="43"/>
  <c r="H539" i="43"/>
  <c r="E607" i="43"/>
  <c r="E453" i="43"/>
  <c r="H231" i="43"/>
  <c r="K174" i="43"/>
  <c r="K185" i="43"/>
  <c r="J81" i="43"/>
  <c r="G537" i="43"/>
  <c r="H537" i="43"/>
  <c r="F539" i="43"/>
  <c r="I537" i="43"/>
  <c r="G539" i="43"/>
  <c r="J537" i="43"/>
  <c r="I539" i="43"/>
  <c r="J539" i="43"/>
  <c r="M508" i="43"/>
  <c r="G386" i="43"/>
  <c r="G384" i="43"/>
  <c r="I384" i="43"/>
  <c r="J384" i="43"/>
  <c r="H384" i="43"/>
  <c r="E454" i="43"/>
  <c r="H386" i="43"/>
  <c r="I386" i="43"/>
  <c r="J386" i="43"/>
  <c r="I233" i="43"/>
  <c r="J233" i="43"/>
  <c r="G233" i="43"/>
  <c r="H233" i="43"/>
  <c r="I231" i="43"/>
  <c r="J231" i="43"/>
  <c r="G231" i="43"/>
  <c r="M355" i="43"/>
  <c r="E300" i="43"/>
  <c r="E301" i="43"/>
  <c r="G81" i="43"/>
  <c r="H81" i="43"/>
  <c r="I81" i="43"/>
  <c r="L39" i="43"/>
  <c r="J232" i="43" l="1"/>
  <c r="I385" i="43"/>
  <c r="K221" i="43"/>
  <c r="K756" i="43"/>
  <c r="K760" i="43"/>
  <c r="L760" i="43" s="1"/>
  <c r="K363" i="43"/>
  <c r="K210" i="43"/>
  <c r="F386" i="43"/>
  <c r="M386" i="43" s="1"/>
  <c r="K377" i="43"/>
  <c r="K368" i="43"/>
  <c r="K366" i="43"/>
  <c r="K358" i="43"/>
  <c r="K213" i="43"/>
  <c r="AC213" i="43" s="1"/>
  <c r="K215" i="43"/>
  <c r="K209" i="43"/>
  <c r="K205" i="43"/>
  <c r="K54" i="43"/>
  <c r="F454" i="43"/>
  <c r="J480" i="43"/>
  <c r="H453" i="43"/>
  <c r="K453" i="43"/>
  <c r="J477" i="43"/>
  <c r="J478" i="43"/>
  <c r="J479" i="43"/>
  <c r="F233" i="43"/>
  <c r="M233" i="43" s="1"/>
  <c r="K224" i="43"/>
  <c r="E233" i="43" s="1"/>
  <c r="K692" i="43"/>
  <c r="L692" i="43" s="1"/>
  <c r="K357" i="43"/>
  <c r="K362" i="43"/>
  <c r="F81" i="43"/>
  <c r="K72" i="43"/>
  <c r="K204" i="43"/>
  <c r="F231" i="43"/>
  <c r="M231" i="43" s="1"/>
  <c r="K203" i="43"/>
  <c r="E231" i="43" s="1"/>
  <c r="K231" i="43" s="1"/>
  <c r="AC663" i="43"/>
  <c r="AB663" i="43"/>
  <c r="AB662" i="43"/>
  <c r="AC662" i="43"/>
  <c r="O645" i="43"/>
  <c r="P645" i="43" s="1"/>
  <c r="L759" i="43"/>
  <c r="K644" i="43"/>
  <c r="O642" i="43"/>
  <c r="O643" i="43"/>
  <c r="P643" i="43" s="1"/>
  <c r="D491" i="43"/>
  <c r="K491" i="43" s="1"/>
  <c r="D495" i="43"/>
  <c r="K495" i="43" s="1"/>
  <c r="D493" i="43"/>
  <c r="O494" i="43" s="1"/>
  <c r="P494" i="43" s="1"/>
  <c r="O649" i="43"/>
  <c r="P649" i="43" s="1"/>
  <c r="O648" i="43"/>
  <c r="P648" i="43" s="1"/>
  <c r="P631" i="43"/>
  <c r="P630" i="43"/>
  <c r="P633" i="43"/>
  <c r="O632" i="43"/>
  <c r="P632" i="43" s="1"/>
  <c r="K646" i="43"/>
  <c r="O647" i="43"/>
  <c r="P647" i="43" s="1"/>
  <c r="O646" i="43"/>
  <c r="P646" i="43" s="1"/>
  <c r="Q630" i="43"/>
  <c r="J31" i="44" s="1"/>
  <c r="H538" i="43"/>
  <c r="I387" i="43"/>
  <c r="H387" i="43"/>
  <c r="J387" i="43"/>
  <c r="F387" i="43"/>
  <c r="G387" i="43"/>
  <c r="H385" i="43"/>
  <c r="I234" i="43"/>
  <c r="G234" i="43"/>
  <c r="H234" i="43"/>
  <c r="F234" i="43"/>
  <c r="J234" i="43"/>
  <c r="I232" i="43"/>
  <c r="G232" i="43"/>
  <c r="F232" i="43"/>
  <c r="H232" i="43"/>
  <c r="F540" i="43"/>
  <c r="H540" i="43"/>
  <c r="G540" i="43"/>
  <c r="I540" i="43"/>
  <c r="J538" i="43"/>
  <c r="F538" i="43"/>
  <c r="G538" i="43"/>
  <c r="J385" i="43"/>
  <c r="G385" i="43"/>
  <c r="J540" i="43"/>
  <c r="L690" i="43"/>
  <c r="E691" i="43"/>
  <c r="H757" i="43"/>
  <c r="J757" i="43"/>
  <c r="I757" i="43"/>
  <c r="F757" i="43"/>
  <c r="G757" i="43"/>
  <c r="J755" i="43"/>
  <c r="I755" i="43"/>
  <c r="G755" i="43"/>
  <c r="F755" i="43"/>
  <c r="H755" i="43"/>
  <c r="M691" i="43"/>
  <c r="M690" i="43"/>
  <c r="M692" i="43"/>
  <c r="M760" i="43"/>
  <c r="M759" i="43"/>
  <c r="F607" i="43"/>
  <c r="H607" i="43"/>
  <c r="J607" i="43"/>
  <c r="I607" i="43"/>
  <c r="G607" i="43"/>
  <c r="E604" i="43"/>
  <c r="E608" i="43"/>
  <c r="I453" i="43"/>
  <c r="G453" i="43"/>
  <c r="J453" i="43"/>
  <c r="F453" i="43"/>
  <c r="M527" i="43"/>
  <c r="M514" i="43"/>
  <c r="M512" i="43"/>
  <c r="P512" i="43" s="1"/>
  <c r="Q512" i="43" s="1"/>
  <c r="M518" i="43"/>
  <c r="M539" i="43"/>
  <c r="K325" i="43"/>
  <c r="M537" i="43"/>
  <c r="M530" i="43"/>
  <c r="P530" i="43" s="1"/>
  <c r="Q530" i="43" s="1"/>
  <c r="M520" i="43"/>
  <c r="M516" i="43"/>
  <c r="P516" i="43" s="1"/>
  <c r="Q516" i="43" s="1"/>
  <c r="M510" i="43"/>
  <c r="P510" i="43" s="1"/>
  <c r="Q510" i="43" s="1"/>
  <c r="M524" i="43"/>
  <c r="M528" i="43"/>
  <c r="M525" i="43"/>
  <c r="M522" i="43"/>
  <c r="M517" i="43"/>
  <c r="M513" i="43"/>
  <c r="M509" i="43"/>
  <c r="P509" i="43" s="1"/>
  <c r="Q509" i="43" s="1"/>
  <c r="M515" i="43"/>
  <c r="P515" i="43" s="1"/>
  <c r="Q515" i="43" s="1"/>
  <c r="M523" i="43"/>
  <c r="M519" i="43"/>
  <c r="P519" i="43" s="1"/>
  <c r="Q519" i="43" s="1"/>
  <c r="M526" i="43"/>
  <c r="M511" i="43"/>
  <c r="P511" i="43" s="1"/>
  <c r="Q511" i="43" s="1"/>
  <c r="M521" i="43"/>
  <c r="P521" i="43" s="1"/>
  <c r="Q521" i="43" s="1"/>
  <c r="H454" i="43"/>
  <c r="J454" i="43"/>
  <c r="G454" i="43"/>
  <c r="M361" i="43"/>
  <c r="M372" i="43"/>
  <c r="I454" i="43"/>
  <c r="E451" i="43"/>
  <c r="E455" i="43"/>
  <c r="M375" i="43"/>
  <c r="M374" i="43"/>
  <c r="M368" i="43"/>
  <c r="P368" i="43" s="1"/>
  <c r="Q368" i="43" s="1"/>
  <c r="M364" i="43"/>
  <c r="M369" i="43"/>
  <c r="M359" i="43"/>
  <c r="M371" i="43"/>
  <c r="M360" i="43"/>
  <c r="M363" i="43"/>
  <c r="P363" i="43" s="1"/>
  <c r="Q363" i="43" s="1"/>
  <c r="M377" i="43"/>
  <c r="P377" i="43" s="1"/>
  <c r="Q377" i="43" s="1"/>
  <c r="M367" i="43"/>
  <c r="M370" i="43"/>
  <c r="M356" i="43"/>
  <c r="M373" i="43"/>
  <c r="M362" i="43"/>
  <c r="P362" i="43" s="1"/>
  <c r="Q362" i="43" s="1"/>
  <c r="M358" i="43"/>
  <c r="P358" i="43" s="1"/>
  <c r="Q358" i="43" s="1"/>
  <c r="M365" i="43"/>
  <c r="M366" i="43"/>
  <c r="P366" i="43" s="1"/>
  <c r="Q366" i="43" s="1"/>
  <c r="M357" i="43"/>
  <c r="P357" i="43" s="1"/>
  <c r="Q357" i="43" s="1"/>
  <c r="G300" i="43"/>
  <c r="J301" i="43"/>
  <c r="I301" i="43"/>
  <c r="H301" i="43"/>
  <c r="J300" i="43"/>
  <c r="G301" i="43"/>
  <c r="I300" i="43"/>
  <c r="H300" i="43"/>
  <c r="F300" i="43"/>
  <c r="E296" i="43"/>
  <c r="F301" i="43"/>
  <c r="E298" i="43"/>
  <c r="E302" i="43"/>
  <c r="L171" i="43"/>
  <c r="M221" i="43"/>
  <c r="P221" i="43" s="1"/>
  <c r="M216" i="43"/>
  <c r="M210" i="43"/>
  <c r="P210" i="43" s="1"/>
  <c r="Q210" i="43" s="1"/>
  <c r="M222" i="43"/>
  <c r="M205" i="43"/>
  <c r="P205" i="43" s="1"/>
  <c r="Q205" i="43" s="1"/>
  <c r="M214" i="43"/>
  <c r="M213" i="43"/>
  <c r="P213" i="43" s="1"/>
  <c r="Q213" i="43" s="1"/>
  <c r="M218" i="43"/>
  <c r="M219" i="43"/>
  <c r="M202" i="43"/>
  <c r="M203" i="43"/>
  <c r="P203" i="43" s="1"/>
  <c r="Q203" i="43" s="1"/>
  <c r="M220" i="43"/>
  <c r="M217" i="43"/>
  <c r="M224" i="43"/>
  <c r="P224" i="43" s="1"/>
  <c r="Q224" i="43" s="1"/>
  <c r="M212" i="43"/>
  <c r="M208" i="43"/>
  <c r="M207" i="43"/>
  <c r="M206" i="43"/>
  <c r="M211" i="43"/>
  <c r="M204" i="43"/>
  <c r="P204" i="43" s="1"/>
  <c r="Q204" i="43" s="1"/>
  <c r="M209" i="43"/>
  <c r="P209" i="43" s="1"/>
  <c r="Q209" i="43" s="1"/>
  <c r="M215" i="43"/>
  <c r="P215" i="43" s="1"/>
  <c r="Q215" i="43" s="1"/>
  <c r="M70" i="43"/>
  <c r="P70" i="43" s="1"/>
  <c r="J147" i="43"/>
  <c r="I147" i="43"/>
  <c r="H147" i="43"/>
  <c r="F147" i="43"/>
  <c r="G147" i="43"/>
  <c r="M51" i="43"/>
  <c r="M147" i="43" l="1"/>
  <c r="P642" i="43"/>
  <c r="E385" i="43"/>
  <c r="K385" i="43" s="1"/>
  <c r="K757" i="43"/>
  <c r="K607" i="43"/>
  <c r="L607" i="43" s="1"/>
  <c r="M607" i="43" s="1"/>
  <c r="AC363" i="43"/>
  <c r="AB363" i="43"/>
  <c r="AC210" i="43"/>
  <c r="AB210" i="43"/>
  <c r="E234" i="43"/>
  <c r="K234" i="43" s="1"/>
  <c r="AC368" i="43"/>
  <c r="AB368" i="43"/>
  <c r="AB366" i="43"/>
  <c r="AC366" i="43"/>
  <c r="AB358" i="43"/>
  <c r="AC358" i="43"/>
  <c r="AB213" i="43"/>
  <c r="E232" i="43"/>
  <c r="K232" i="43" s="1"/>
  <c r="AC215" i="43"/>
  <c r="AB215" i="43"/>
  <c r="AB209" i="43"/>
  <c r="AC209" i="43"/>
  <c r="AB205" i="43"/>
  <c r="AC205" i="43"/>
  <c r="K301" i="43"/>
  <c r="L301" i="43" s="1"/>
  <c r="K147" i="43"/>
  <c r="L147" i="43" s="1"/>
  <c r="K300" i="43"/>
  <c r="L300" i="43" s="1"/>
  <c r="K454" i="43"/>
  <c r="L454" i="43" s="1"/>
  <c r="O690" i="43"/>
  <c r="K233" i="43"/>
  <c r="L233" i="43" s="1"/>
  <c r="K691" i="43"/>
  <c r="L691" i="43" s="1"/>
  <c r="L231" i="43"/>
  <c r="J604" i="43"/>
  <c r="I604" i="43"/>
  <c r="L453" i="43"/>
  <c r="O493" i="43"/>
  <c r="P493" i="43" s="1"/>
  <c r="K493" i="43"/>
  <c r="O495" i="43"/>
  <c r="P495" i="43" s="1"/>
  <c r="O496" i="43"/>
  <c r="P496" i="43" s="1"/>
  <c r="O492" i="43"/>
  <c r="P492" i="43" s="1"/>
  <c r="O491" i="43"/>
  <c r="P491" i="43" s="1"/>
  <c r="O171" i="43"/>
  <c r="P171" i="43" s="1"/>
  <c r="K489" i="43"/>
  <c r="O490" i="43"/>
  <c r="P490" i="43" s="1"/>
  <c r="O489" i="43"/>
  <c r="P489" i="43" s="1"/>
  <c r="AB512" i="43"/>
  <c r="AC512" i="43"/>
  <c r="AB530" i="43"/>
  <c r="AC530" i="43"/>
  <c r="AB362" i="43"/>
  <c r="AC362" i="43"/>
  <c r="AB357" i="43"/>
  <c r="AC357" i="43"/>
  <c r="AC224" i="43"/>
  <c r="AB224" i="43"/>
  <c r="AC204" i="43"/>
  <c r="AB204" i="43"/>
  <c r="AB203" i="43"/>
  <c r="AC203" i="43"/>
  <c r="K338" i="43"/>
  <c r="D336" i="43"/>
  <c r="AB509" i="43"/>
  <c r="AC509" i="43"/>
  <c r="AC377" i="43"/>
  <c r="AB377" i="43"/>
  <c r="AC375" i="43"/>
  <c r="AB375" i="43"/>
  <c r="AB221" i="43"/>
  <c r="AC221" i="43"/>
  <c r="AC216" i="43"/>
  <c r="AB216" i="43"/>
  <c r="AC70" i="43"/>
  <c r="AB70" i="43"/>
  <c r="M755" i="43"/>
  <c r="AC516" i="43"/>
  <c r="AB516" i="43"/>
  <c r="AC521" i="43"/>
  <c r="AB521" i="43"/>
  <c r="AC513" i="43"/>
  <c r="AB513" i="43"/>
  <c r="AC515" i="43"/>
  <c r="AB515" i="43"/>
  <c r="AC514" i="43"/>
  <c r="AB514" i="43"/>
  <c r="AC522" i="43"/>
  <c r="AB522" i="43"/>
  <c r="M387" i="43"/>
  <c r="M385" i="43"/>
  <c r="M538" i="43"/>
  <c r="M540" i="43"/>
  <c r="O691" i="43"/>
  <c r="O692" i="43"/>
  <c r="E605" i="43"/>
  <c r="L757" i="43"/>
  <c r="E539" i="43"/>
  <c r="E537" i="43"/>
  <c r="J608" i="43"/>
  <c r="F608" i="43"/>
  <c r="G608" i="43"/>
  <c r="H608" i="43"/>
  <c r="I608" i="43"/>
  <c r="H604" i="43"/>
  <c r="F604" i="43"/>
  <c r="G604" i="43"/>
  <c r="E609" i="43"/>
  <c r="L384" i="43"/>
  <c r="E538" i="43"/>
  <c r="K538" i="43" s="1"/>
  <c r="E540" i="43"/>
  <c r="K540" i="43" s="1"/>
  <c r="L477" i="43"/>
  <c r="K480" i="43"/>
  <c r="L480" i="43"/>
  <c r="K479" i="43"/>
  <c r="L479" i="43"/>
  <c r="E386" i="43"/>
  <c r="L478" i="43"/>
  <c r="K478" i="43"/>
  <c r="E450" i="43"/>
  <c r="E387" i="43"/>
  <c r="J449" i="43"/>
  <c r="G449" i="43"/>
  <c r="I449" i="43"/>
  <c r="F449" i="43"/>
  <c r="H449" i="43"/>
  <c r="E452" i="43"/>
  <c r="J455" i="43"/>
  <c r="H455" i="43"/>
  <c r="F455" i="43"/>
  <c r="G455" i="43"/>
  <c r="I455" i="43"/>
  <c r="E456" i="43"/>
  <c r="H451" i="43"/>
  <c r="J451" i="43"/>
  <c r="I451" i="43"/>
  <c r="F451" i="43"/>
  <c r="G451" i="43"/>
  <c r="M454" i="43"/>
  <c r="M453" i="43"/>
  <c r="L325" i="43"/>
  <c r="L327" i="43"/>
  <c r="K327" i="43"/>
  <c r="K326" i="43"/>
  <c r="L326" i="43"/>
  <c r="K324" i="43"/>
  <c r="L324" i="43"/>
  <c r="H296" i="43"/>
  <c r="F296" i="43"/>
  <c r="J296" i="43"/>
  <c r="G296" i="43"/>
  <c r="I296" i="43"/>
  <c r="E297" i="43"/>
  <c r="E303" i="43"/>
  <c r="E299" i="43"/>
  <c r="G302" i="43"/>
  <c r="F302" i="43"/>
  <c r="H302" i="43"/>
  <c r="I302" i="43"/>
  <c r="J302" i="43"/>
  <c r="F298" i="43"/>
  <c r="I298" i="43"/>
  <c r="G298" i="43"/>
  <c r="H298" i="43"/>
  <c r="J298" i="43"/>
  <c r="J144" i="43"/>
  <c r="M301" i="43"/>
  <c r="G144" i="43"/>
  <c r="F144" i="43"/>
  <c r="I144" i="43"/>
  <c r="H144" i="43"/>
  <c r="L172" i="43"/>
  <c r="K172" i="43"/>
  <c r="M300" i="43"/>
  <c r="J143" i="43"/>
  <c r="K173" i="43"/>
  <c r="L173" i="43"/>
  <c r="K171" i="43"/>
  <c r="L174" i="43"/>
  <c r="G148" i="43"/>
  <c r="H148" i="43"/>
  <c r="F148" i="43"/>
  <c r="I148" i="43"/>
  <c r="J148" i="43"/>
  <c r="J145" i="43"/>
  <c r="L146" i="43"/>
  <c r="J146" i="43"/>
  <c r="I146" i="43"/>
  <c r="H146" i="43"/>
  <c r="G146" i="43"/>
  <c r="F146" i="43"/>
  <c r="J142" i="43"/>
  <c r="I142" i="43"/>
  <c r="H142" i="43"/>
  <c r="G142" i="43"/>
  <c r="K22" i="43"/>
  <c r="K23" i="43"/>
  <c r="K21" i="43"/>
  <c r="L20" i="43"/>
  <c r="M144" i="43" l="1"/>
  <c r="M146" i="43"/>
  <c r="J450" i="43"/>
  <c r="I450" i="43"/>
  <c r="K451" i="43"/>
  <c r="L451" i="43" s="1"/>
  <c r="K455" i="43"/>
  <c r="L455" i="43" s="1"/>
  <c r="K604" i="43"/>
  <c r="L604" i="43" s="1"/>
  <c r="M604" i="43" s="1"/>
  <c r="K608" i="43"/>
  <c r="L608" i="43" s="1"/>
  <c r="M608" i="43" s="1"/>
  <c r="O174" i="43"/>
  <c r="P174" i="43" s="1"/>
  <c r="O325" i="43"/>
  <c r="P325" i="43" s="1"/>
  <c r="O20" i="43"/>
  <c r="P20" i="43" s="1"/>
  <c r="K302" i="43"/>
  <c r="L302" i="43" s="1"/>
  <c r="K296" i="43"/>
  <c r="L296" i="43" s="1"/>
  <c r="K298" i="43"/>
  <c r="L298" i="43" s="1"/>
  <c r="I303" i="43"/>
  <c r="K144" i="43"/>
  <c r="L144" i="43" s="1"/>
  <c r="K148" i="43"/>
  <c r="M142" i="43"/>
  <c r="K387" i="43"/>
  <c r="L387" i="43" s="1"/>
  <c r="K386" i="43"/>
  <c r="L386" i="43" s="1"/>
  <c r="K537" i="43"/>
  <c r="L537" i="43" s="1"/>
  <c r="K539" i="43"/>
  <c r="L539" i="43" s="1"/>
  <c r="I605" i="43"/>
  <c r="O385" i="43"/>
  <c r="L538" i="43"/>
  <c r="L540" i="43"/>
  <c r="Q20" i="43"/>
  <c r="J7" i="44" s="1"/>
  <c r="O480" i="43"/>
  <c r="P480" i="43" s="1"/>
  <c r="O478" i="43"/>
  <c r="P478" i="43" s="1"/>
  <c r="O479" i="43"/>
  <c r="P479" i="43" s="1"/>
  <c r="O477" i="43"/>
  <c r="P477" i="43" s="1"/>
  <c r="O326" i="43"/>
  <c r="P326" i="43" s="1"/>
  <c r="O324" i="43"/>
  <c r="P324" i="43" s="1"/>
  <c r="O327" i="43"/>
  <c r="P327" i="43" s="1"/>
  <c r="O172" i="43"/>
  <c r="P172" i="43" s="1"/>
  <c r="O173" i="43"/>
  <c r="P173" i="43" s="1"/>
  <c r="K336" i="43"/>
  <c r="O337" i="43"/>
  <c r="P337" i="43" s="1"/>
  <c r="O336" i="43"/>
  <c r="P336" i="43" s="1"/>
  <c r="K477" i="43"/>
  <c r="Q477" i="43"/>
  <c r="J25" i="44" s="1"/>
  <c r="M148" i="43"/>
  <c r="L385" i="43"/>
  <c r="K20" i="43"/>
  <c r="L142" i="43"/>
  <c r="L755" i="43"/>
  <c r="L449" i="43"/>
  <c r="Q171" i="43"/>
  <c r="J13" i="44" s="1"/>
  <c r="Q324" i="43"/>
  <c r="J19" i="44" s="1"/>
  <c r="O233" i="43"/>
  <c r="O232" i="43"/>
  <c r="O384" i="43"/>
  <c r="O231" i="43"/>
  <c r="H605" i="43"/>
  <c r="F605" i="43"/>
  <c r="G605" i="43"/>
  <c r="J605" i="43"/>
  <c r="M757" i="43"/>
  <c r="J609" i="43"/>
  <c r="G609" i="43"/>
  <c r="H609" i="43"/>
  <c r="I609" i="43"/>
  <c r="F609" i="43"/>
  <c r="O539" i="43"/>
  <c r="O386" i="43"/>
  <c r="O387" i="43"/>
  <c r="O537" i="43"/>
  <c r="H450" i="43"/>
  <c r="G450" i="43"/>
  <c r="F450" i="43"/>
  <c r="J456" i="43"/>
  <c r="F456" i="43"/>
  <c r="G456" i="43"/>
  <c r="I456" i="43"/>
  <c r="H456" i="43"/>
  <c r="J452" i="43"/>
  <c r="G452" i="43"/>
  <c r="I452" i="43"/>
  <c r="F452" i="43"/>
  <c r="H452" i="43"/>
  <c r="F303" i="43"/>
  <c r="H303" i="43"/>
  <c r="J303" i="43"/>
  <c r="M449" i="43"/>
  <c r="M455" i="43"/>
  <c r="M451" i="43"/>
  <c r="G303" i="43"/>
  <c r="I297" i="43"/>
  <c r="H297" i="43"/>
  <c r="J297" i="43"/>
  <c r="G297" i="43"/>
  <c r="F297" i="43"/>
  <c r="H299" i="43"/>
  <c r="I299" i="43"/>
  <c r="G299" i="43"/>
  <c r="F299" i="43"/>
  <c r="J299" i="43"/>
  <c r="O234" i="43"/>
  <c r="M296" i="43"/>
  <c r="G143" i="43"/>
  <c r="M302" i="43"/>
  <c r="M298" i="43"/>
  <c r="H143" i="43"/>
  <c r="I143" i="43"/>
  <c r="H149" i="43"/>
  <c r="H145" i="43"/>
  <c r="J149" i="43"/>
  <c r="F149" i="43"/>
  <c r="G149" i="43"/>
  <c r="I149" i="43"/>
  <c r="G145" i="43"/>
  <c r="F145" i="43"/>
  <c r="I145" i="43"/>
  <c r="V20" i="43"/>
  <c r="L38" i="43"/>
  <c r="L37" i="43"/>
  <c r="L36" i="43"/>
  <c r="L35" i="43"/>
  <c r="L34" i="43"/>
  <c r="L33" i="43"/>
  <c r="O33" i="43" s="1"/>
  <c r="P33" i="43" s="1"/>
  <c r="L32" i="43"/>
  <c r="G178" i="42"/>
  <c r="G177" i="42"/>
  <c r="G56" i="42"/>
  <c r="G55" i="42"/>
  <c r="G159" i="41"/>
  <c r="G158" i="41"/>
  <c r="G54" i="41"/>
  <c r="G53" i="41"/>
  <c r="G252" i="39"/>
  <c r="G251" i="39"/>
  <c r="G66" i="39"/>
  <c r="G65" i="39"/>
  <c r="H61" i="38"/>
  <c r="H59" i="38"/>
  <c r="H58" i="38"/>
  <c r="H57" i="38"/>
  <c r="H56" i="38"/>
  <c r="H55" i="38"/>
  <c r="H54" i="38"/>
  <c r="H53" i="38"/>
  <c r="H52" i="38"/>
  <c r="G236" i="38"/>
  <c r="G237" i="38"/>
  <c r="G65" i="38"/>
  <c r="G64" i="38"/>
  <c r="M145" i="43" l="1"/>
  <c r="K456" i="43"/>
  <c r="L456" i="43" s="1"/>
  <c r="K452" i="43"/>
  <c r="L452" i="43" s="1"/>
  <c r="K605" i="43"/>
  <c r="L605" i="43" s="1"/>
  <c r="M605" i="43" s="1"/>
  <c r="K609" i="43"/>
  <c r="L609" i="43" s="1"/>
  <c r="M609" i="43" s="1"/>
  <c r="K299" i="43"/>
  <c r="L299" i="43" s="1"/>
  <c r="K303" i="43"/>
  <c r="L303" i="43" s="1"/>
  <c r="K145" i="43"/>
  <c r="L145" i="43" s="1"/>
  <c r="K149" i="43"/>
  <c r="L149" i="43" s="1"/>
  <c r="O32" i="43"/>
  <c r="P32" i="43" s="1"/>
  <c r="K297" i="43"/>
  <c r="L297" i="43" s="1"/>
  <c r="K450" i="43"/>
  <c r="L450" i="43" s="1"/>
  <c r="K143" i="43"/>
  <c r="L148" i="43"/>
  <c r="R32" i="43"/>
  <c r="J9" i="44" s="1"/>
  <c r="Q449" i="43"/>
  <c r="J24" i="44" s="1"/>
  <c r="M149" i="43"/>
  <c r="M143" i="43"/>
  <c r="Q32" i="43"/>
  <c r="J8" i="44" s="1"/>
  <c r="L756" i="43"/>
  <c r="G182" i="42"/>
  <c r="H182" i="42" s="1"/>
  <c r="H181" i="42"/>
  <c r="G58" i="42"/>
  <c r="H58" i="42" s="1"/>
  <c r="G60" i="42"/>
  <c r="H60" i="42" s="1"/>
  <c r="G59" i="42"/>
  <c r="H59" i="42" s="1"/>
  <c r="G58" i="41"/>
  <c r="H58" i="41" s="1"/>
  <c r="G57" i="41"/>
  <c r="H57" i="41" s="1"/>
  <c r="G56" i="41"/>
  <c r="H56" i="41" s="1"/>
  <c r="G68" i="39"/>
  <c r="H68" i="39" s="1"/>
  <c r="G70" i="39"/>
  <c r="H70" i="39" s="1"/>
  <c r="G69" i="39"/>
  <c r="H69" i="39" s="1"/>
  <c r="G68" i="38"/>
  <c r="H68" i="38" s="1"/>
  <c r="G69" i="38"/>
  <c r="H69" i="38" s="1"/>
  <c r="L705" i="43"/>
  <c r="L677" i="43"/>
  <c r="L669" i="43"/>
  <c r="L675" i="43"/>
  <c r="L667" i="43"/>
  <c r="L707" i="43"/>
  <c r="L683" i="43"/>
  <c r="L674" i="43"/>
  <c r="L666" i="43"/>
  <c r="L681" i="43"/>
  <c r="L673" i="43"/>
  <c r="L665" i="43"/>
  <c r="L663" i="43"/>
  <c r="L678" i="43"/>
  <c r="L680" i="43"/>
  <c r="L672" i="43"/>
  <c r="L664" i="43"/>
  <c r="L662" i="43"/>
  <c r="L668" i="43"/>
  <c r="L739" i="43"/>
  <c r="L670" i="43"/>
  <c r="L676" i="43"/>
  <c r="L566" i="43"/>
  <c r="L562" i="43"/>
  <c r="L560" i="43"/>
  <c r="L556" i="43"/>
  <c r="L564" i="43"/>
  <c r="L578" i="43"/>
  <c r="L576" i="43"/>
  <c r="L594" i="43"/>
  <c r="L572" i="43"/>
  <c r="L554" i="43"/>
  <c r="L558" i="43"/>
  <c r="L523" i="43"/>
  <c r="L515" i="43"/>
  <c r="L508" i="43"/>
  <c r="L522" i="43"/>
  <c r="L514" i="43"/>
  <c r="L520" i="43"/>
  <c r="L530" i="43"/>
  <c r="L521" i="43"/>
  <c r="L513" i="43"/>
  <c r="L511" i="43"/>
  <c r="L519" i="43"/>
  <c r="L518" i="43"/>
  <c r="L510" i="43"/>
  <c r="L517" i="43"/>
  <c r="L509" i="43"/>
  <c r="L524" i="43"/>
  <c r="L516" i="43"/>
  <c r="L512" i="43"/>
  <c r="M756" i="43"/>
  <c r="L401" i="43"/>
  <c r="L372" i="43"/>
  <c r="L364" i="43"/>
  <c r="L356" i="43"/>
  <c r="L370" i="43"/>
  <c r="L361" i="43"/>
  <c r="L367" i="43"/>
  <c r="L371" i="43"/>
  <c r="L363" i="43"/>
  <c r="L368" i="43"/>
  <c r="L359" i="43"/>
  <c r="L413" i="43"/>
  <c r="L362" i="43"/>
  <c r="L411" i="43"/>
  <c r="L377" i="43"/>
  <c r="L441" i="43"/>
  <c r="L423" i="43"/>
  <c r="L375" i="43"/>
  <c r="L437" i="43"/>
  <c r="L374" i="43"/>
  <c r="L366" i="43"/>
  <c r="L358" i="43"/>
  <c r="L360" i="43"/>
  <c r="L419" i="43"/>
  <c r="L403" i="43"/>
  <c r="L373" i="43"/>
  <c r="L365" i="43"/>
  <c r="L357" i="43"/>
  <c r="L369" i="43"/>
  <c r="L288" i="43"/>
  <c r="L270" i="43"/>
  <c r="L222" i="43"/>
  <c r="L218" i="43"/>
  <c r="L210" i="43"/>
  <c r="L212" i="43"/>
  <c r="L213" i="43"/>
  <c r="L205" i="43"/>
  <c r="L204" i="43"/>
  <c r="L211" i="43"/>
  <c r="L282" i="43"/>
  <c r="L266" i="43"/>
  <c r="L250" i="43"/>
  <c r="L221" i="43"/>
  <c r="L217" i="43"/>
  <c r="L209" i="43"/>
  <c r="L208" i="43"/>
  <c r="L203" i="43"/>
  <c r="L248" i="43"/>
  <c r="L246" i="43"/>
  <c r="L220" i="43"/>
  <c r="L260" i="43"/>
  <c r="L258" i="43"/>
  <c r="L224" i="43"/>
  <c r="L219" i="43"/>
  <c r="L215" i="43"/>
  <c r="L272" i="43"/>
  <c r="L202" i="43"/>
  <c r="L214" i="43"/>
  <c r="L206" i="43"/>
  <c r="L216" i="43"/>
  <c r="L207" i="43"/>
  <c r="M450" i="43"/>
  <c r="M456" i="43"/>
  <c r="M452" i="43"/>
  <c r="M299" i="43"/>
  <c r="M297" i="43"/>
  <c r="M303" i="43"/>
  <c r="K32" i="43"/>
  <c r="G179" i="42"/>
  <c r="G57" i="42"/>
  <c r="H50" i="42"/>
  <c r="H171" i="42"/>
  <c r="H170" i="42"/>
  <c r="H169" i="42"/>
  <c r="H166" i="42"/>
  <c r="H172" i="42"/>
  <c r="H168" i="42"/>
  <c r="H174" i="42"/>
  <c r="G160" i="41"/>
  <c r="I160" i="41" s="1"/>
  <c r="G55" i="41"/>
  <c r="H33" i="41" s="1"/>
  <c r="H44" i="41"/>
  <c r="H43" i="41"/>
  <c r="H42" i="41"/>
  <c r="H41" i="41"/>
  <c r="H153" i="41"/>
  <c r="H155" i="41"/>
  <c r="H152" i="41"/>
  <c r="H144" i="41"/>
  <c r="H39" i="41"/>
  <c r="H47" i="41"/>
  <c r="H50" i="41"/>
  <c r="H48" i="41"/>
  <c r="G253" i="39"/>
  <c r="G67" i="39"/>
  <c r="H243" i="39"/>
  <c r="H240" i="39"/>
  <c r="H239" i="39"/>
  <c r="H245" i="39"/>
  <c r="H242" i="39"/>
  <c r="H241" i="39"/>
  <c r="H248" i="39"/>
  <c r="H246" i="39"/>
  <c r="H244" i="39"/>
  <c r="G66" i="38"/>
  <c r="G238" i="38"/>
  <c r="H236" i="38" s="1"/>
  <c r="Q296" i="43" l="1"/>
  <c r="J18" i="44" s="1"/>
  <c r="Q142" i="43"/>
  <c r="J12" i="44" s="1"/>
  <c r="P449" i="43"/>
  <c r="J23" i="44" s="1"/>
  <c r="P296" i="43"/>
  <c r="J17" i="44" s="1"/>
  <c r="P142" i="43"/>
  <c r="J11" i="44" s="1"/>
  <c r="L143" i="43"/>
  <c r="O540" i="43"/>
  <c r="I179" i="42"/>
  <c r="I180" i="42"/>
  <c r="I185" i="42"/>
  <c r="I57" i="42"/>
  <c r="I63" i="42"/>
  <c r="I58" i="42"/>
  <c r="I56" i="41"/>
  <c r="I55" i="41"/>
  <c r="I61" i="41"/>
  <c r="I67" i="39"/>
  <c r="I73" i="39"/>
  <c r="I253" i="39"/>
  <c r="I254" i="39"/>
  <c r="I259" i="39"/>
  <c r="I68" i="39"/>
  <c r="I238" i="38"/>
  <c r="I244" i="38"/>
  <c r="I67" i="38"/>
  <c r="I66" i="38"/>
  <c r="I72" i="38"/>
  <c r="I166" i="41"/>
  <c r="I161" i="41"/>
  <c r="I59" i="42"/>
  <c r="I162" i="41"/>
  <c r="I57" i="41"/>
  <c r="I68" i="38"/>
  <c r="I181" i="42"/>
  <c r="I69" i="39"/>
  <c r="I255" i="39"/>
  <c r="I239" i="38"/>
  <c r="I240" i="38"/>
  <c r="M679" i="43"/>
  <c r="H178" i="42"/>
  <c r="H28" i="42"/>
  <c r="H159" i="41"/>
  <c r="H46" i="41"/>
  <c r="H237" i="39"/>
  <c r="H51" i="39"/>
  <c r="H233" i="38"/>
  <c r="H152" i="42"/>
  <c r="H161" i="42"/>
  <c r="H38" i="41"/>
  <c r="H236" i="39"/>
  <c r="H164" i="42"/>
  <c r="H159" i="42"/>
  <c r="H153" i="42"/>
  <c r="H158" i="42"/>
  <c r="H157" i="42"/>
  <c r="H155" i="42"/>
  <c r="H143" i="42"/>
  <c r="H142" i="42"/>
  <c r="H148" i="42"/>
  <c r="H149" i="42"/>
  <c r="H144" i="42"/>
  <c r="H147" i="42"/>
  <c r="H146" i="42"/>
  <c r="H140" i="42"/>
  <c r="H135" i="42"/>
  <c r="H138" i="42"/>
  <c r="H139" i="42"/>
  <c r="H136" i="42"/>
  <c r="H131" i="42"/>
  <c r="H134" i="42"/>
  <c r="H129" i="42"/>
  <c r="H127" i="42"/>
  <c r="H124" i="42"/>
  <c r="H123" i="42"/>
  <c r="H118" i="42"/>
  <c r="H113" i="42"/>
  <c r="H122" i="42"/>
  <c r="H119" i="42"/>
  <c r="H115" i="42"/>
  <c r="H111" i="42"/>
  <c r="H105" i="42"/>
  <c r="H99" i="42"/>
  <c r="H100" i="42"/>
  <c r="H95" i="42"/>
  <c r="H96" i="42"/>
  <c r="H98" i="42"/>
  <c r="H94" i="42"/>
  <c r="H91" i="42"/>
  <c r="H93" i="42"/>
  <c r="H137" i="42"/>
  <c r="H84" i="42"/>
  <c r="H133" i="42"/>
  <c r="H90" i="42"/>
  <c r="H86" i="42"/>
  <c r="H89" i="42"/>
  <c r="H145" i="42"/>
  <c r="H82" i="42"/>
  <c r="H43" i="42"/>
  <c r="H30" i="41"/>
  <c r="H37" i="41"/>
  <c r="H36" i="41"/>
  <c r="H35" i="41"/>
  <c r="H31" i="41"/>
  <c r="H29" i="41"/>
  <c r="H34" i="41"/>
  <c r="H32" i="41"/>
  <c r="H26" i="41"/>
  <c r="H28" i="41"/>
  <c r="H27" i="41"/>
  <c r="H22" i="41"/>
  <c r="H20" i="41"/>
  <c r="H24" i="41"/>
  <c r="H52" i="39"/>
  <c r="H40" i="39"/>
  <c r="H37" i="39"/>
  <c r="H48" i="39"/>
  <c r="H46" i="39"/>
  <c r="H44" i="39"/>
  <c r="H38" i="39"/>
  <c r="H31" i="39"/>
  <c r="H22" i="39"/>
  <c r="H40" i="38"/>
  <c r="H41" i="38"/>
  <c r="H38" i="38"/>
  <c r="H39" i="38"/>
  <c r="H36" i="38"/>
  <c r="H37" i="38"/>
  <c r="H34" i="38"/>
  <c r="H35" i="38"/>
  <c r="H32" i="38"/>
  <c r="H33" i="38"/>
  <c r="H30" i="38"/>
  <c r="H31" i="38"/>
  <c r="H26" i="38"/>
  <c r="H28" i="38"/>
  <c r="H22" i="38"/>
  <c r="H24" i="38"/>
  <c r="H51" i="38"/>
  <c r="H20" i="38"/>
  <c r="H142" i="41"/>
  <c r="H128" i="41"/>
  <c r="H126" i="41"/>
  <c r="H141" i="41"/>
  <c r="H129" i="41"/>
  <c r="H125" i="41"/>
  <c r="H120" i="41"/>
  <c r="H123" i="41"/>
  <c r="H116" i="41"/>
  <c r="H119" i="41"/>
  <c r="H122" i="41"/>
  <c r="H114" i="41"/>
  <c r="H110" i="41"/>
  <c r="H111" i="41"/>
  <c r="H107" i="41"/>
  <c r="H92" i="41"/>
  <c r="H96" i="41"/>
  <c r="H108" i="41"/>
  <c r="H104" i="41"/>
  <c r="H98" i="41"/>
  <c r="H102" i="41"/>
  <c r="H93" i="41"/>
  <c r="H88" i="41"/>
  <c r="H85" i="41"/>
  <c r="H80" i="41"/>
  <c r="H90" i="41"/>
  <c r="H86" i="41"/>
  <c r="H89" i="41"/>
  <c r="H82" i="41"/>
  <c r="H238" i="39"/>
  <c r="H234" i="39"/>
  <c r="H232" i="39"/>
  <c r="H231" i="39"/>
  <c r="H230" i="39"/>
  <c r="H228" i="39"/>
  <c r="H226" i="39"/>
  <c r="H223" i="39"/>
  <c r="H216" i="39"/>
  <c r="H219" i="39"/>
  <c r="H214" i="39"/>
  <c r="H212" i="39"/>
  <c r="H208" i="39"/>
  <c r="H211" i="39"/>
  <c r="H204" i="39"/>
  <c r="H200" i="39"/>
  <c r="H196" i="39"/>
  <c r="H193" i="39"/>
  <c r="H191" i="39"/>
  <c r="H189" i="39"/>
  <c r="H187" i="39"/>
  <c r="H184" i="39"/>
  <c r="H180" i="39"/>
  <c r="H177" i="39"/>
  <c r="H175" i="39"/>
  <c r="H174" i="39"/>
  <c r="H173" i="39"/>
  <c r="H171" i="39"/>
  <c r="H170" i="39"/>
  <c r="H169" i="39"/>
  <c r="H168" i="39"/>
  <c r="H166" i="39"/>
  <c r="H165" i="39"/>
  <c r="H162" i="39"/>
  <c r="H163" i="39"/>
  <c r="H160" i="39"/>
  <c r="H159" i="39"/>
  <c r="H158" i="39"/>
  <c r="H157" i="39"/>
  <c r="H154" i="39"/>
  <c r="H152" i="39"/>
  <c r="H150" i="39"/>
  <c r="H148" i="39"/>
  <c r="H145" i="39"/>
  <c r="H144" i="39"/>
  <c r="H143" i="39"/>
  <c r="H142" i="39"/>
  <c r="H140" i="39"/>
  <c r="H139" i="39"/>
  <c r="H137" i="39"/>
  <c r="H138" i="39"/>
  <c r="H134" i="39"/>
  <c r="H132" i="39"/>
  <c r="H130" i="39"/>
  <c r="H128" i="39"/>
  <c r="H124" i="39"/>
  <c r="H122" i="39"/>
  <c r="H120" i="39"/>
  <c r="H118" i="39"/>
  <c r="H115" i="39"/>
  <c r="H113" i="39"/>
  <c r="H114" i="39"/>
  <c r="H110" i="39"/>
  <c r="H112" i="39"/>
  <c r="H109" i="39"/>
  <c r="H108" i="39"/>
  <c r="H107" i="39"/>
  <c r="H106" i="39"/>
  <c r="H105" i="39"/>
  <c r="H103" i="39"/>
  <c r="H101" i="39"/>
  <c r="H102" i="39"/>
  <c r="H100" i="39"/>
  <c r="H97" i="39"/>
  <c r="H229" i="39"/>
  <c r="H95" i="39"/>
  <c r="H91" i="39"/>
  <c r="H93" i="39"/>
  <c r="H49" i="38"/>
  <c r="H50" i="38"/>
  <c r="H47" i="38"/>
  <c r="H48" i="38"/>
  <c r="H45" i="38"/>
  <c r="H46" i="38"/>
  <c r="H43" i="38"/>
  <c r="H44" i="38"/>
  <c r="H64" i="38"/>
  <c r="H42" i="38"/>
  <c r="H162" i="42"/>
  <c r="H127" i="41"/>
  <c r="H136" i="41"/>
  <c r="H137" i="41"/>
  <c r="H143" i="41"/>
  <c r="H131" i="41"/>
  <c r="H139" i="41"/>
  <c r="H235" i="39"/>
  <c r="H121" i="42"/>
  <c r="H141" i="42"/>
  <c r="H117" i="42"/>
  <c r="H80" i="42"/>
  <c r="H101" i="42"/>
  <c r="H97" i="42"/>
  <c r="H109" i="42"/>
  <c r="H92" i="42"/>
  <c r="H88" i="42"/>
  <c r="H135" i="41"/>
  <c r="H140" i="41"/>
  <c r="H124" i="41"/>
  <c r="H130" i="41"/>
  <c r="H121" i="41"/>
  <c r="H106" i="41"/>
  <c r="H112" i="41"/>
  <c r="H109" i="41"/>
  <c r="H118" i="41"/>
  <c r="H100" i="41"/>
  <c r="H94" i="41"/>
  <c r="H78" i="41"/>
  <c r="H84" i="41"/>
  <c r="H87" i="41"/>
  <c r="H91" i="41"/>
  <c r="H202" i="39"/>
  <c r="H217" i="39"/>
  <c r="H210" i="39"/>
  <c r="H213" i="39"/>
  <c r="H225" i="39"/>
  <c r="H194" i="39"/>
  <c r="H190" i="39"/>
  <c r="H186" i="39"/>
  <c r="H167" i="39"/>
  <c r="H178" i="39"/>
  <c r="H161" i="39"/>
  <c r="H156" i="39"/>
  <c r="H136" i="39"/>
  <c r="H146" i="39"/>
  <c r="H141" i="39"/>
  <c r="H111" i="39"/>
  <c r="H126" i="39"/>
  <c r="H116" i="39"/>
  <c r="H104" i="39"/>
  <c r="H99" i="39"/>
  <c r="H251" i="39"/>
  <c r="H89" i="39"/>
  <c r="H158" i="41"/>
  <c r="H177" i="42"/>
  <c r="H62" i="39"/>
  <c r="H53" i="39"/>
  <c r="H54" i="39"/>
  <c r="H57" i="39"/>
  <c r="H58" i="39"/>
  <c r="H56" i="39"/>
  <c r="H59" i="39"/>
  <c r="H60" i="39"/>
  <c r="H35" i="39"/>
  <c r="H30" i="39"/>
  <c r="H20" i="39"/>
  <c r="H55" i="42"/>
  <c r="H53" i="41"/>
  <c r="H252" i="39"/>
  <c r="H66" i="39"/>
  <c r="H65" i="39"/>
  <c r="H20" i="42"/>
  <c r="H47" i="42"/>
  <c r="H49" i="42"/>
  <c r="H33" i="42"/>
  <c r="H39" i="42"/>
  <c r="H45" i="42"/>
  <c r="H31" i="42"/>
  <c r="H48" i="42"/>
  <c r="H24" i="42"/>
  <c r="H37" i="42"/>
  <c r="H32" i="42"/>
  <c r="H38" i="42"/>
  <c r="H44" i="42"/>
  <c r="H52" i="42"/>
  <c r="H46" i="42"/>
  <c r="H22" i="42"/>
  <c r="H40" i="42"/>
  <c r="H165" i="42"/>
  <c r="H120" i="42"/>
  <c r="H167" i="42"/>
  <c r="H107" i="42"/>
  <c r="H151" i="42"/>
  <c r="H103" i="42"/>
  <c r="H163" i="42"/>
  <c r="H125" i="42"/>
  <c r="H35" i="42"/>
  <c r="H29" i="42"/>
  <c r="H56" i="42"/>
  <c r="H34" i="42"/>
  <c r="H36" i="42"/>
  <c r="H42" i="42"/>
  <c r="H41" i="42"/>
  <c r="H26" i="42"/>
  <c r="H30" i="42"/>
  <c r="H133" i="41"/>
  <c r="H151" i="41"/>
  <c r="H147" i="41"/>
  <c r="H146" i="41"/>
  <c r="H150" i="41"/>
  <c r="H149" i="41"/>
  <c r="H145" i="41"/>
  <c r="H148" i="41"/>
  <c r="H54" i="41"/>
  <c r="H40" i="41"/>
  <c r="H45" i="41"/>
  <c r="H221" i="39"/>
  <c r="H233" i="39"/>
  <c r="H227" i="39"/>
  <c r="H172" i="39"/>
  <c r="H215" i="39"/>
  <c r="H198" i="39"/>
  <c r="H206" i="39"/>
  <c r="H188" i="39"/>
  <c r="H192" i="39"/>
  <c r="H176" i="39"/>
  <c r="H182" i="39"/>
  <c r="H164" i="39"/>
  <c r="H55" i="39"/>
  <c r="H47" i="39"/>
  <c r="H28" i="39"/>
  <c r="H24" i="39"/>
  <c r="H36" i="39"/>
  <c r="H34" i="39"/>
  <c r="H45" i="39"/>
  <c r="H42" i="39"/>
  <c r="H50" i="39"/>
  <c r="H32" i="39"/>
  <c r="H39" i="39"/>
  <c r="H43" i="39"/>
  <c r="H26" i="39"/>
  <c r="H33" i="39"/>
  <c r="H41" i="39"/>
  <c r="H49" i="39"/>
  <c r="H226" i="38"/>
  <c r="H218" i="38"/>
  <c r="H205" i="38"/>
  <c r="H191" i="38"/>
  <c r="H176" i="38"/>
  <c r="H168" i="38"/>
  <c r="H160" i="38"/>
  <c r="H145" i="38"/>
  <c r="H137" i="38"/>
  <c r="H120" i="38"/>
  <c r="H109" i="38"/>
  <c r="H101" i="38"/>
  <c r="H216" i="38"/>
  <c r="H111" i="38"/>
  <c r="H103" i="38"/>
  <c r="H89" i="38"/>
  <c r="H227" i="38"/>
  <c r="H219" i="38"/>
  <c r="H206" i="38"/>
  <c r="H193" i="38"/>
  <c r="H179" i="38"/>
  <c r="H169" i="38"/>
  <c r="H161" i="38"/>
  <c r="H148" i="38"/>
  <c r="H138" i="38"/>
  <c r="H122" i="38"/>
  <c r="H110" i="38"/>
  <c r="H102" i="38"/>
  <c r="H225" i="38"/>
  <c r="H217" i="38"/>
  <c r="H204" i="38"/>
  <c r="H188" i="38"/>
  <c r="H175" i="38"/>
  <c r="H167" i="38"/>
  <c r="H159" i="38"/>
  <c r="H144" i="38"/>
  <c r="H134" i="38"/>
  <c r="H118" i="38"/>
  <c r="H108" i="38"/>
  <c r="H100" i="38"/>
  <c r="H203" i="38"/>
  <c r="H187" i="38"/>
  <c r="H174" i="38"/>
  <c r="H166" i="38"/>
  <c r="H158" i="38"/>
  <c r="H143" i="38"/>
  <c r="H132" i="38"/>
  <c r="H115" i="38"/>
  <c r="H107" i="38"/>
  <c r="H97" i="38"/>
  <c r="H231" i="38"/>
  <c r="H223" i="38"/>
  <c r="H215" i="38"/>
  <c r="H202" i="38"/>
  <c r="H186" i="38"/>
  <c r="H173" i="38"/>
  <c r="H165" i="38"/>
  <c r="H157" i="38"/>
  <c r="H142" i="38"/>
  <c r="H130" i="38"/>
  <c r="H114" i="38"/>
  <c r="H106" i="38"/>
  <c r="H95" i="38"/>
  <c r="H230" i="38"/>
  <c r="H222" i="38"/>
  <c r="H214" i="38"/>
  <c r="H199" i="38"/>
  <c r="H185" i="38"/>
  <c r="H172" i="38"/>
  <c r="H164" i="38"/>
  <c r="H154" i="38"/>
  <c r="H141" i="38"/>
  <c r="H128" i="38"/>
  <c r="H113" i="38"/>
  <c r="H105" i="38"/>
  <c r="H93" i="38"/>
  <c r="H229" i="38"/>
  <c r="H221" i="38"/>
  <c r="H197" i="38"/>
  <c r="H184" i="38"/>
  <c r="H171" i="38"/>
  <c r="H163" i="38"/>
  <c r="H152" i="38"/>
  <c r="H140" i="38"/>
  <c r="H126" i="38"/>
  <c r="H112" i="38"/>
  <c r="H104" i="38"/>
  <c r="H91" i="38"/>
  <c r="H228" i="38"/>
  <c r="H220" i="38"/>
  <c r="H209" i="38"/>
  <c r="H195" i="38"/>
  <c r="H181" i="38"/>
  <c r="H170" i="38"/>
  <c r="H162" i="38"/>
  <c r="H150" i="38"/>
  <c r="H139" i="38"/>
  <c r="H124" i="38"/>
  <c r="H224" i="38"/>
  <c r="H207" i="38"/>
  <c r="H201" i="38"/>
  <c r="H189" i="38"/>
  <c r="H183" i="38"/>
  <c r="H177" i="38"/>
  <c r="H65" i="38"/>
  <c r="H116" i="38"/>
  <c r="H136" i="38"/>
  <c r="H146" i="38"/>
  <c r="H237" i="38"/>
  <c r="H156" i="38"/>
  <c r="H99" i="38"/>
  <c r="G159" i="32"/>
  <c r="L679" i="43" l="1"/>
  <c r="AC679" i="43"/>
  <c r="AB679" i="43"/>
  <c r="O538" i="43"/>
  <c r="G50" i="32"/>
  <c r="G51" i="32"/>
  <c r="P537" i="43" l="1"/>
  <c r="J28" i="44" s="1"/>
  <c r="H79" i="43"/>
  <c r="I79" i="43"/>
  <c r="G79" i="43"/>
  <c r="J79" i="43"/>
  <c r="G164" i="32"/>
  <c r="H164" i="32" s="1"/>
  <c r="H163" i="32"/>
  <c r="H162" i="32"/>
  <c r="G55" i="32"/>
  <c r="H55" i="32" s="1"/>
  <c r="G54" i="32"/>
  <c r="H54" i="32" s="1"/>
  <c r="G53" i="32"/>
  <c r="H53" i="32" s="1"/>
  <c r="D38" i="43"/>
  <c r="D34" i="43"/>
  <c r="D36" i="43"/>
  <c r="F79" i="43" l="1"/>
  <c r="M79" i="43" s="1"/>
  <c r="K52" i="43"/>
  <c r="E79" i="43" s="1"/>
  <c r="K79" i="43" s="1"/>
  <c r="K38" i="43"/>
  <c r="O38" i="43"/>
  <c r="P38" i="43" s="1"/>
  <c r="O39" i="43"/>
  <c r="P39" i="43" s="1"/>
  <c r="K34" i="43"/>
  <c r="O35" i="43"/>
  <c r="P35" i="43" s="1"/>
  <c r="O34" i="43"/>
  <c r="P34" i="43" s="1"/>
  <c r="K36" i="43"/>
  <c r="O37" i="43"/>
  <c r="P37" i="43" s="1"/>
  <c r="O36" i="43"/>
  <c r="P36" i="43" s="1"/>
  <c r="M52" i="43"/>
  <c r="P52" i="43" s="1"/>
  <c r="Q52" i="43" s="1"/>
  <c r="L51" i="43"/>
  <c r="L108" i="43"/>
  <c r="L130" i="43"/>
  <c r="L118" i="43"/>
  <c r="L94" i="43"/>
  <c r="L98" i="43"/>
  <c r="L102" i="43"/>
  <c r="L106" i="43"/>
  <c r="L70" i="43"/>
  <c r="L96" i="43"/>
  <c r="L134" i="43"/>
  <c r="L114" i="43"/>
  <c r="L55" i="43"/>
  <c r="L128" i="43"/>
  <c r="M63" i="43"/>
  <c r="M68" i="43"/>
  <c r="M55" i="43"/>
  <c r="M66" i="43"/>
  <c r="M61" i="43"/>
  <c r="M54" i="43"/>
  <c r="P54" i="43" s="1"/>
  <c r="Q54" i="43" s="1"/>
  <c r="M60" i="43"/>
  <c r="M72" i="43"/>
  <c r="P72" i="43" s="1"/>
  <c r="Q72" i="43" s="1"/>
  <c r="L23" i="43"/>
  <c r="L21" i="43"/>
  <c r="O21" i="43" s="1"/>
  <c r="L22" i="43"/>
  <c r="G160" i="32"/>
  <c r="I80" i="43" l="1"/>
  <c r="K59" i="43"/>
  <c r="K64" i="43"/>
  <c r="K58" i="43"/>
  <c r="L58" i="43" s="1"/>
  <c r="K62" i="43"/>
  <c r="K53" i="43"/>
  <c r="O22" i="43"/>
  <c r="P22" i="43" s="1"/>
  <c r="O23" i="43"/>
  <c r="P23" i="43" s="1"/>
  <c r="AC72" i="43"/>
  <c r="AB72" i="43"/>
  <c r="L79" i="43"/>
  <c r="AB52" i="43"/>
  <c r="AC52" i="43"/>
  <c r="AB54" i="43"/>
  <c r="AC54" i="43"/>
  <c r="L54" i="43"/>
  <c r="L60" i="43"/>
  <c r="L52" i="43"/>
  <c r="L61" i="43"/>
  <c r="L66" i="43"/>
  <c r="L68" i="43"/>
  <c r="L63" i="43"/>
  <c r="L72" i="43"/>
  <c r="F80" i="43"/>
  <c r="P21" i="43"/>
  <c r="M59" i="43"/>
  <c r="P59" i="43" s="1"/>
  <c r="Q59" i="43" s="1"/>
  <c r="L64" i="43"/>
  <c r="M57" i="43"/>
  <c r="M64" i="43"/>
  <c r="P64" i="43" s="1"/>
  <c r="Q64" i="43" s="1"/>
  <c r="M65" i="43"/>
  <c r="L59" i="43"/>
  <c r="L57" i="43"/>
  <c r="M56" i="43"/>
  <c r="P56" i="43" s="1"/>
  <c r="L65" i="43"/>
  <c r="H80" i="43"/>
  <c r="E81" i="43"/>
  <c r="K81" i="43" s="1"/>
  <c r="J80" i="43"/>
  <c r="I82" i="43"/>
  <c r="J82" i="43"/>
  <c r="G82" i="43"/>
  <c r="H82" i="43"/>
  <c r="M58" i="43"/>
  <c r="P58" i="43" s="1"/>
  <c r="Q58" i="43" s="1"/>
  <c r="G80" i="43"/>
  <c r="M69" i="43"/>
  <c r="P69" i="43" s="1"/>
  <c r="M81" i="43"/>
  <c r="L67" i="43"/>
  <c r="M67" i="43"/>
  <c r="F82" i="43"/>
  <c r="M62" i="43"/>
  <c r="P62" i="43" s="1"/>
  <c r="Q62" i="43" s="1"/>
  <c r="M53" i="43"/>
  <c r="P53" i="43" s="1"/>
  <c r="Q53" i="43" s="1"/>
  <c r="L232" i="43"/>
  <c r="L234" i="43"/>
  <c r="M234" i="43"/>
  <c r="M232" i="43"/>
  <c r="G161" i="32"/>
  <c r="AB59" i="43" l="1"/>
  <c r="AC59" i="43"/>
  <c r="AC64" i="43"/>
  <c r="AB64" i="43"/>
  <c r="AC58" i="43"/>
  <c r="AB58" i="43"/>
  <c r="L69" i="43"/>
  <c r="AC69" i="43"/>
  <c r="AB69" i="43"/>
  <c r="L81" i="43"/>
  <c r="L62" i="43"/>
  <c r="AB62" i="43"/>
  <c r="AC62" i="43"/>
  <c r="L53" i="43"/>
  <c r="AB53" i="43"/>
  <c r="AC53" i="43"/>
  <c r="O79" i="43"/>
  <c r="L56" i="43"/>
  <c r="AB56" i="43"/>
  <c r="AC56" i="43"/>
  <c r="P231" i="43"/>
  <c r="J16" i="44" s="1"/>
  <c r="I161" i="32"/>
  <c r="I167" i="32"/>
  <c r="I162" i="32"/>
  <c r="I163" i="32"/>
  <c r="O81" i="43"/>
  <c r="E82" i="43"/>
  <c r="K82" i="43" s="1"/>
  <c r="M80" i="43"/>
  <c r="M82" i="43"/>
  <c r="E80" i="43"/>
  <c r="K80" i="43" s="1"/>
  <c r="H145" i="32"/>
  <c r="H151" i="32"/>
  <c r="H143" i="32"/>
  <c r="H135" i="32"/>
  <c r="H127" i="32"/>
  <c r="H122" i="32"/>
  <c r="H107" i="32"/>
  <c r="H133" i="32"/>
  <c r="H121" i="32"/>
  <c r="H105" i="32"/>
  <c r="H125" i="32"/>
  <c r="H112" i="32"/>
  <c r="H96" i="32"/>
  <c r="H130" i="32"/>
  <c r="H118" i="32"/>
  <c r="H94" i="32"/>
  <c r="H137" i="32"/>
  <c r="H109" i="32"/>
  <c r="H150" i="32"/>
  <c r="H142" i="32"/>
  <c r="H126" i="32"/>
  <c r="H114" i="32"/>
  <c r="H106" i="32"/>
  <c r="H98" i="32"/>
  <c r="H141" i="32"/>
  <c r="H132" i="32"/>
  <c r="H120" i="32"/>
  <c r="H104" i="32"/>
  <c r="H110" i="32"/>
  <c r="H116" i="32"/>
  <c r="H108" i="32"/>
  <c r="H100" i="32"/>
  <c r="H149" i="32"/>
  <c r="H148" i="32"/>
  <c r="H147" i="32"/>
  <c r="H139" i="32"/>
  <c r="H131" i="32"/>
  <c r="H124" i="32"/>
  <c r="H119" i="32"/>
  <c r="H123" i="32"/>
  <c r="H102" i="32"/>
  <c r="H129" i="32"/>
  <c r="H117" i="32"/>
  <c r="H128" i="32"/>
  <c r="H146" i="32"/>
  <c r="H89" i="32"/>
  <c r="H92" i="32"/>
  <c r="H91" i="32"/>
  <c r="H83" i="32"/>
  <c r="H82" i="32"/>
  <c r="H75" i="32"/>
  <c r="H79" i="32"/>
  <c r="H77" i="32"/>
  <c r="H81" i="32"/>
  <c r="H84" i="32"/>
  <c r="H88" i="32"/>
  <c r="H87" i="32"/>
  <c r="H85" i="32"/>
  <c r="H86" i="32"/>
  <c r="G52" i="32"/>
  <c r="I52" i="32" s="1"/>
  <c r="H90" i="32"/>
  <c r="H159" i="32"/>
  <c r="H160" i="32"/>
  <c r="H154" i="32"/>
  <c r="H152" i="32"/>
  <c r="H153" i="32"/>
  <c r="H156" i="32"/>
  <c r="L82" i="43" l="1"/>
  <c r="L80" i="43"/>
  <c r="I58" i="32"/>
  <c r="I54" i="32"/>
  <c r="I53" i="32"/>
  <c r="H50" i="32"/>
  <c r="H34" i="32"/>
  <c r="H37" i="32"/>
  <c r="H26" i="32"/>
  <c r="H29" i="32"/>
  <c r="H47" i="32"/>
  <c r="H20" i="32"/>
  <c r="O82" i="43"/>
  <c r="O80" i="43"/>
  <c r="H44" i="32"/>
  <c r="H45" i="32"/>
  <c r="H42" i="32"/>
  <c r="H43" i="32"/>
  <c r="H40" i="32"/>
  <c r="H41" i="32"/>
  <c r="H38" i="32"/>
  <c r="H39" i="32"/>
  <c r="H35" i="32"/>
  <c r="H36" i="32"/>
  <c r="H32" i="32"/>
  <c r="H33" i="32"/>
  <c r="H30" i="32"/>
  <c r="H31" i="32"/>
  <c r="H27" i="32"/>
  <c r="H28" i="32"/>
  <c r="H22" i="32"/>
  <c r="H24" i="32"/>
  <c r="H51" i="32"/>
  <c r="F9" i="21"/>
  <c r="P79" i="43" l="1"/>
  <c r="J10" i="44" s="1"/>
  <c r="G9" i="21"/>
  <c r="D9" i="21"/>
  <c r="E9" i="21"/>
  <c r="C9" i="21"/>
  <c r="M384" i="43"/>
  <c r="P384" i="43" l="1"/>
  <c r="J22" i="44" s="1"/>
  <c r="D552" i="43"/>
  <c r="P552" i="43" s="1"/>
  <c r="P550" i="43"/>
  <c r="O602" i="43" l="1"/>
  <c r="AB550" i="43"/>
  <c r="AA550" i="43"/>
  <c r="D553" i="43"/>
  <c r="AB552" i="43"/>
  <c r="AA552" i="43"/>
  <c r="K552" i="43"/>
  <c r="L552" i="43" s="1"/>
  <c r="D551" i="43"/>
  <c r="K550" i="43"/>
  <c r="E602" i="43" s="1"/>
  <c r="K602" i="43" s="1"/>
  <c r="P551" i="43" l="1"/>
  <c r="O606" i="43"/>
  <c r="K553" i="43"/>
  <c r="P553" i="43"/>
  <c r="AB551" i="43"/>
  <c r="AA551" i="43"/>
  <c r="O603" i="43"/>
  <c r="AB553" i="43"/>
  <c r="AA553" i="43"/>
  <c r="K551" i="43"/>
  <c r="L550" i="43"/>
  <c r="E603" i="43" l="1"/>
  <c r="I603" i="43" s="1"/>
  <c r="E606" i="43"/>
  <c r="K606" i="43" s="1"/>
  <c r="H602" i="43"/>
  <c r="G602" i="43"/>
  <c r="J602" i="43"/>
  <c r="I602" i="43"/>
  <c r="F602" i="43"/>
  <c r="H603" i="43" l="1"/>
  <c r="J603" i="43"/>
  <c r="G603" i="43"/>
  <c r="F603" i="43"/>
  <c r="H606" i="43"/>
  <c r="G606" i="43"/>
  <c r="I606" i="43"/>
  <c r="J606" i="43"/>
  <c r="F606" i="43"/>
  <c r="L602" i="43"/>
  <c r="M602" i="43" s="1"/>
  <c r="AB671" i="43"/>
  <c r="F693" i="43"/>
  <c r="D723" i="43"/>
  <c r="O758" i="43" s="1"/>
  <c r="G693" i="43"/>
  <c r="J693" i="43"/>
  <c r="H693" i="43"/>
  <c r="I693" i="43"/>
  <c r="AC671" i="43"/>
  <c r="P671" i="43"/>
  <c r="K603" i="43" l="1"/>
  <c r="L603" i="43" s="1"/>
  <c r="M603" i="43" s="1"/>
  <c r="O693" i="43"/>
  <c r="L606" i="43"/>
  <c r="M606" i="43" s="1"/>
  <c r="Q602" i="43"/>
  <c r="J30" i="44" s="1"/>
  <c r="K723" i="43"/>
  <c r="E758" i="43" s="1"/>
  <c r="P723" i="43"/>
  <c r="M693" i="43"/>
  <c r="M671" i="43"/>
  <c r="E761" i="43"/>
  <c r="D724" i="43"/>
  <c r="P724" i="43" s="1"/>
  <c r="O761" i="43"/>
  <c r="AA723" i="43"/>
  <c r="AB723" i="43"/>
  <c r="P602" i="43" l="1"/>
  <c r="J29" i="44" s="1"/>
  <c r="L723" i="43"/>
  <c r="J758" i="43"/>
  <c r="I758" i="43"/>
  <c r="H758" i="43"/>
  <c r="G758" i="43"/>
  <c r="F758" i="43"/>
  <c r="F761" i="43"/>
  <c r="G761" i="43"/>
  <c r="J761" i="43"/>
  <c r="H761" i="43"/>
  <c r="I761" i="43"/>
  <c r="O762" i="43"/>
  <c r="AA724" i="43"/>
  <c r="K724" i="43"/>
  <c r="E762" i="43" s="1"/>
  <c r="AB724" i="43"/>
  <c r="E693" i="43"/>
  <c r="L671" i="43"/>
  <c r="K761" i="43" l="1"/>
  <c r="L761" i="43" s="1"/>
  <c r="K758" i="43"/>
  <c r="L758" i="43" s="1"/>
  <c r="K693" i="43"/>
  <c r="P690" i="43" s="1"/>
  <c r="J34" i="44" s="1"/>
  <c r="M758" i="43"/>
  <c r="H762" i="43"/>
  <c r="F762" i="43"/>
  <c r="I762" i="43"/>
  <c r="J762" i="43"/>
  <c r="G762" i="43"/>
  <c r="M761" i="43"/>
  <c r="P755" i="43" l="1"/>
  <c r="J35" i="44" s="1"/>
  <c r="K762" i="43"/>
  <c r="L762" i="43" s="1"/>
  <c r="L693" i="43"/>
  <c r="M762" i="43"/>
  <c r="Q755" i="43" l="1"/>
  <c r="J36" i="4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<sst xmlns="http://schemas.openxmlformats.org/spreadsheetml/2006/main" count="7506" uniqueCount="836">
  <si>
    <r>
      <rPr>
        <b/>
        <sz val="24"/>
        <color theme="1"/>
        <rFont val="Arial"/>
        <family val="2"/>
      </rPr>
      <t>SBTi Financial Institutions Net-Zero Target-Setting Tool</t>
    </r>
    <r>
      <rPr>
        <sz val="10"/>
        <color theme="1"/>
        <rFont val="Arial"/>
        <family val="2"/>
      </rPr>
      <t xml:space="preserve">
Version: 1.0
Date: September 04, 2025
Support: info@sciencebasedtargets.org</t>
    </r>
  </si>
  <si>
    <t>Terms of use</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</si>
  <si>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</si>
  <si>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Disclaimer</t>
  </si>
  <si>
    <t>Although reasonable care was taken in the preparation of this Tool, the Science Based Targets initiative (SBTi) hereby states and affirms that the Tool is provided without warranty, either expressed or implied, of accuracy, completeness or fitness for purpose. The SBTi hereby further disclaims any liability, direct or indirect, for damages or loss relating to the use of this Tool to the fullest extent permitted by law. This Tool is based on a voluntary framework or procedures and is not intended to replace the legal or regulatory requirements of any country. 
Developing science-based targets is a multi-step process and appropriate company-wide science-based targets can only be developed after careful consideration of the necessary input data such as financial exposure, climate-alignment of counterparties, and emissions. Only then should science-based targets be developed. The SBTi does not examine, verify or hold all of the input data provided by users of the Tool.
The information (including data) contained in the Tool is not intended to constitute or form the basis of any advice (financial or otherwise). The Tool relies on data obtained from a variety of third-party sources. This data was obtained from sources believed by SBTi be reliable, but there can be no assurance as to the accuracy or completeness of this data. Further, scenarios and assumptions included in the Tool are inherently uncertain due to events or combinations of events that cannot reasonably be foreseen, including, without limitation, the actions of governments, organizations and individuals. The SBTi does not accept any liability for any claim or loss arising from any use of or reliance on any data or information in the Tool. 
This Tool is protected by copyright. Information or material from this Tool may be reproduced only in unaltered form for personal, non-commercial use. All other rights are reserved. Information or material used from this Tool may be used only for the purposes of private study, research, criticism, or review permitted under the Copyright Designs &amp; Patents Act 1988 as amended from time to time ('Copyright Act'). Any reproduction permitted in accordance with the Copyright Act shall acknowledge this Tool as the source of any selected passage, extract, diagram, content or other information. 
The SBTi reserves the right to revise or withdraw this Tool according to a set revision schedule or as advisable to reflect the most recent emissions scenarios, regulatory, legal or scientific developments, and GHG accounting best practices, and will not be liable if for any reason the Tool is unavailable at any time or for any period. 
“Science Based Targets initiative” and “SBTi” refer to the Science Based Targets initiative, a private company registered in England number 14960097 and registered as a UK Charity number 1205768. © SBTi 2025</t>
  </si>
  <si>
    <t>References</t>
  </si>
  <si>
    <t>Science Based Targets initiative financial institutions website</t>
  </si>
  <si>
    <t>Tool Documentation</t>
  </si>
  <si>
    <t>Financial Institutions Target-setting Resources</t>
  </si>
  <si>
    <t>History of revisions</t>
  </si>
  <si>
    <t xml:space="preserve">Version </t>
  </si>
  <si>
    <t>Release date</t>
  </si>
  <si>
    <t>Description</t>
  </si>
  <si>
    <t>September 04, 2025</t>
  </si>
  <si>
    <t>First release.</t>
  </si>
  <si>
    <t>Acronyms and definitions</t>
  </si>
  <si>
    <t>FLAG</t>
  </si>
  <si>
    <t>Forest, Land, and Agriculture</t>
  </si>
  <si>
    <t>IEA NZE</t>
  </si>
  <si>
    <t>International Energy Agency Net Zero Emissions by 2050 Scenario</t>
  </si>
  <si>
    <t>MW</t>
  </si>
  <si>
    <t>Megawatt</t>
  </si>
  <si>
    <t>MWh</t>
  </si>
  <si>
    <t>Megawatt-Hour</t>
  </si>
  <si>
    <t>OECD</t>
  </si>
  <si>
    <t>Organization for Economic Co-operation and Development</t>
  </si>
  <si>
    <t>RPK</t>
  </si>
  <si>
    <t>Revenue Passenger Kilometers</t>
  </si>
  <si>
    <t>RTK</t>
  </si>
  <si>
    <t>Revenue Tonne Kilometers</t>
  </si>
  <si>
    <t>SBTi 1.5˚C</t>
  </si>
  <si>
    <t>Climate Scenario Aligned with Limiting Global Warming to 1.5˚C</t>
  </si>
  <si>
    <t>tCO2e</t>
  </si>
  <si>
    <t>Tonne of Carbon Dioxide Equivalent</t>
  </si>
  <si>
    <t>v.km</t>
  </si>
  <si>
    <t>Vehicle-Kilometer</t>
  </si>
  <si>
    <t>ZEV</t>
  </si>
  <si>
    <t>Zero-Emissions Vehicle</t>
  </si>
  <si>
    <r>
      <rPr>
        <b/>
        <sz val="24"/>
        <color theme="1"/>
        <rFont val="Arial"/>
        <family val="2"/>
      </rPr>
      <t>SBTi Financial Institutions Net-Zero Target-Setting Tool</t>
    </r>
    <r>
      <rPr>
        <sz val="10"/>
        <color theme="1"/>
        <rFont val="Arial"/>
        <family val="2"/>
      </rPr>
      <t xml:space="preserve">
Version: 1.0
Date: September 04, 2025
Support: </t>
    </r>
    <r>
      <rPr>
        <sz val="10"/>
        <rFont val="Arial"/>
        <family val="2"/>
      </rPr>
      <t>financialinstitutions@sciencebasedtargets.org</t>
    </r>
  </si>
  <si>
    <t>QUICK GUIDE</t>
  </si>
  <si>
    <t xml:space="preserve">How to navigate this tool </t>
  </si>
  <si>
    <t>README</t>
  </si>
  <si>
    <t>FINANCIAL ACTIVITY SEGMENTATION</t>
  </si>
  <si>
    <t>CLIMATE-ALIGNMENT TARGET</t>
  </si>
  <si>
    <t>CLIMATE-ALIGNMENT SUMMARY</t>
  </si>
  <si>
    <t>Please review our terms of use, disclaimer, and history of revisions made to this tool.</t>
  </si>
  <si>
    <t>Summary table of climate-alignment targets to support population of the Financial Institutions Net-Zero Standard Submission Form.</t>
  </si>
  <si>
    <t>Summary tables of sector targets to support population of the Financial Institutions Net-Zero Submission Form.</t>
  </si>
  <si>
    <t>Database of the pathways used to determine the benchmark emissions intensity, technology share, or absolute emissions in the target year.</t>
  </si>
  <si>
    <t>Using the financial activity segmentation</t>
  </si>
  <si>
    <t xml:space="preserve">Navigate to the applicable tab with the relevant in-scope financial activity. </t>
  </si>
  <si>
    <t xml:space="preserve">Select whether to provide aggregate numbers (at the segment level) or at the sector or sub-asset class level. </t>
  </si>
  <si>
    <t>After having selected those parameters, proceed filling out the tables following the indicated steps to inform the various checks as well the provision of data required in the Financial Institutions Net-Zero Standard.</t>
  </si>
  <si>
    <t>Using the Climate-Alignment Target tool</t>
  </si>
  <si>
    <t>Navigate to the applicable financial activity. See guidance box at the top for the relevant starting row.</t>
  </si>
  <si>
    <t>Select the base year and target year. The tool derives most data automatically if the corresponding segmentation tab is filled. Provision of additional information is only necessary in case regional differentiation is selected.</t>
  </si>
  <si>
    <t xml:space="preserve">The cells for near-term target - "overall climate-alignment" and long-term "target ambition" contain the relevant numbers to enter into the Financial Institutions Net-Zero Standard Submission Form. </t>
  </si>
  <si>
    <t>Using the Sector Target-Setting Tool</t>
  </si>
  <si>
    <t>Navigate to the applicable sector.</t>
  </si>
  <si>
    <t xml:space="preserve">Select the base year, target year, and for applicable sectors, the pathway. Provide the base year emissions and activity data and the proposed target. </t>
  </si>
  <si>
    <t>The Sector Target-Setting Tool will assess whether the base year data aligns with the pathway.</t>
  </si>
  <si>
    <t>The Sector Target-Setting Tool will also return the benchmark target year value and assess whether the proposed target meets this minimum ambition.</t>
  </si>
  <si>
    <t>Review summary of the results from all sectors in the "Sector Summary" tab.</t>
  </si>
  <si>
    <t>If sector targets are set for various financial activities, repeat the sector target calculation per in-scope financial activity type (LND, AOI, etc.) and copy paste the results from the Sector Summary tab to the Financial Institutions Net-Zero Standard Submission Form.</t>
  </si>
  <si>
    <t>SBT online resources</t>
  </si>
  <si>
    <t>Portfolio boundary: Assessment of in-scope financial activities</t>
  </si>
  <si>
    <r>
      <rPr>
        <i/>
        <sz val="14"/>
        <color rgb="FF7030A0"/>
        <rFont val="Arial (Body)"/>
      </rPr>
      <t>Guidance:</t>
    </r>
    <r>
      <rPr>
        <i/>
        <sz val="14"/>
        <color rgb="FF000000"/>
        <rFont val="Arial"/>
        <family val="2"/>
        <scheme val="minor"/>
      </rPr>
      <t xml:space="preserve">
1. Indicate the share of revenue from each financial activity type and the year used to calculate it.
2. Indicate whether or not the FI will be following the Financial Institutions Net-Zero Standard for each financial activity type. 
3. For the segmentation of financial activities to be completed in the (LND, AOI, AMI, INS, CMA) Segmentation tabs of this file (as required per FINZ-C3), select a financial metric, currency and base year for each financial activity type covered by net-zero targets.</t>
    </r>
  </si>
  <si>
    <t>Table 1: Portfolio Boundary</t>
  </si>
  <si>
    <t>Financial activity type</t>
  </si>
  <si>
    <t>Other</t>
  </si>
  <si>
    <t>Lending (LND)</t>
  </si>
  <si>
    <t>Asset Owner Investing (AOI)</t>
  </si>
  <si>
    <t xml:space="preserve">Asset Manager Investing (AMI)  </t>
  </si>
  <si>
    <t>Insurance Underwriting (INS)</t>
  </si>
  <si>
    <t>Capital Market Activities (CMA)</t>
  </si>
  <si>
    <t>Select whether the financial exposure of the financial activity type will be calculated for the segmentation exercise in the 'Segmentation' tabs</t>
  </si>
  <si>
    <t>Select the financial metric(s) used to calculate financial exposure</t>
  </si>
  <si>
    <t>*State the time frame used if setting CMA targets on a cumulative basis</t>
  </si>
  <si>
    <r>
      <t xml:space="preserve">Segmentation of </t>
    </r>
    <r>
      <rPr>
        <b/>
        <sz val="16"/>
        <color theme="0"/>
        <rFont val="Arial (Body)"/>
      </rPr>
      <t>financial</t>
    </r>
    <r>
      <rPr>
        <b/>
        <sz val="16"/>
        <color theme="0"/>
        <rFont val="Arial"/>
        <family val="2"/>
        <scheme val="minor"/>
      </rPr>
      <t xml:space="preserve"> activities</t>
    </r>
  </si>
  <si>
    <t>Table 2.1: Lending (LND): Segmentation, Base year assessment of target metric(s)</t>
  </si>
  <si>
    <t>Climate-Alignment Targets</t>
  </si>
  <si>
    <r>
      <rPr>
        <i/>
        <sz val="14"/>
        <color rgb="FF7030A0"/>
        <rFont val="Arial (Body)"/>
      </rPr>
      <t xml:space="preserve">Guidance: </t>
    </r>
    <r>
      <rPr>
        <i/>
        <sz val="14"/>
        <color theme="1"/>
        <rFont val="Arial"/>
        <family val="2"/>
        <scheme val="minor"/>
      </rPr>
      <t>Fill in the tables in this section if only climate-alignment targets are being set for segments B, C, and D.
- If so, first f</t>
    </r>
    <r>
      <rPr>
        <i/>
        <sz val="14"/>
        <color theme="1"/>
        <rFont val="Arial (Body)"/>
      </rPr>
      <t>ill in cells D9:E12 to indicate if climate-alignment targets are being set at the segment, sector, or sub-asset class level, or are not applicable for each segment.</t>
    </r>
  </si>
  <si>
    <t>At which level are climate-alignments targets being set for Segment A?</t>
  </si>
  <si>
    <r>
      <rPr>
        <i/>
        <u/>
        <sz val="12"/>
        <color rgb="FF7030A0"/>
        <rFont val="Arial (Body)"/>
      </rPr>
      <t>Segments A, B, C, and D</t>
    </r>
    <r>
      <rPr>
        <i/>
        <sz val="12"/>
        <color rgb="FF7030A0"/>
        <rFont val="Arial"/>
        <family val="2"/>
        <scheme val="minor"/>
      </rPr>
      <t>:</t>
    </r>
    <r>
      <rPr>
        <i/>
        <sz val="12"/>
        <color theme="1"/>
        <rFont val="Arial"/>
        <family val="2"/>
        <scheme val="minor"/>
      </rPr>
      <t xml:space="preserve">
- "N/A" in case the FI does not have exposure in the respective segment.
- "All of Segment" climate-alignment targets cover the entire segment (i.e., all sectors and sub-asset classs within the segment).
- "By sub-asset class" (or "by sector") climate-alignment targets cover the entire sub-asset class (or the entire sector), but not a whole segment.</t>
    </r>
  </si>
  <si>
    <t>At which level are climate-alignments targets being set for Segment B?</t>
  </si>
  <si>
    <t>At which level are climate-alignments targets being set for Segment C?</t>
  </si>
  <si>
    <t>At which level are climate-alignments targets being set for Segment D?</t>
  </si>
  <si>
    <r>
      <rPr>
        <i/>
        <sz val="14"/>
        <color rgb="FF7030A0"/>
        <rFont val="Arial (Body)"/>
      </rPr>
      <t xml:space="preserve">Guidance: </t>
    </r>
    <r>
      <rPr>
        <i/>
        <sz val="14"/>
        <color theme="1"/>
        <rFont val="Arial (Body)"/>
      </rPr>
      <t>Second, follow the 5 steps for each row and fill in only the blue cells if relevant (the blue formating follows the selection in D9:E12 and the preceding steps as you progress).</t>
    </r>
  </si>
  <si>
    <r>
      <rPr>
        <i/>
        <sz val="14"/>
        <color rgb="FF7030A0"/>
        <rFont val="Arial (Body)"/>
      </rPr>
      <t xml:space="preserve">Step 1 Guidance: </t>
    </r>
    <r>
      <rPr>
        <i/>
        <sz val="14"/>
        <color theme="1"/>
        <rFont val="Arial (Body)"/>
      </rPr>
      <t>Fill in the total financial exposure for each row for which you have exposure to.
- For the same rows, also fill in the scope 1 and 2 emissions of all portfolio counterparties for at least segments A, B, and C as well as the scope 1, 2, and 3 emissions of portfolio counterparties for at least the automotive, coal, oil and gas, and real estate sectors.</t>
    </r>
  </si>
  <si>
    <r>
      <rPr>
        <i/>
        <sz val="14"/>
        <color rgb="FF7030A0"/>
        <rFont val="Arial (Body)"/>
      </rPr>
      <t xml:space="preserve">Step 2 Guidance: </t>
    </r>
    <r>
      <rPr>
        <i/>
        <sz val="14"/>
        <color theme="1"/>
        <rFont val="Arial (Body)"/>
      </rPr>
      <t xml:space="preserve">Put a checkmark for the rows that are covered by a near-term climate-alignment target or near-term sector target (or both).
- For the same rows, enter a Target ID that matches those that are entered in the submission form:
</t>
    </r>
    <r>
      <rPr>
        <i/>
        <sz val="14"/>
        <color rgb="FF7030A0"/>
        <rFont val="Arial (Body)"/>
      </rPr>
      <t>NT-CA#</t>
    </r>
    <r>
      <rPr>
        <i/>
        <sz val="14"/>
        <color theme="1"/>
        <rFont val="Arial (Body)"/>
      </rPr>
      <t xml:space="preserve"> (near-term climate-alignment)
</t>
    </r>
    <r>
      <rPr>
        <i/>
        <sz val="14"/>
        <color rgb="FF7030A0"/>
        <rFont val="Arial (Body)"/>
      </rPr>
      <t>LT-CA#</t>
    </r>
    <r>
      <rPr>
        <i/>
        <sz val="14"/>
        <color theme="1"/>
        <rFont val="Arial (Body)"/>
      </rPr>
      <t xml:space="preserve"> (long-term climate-alignment)
</t>
    </r>
    <r>
      <rPr>
        <i/>
        <sz val="14"/>
        <color rgb="FF7030A0"/>
        <rFont val="Arial (Body)"/>
      </rPr>
      <t xml:space="preserve">NT-Ph# </t>
    </r>
    <r>
      <rPr>
        <i/>
        <sz val="14"/>
        <color theme="1"/>
        <rFont val="Arial (Body)"/>
      </rPr>
      <t xml:space="preserve">(near-term phaseout))
</t>
    </r>
    <r>
      <rPr>
        <i/>
        <sz val="14"/>
        <color rgb="FF7030A0"/>
        <rFont val="Arial (Body)"/>
      </rPr>
      <t>LT-Ph#</t>
    </r>
    <r>
      <rPr>
        <i/>
        <sz val="14"/>
        <color theme="1"/>
        <rFont val="Arial (Body)"/>
      </rPr>
      <t xml:space="preserve"> (long-term phaseout)
</t>
    </r>
    <r>
      <rPr>
        <i/>
        <sz val="14"/>
        <color rgb="FF7030A0"/>
        <rFont val="Arial (Body)"/>
      </rPr>
      <t>NT-P-ABS</t>
    </r>
    <r>
      <rPr>
        <i/>
        <sz val="14"/>
        <color theme="1"/>
        <rFont val="Arial (Body)"/>
      </rPr>
      <t xml:space="preserve"> (near-term sector absolute contraction)
</t>
    </r>
    <r>
      <rPr>
        <i/>
        <sz val="14"/>
        <color rgb="FF7030A0"/>
        <rFont val="Arial (Body)"/>
      </rPr>
      <t xml:space="preserve">NT-PIC# </t>
    </r>
    <r>
      <rPr>
        <i/>
        <sz val="14"/>
        <color theme="1"/>
        <rFont val="Arial (Body)"/>
      </rPr>
      <t xml:space="preserve">(near-term portfolio intensity convergence)
</t>
    </r>
    <r>
      <rPr>
        <i/>
        <sz val="14"/>
        <color rgb="FF7030A0"/>
        <rFont val="Arial (Body)"/>
      </rPr>
      <t>NT-PIA#</t>
    </r>
    <r>
      <rPr>
        <i/>
        <sz val="14"/>
        <color theme="1"/>
        <rFont val="Arial (Body)"/>
      </rPr>
      <t xml:space="preserve"> (near-term portfolio index alignment)
- Some sectors have two sector metrics that each have their own row in Step 2.</t>
    </r>
  </si>
  <si>
    <r>
      <rPr>
        <i/>
        <sz val="14"/>
        <color rgb="FF7030A0"/>
        <rFont val="Arial (Body)"/>
      </rPr>
      <t xml:space="preserve">Step 3 Guidance: </t>
    </r>
    <r>
      <rPr>
        <i/>
        <sz val="14"/>
        <color theme="1"/>
        <rFont val="Arial (Body)"/>
      </rPr>
      <t>Break down the financial exposure of each row into the below categories (whether a climate-alignment target is being set or not).
- Financial institutions may use climate-alignment methodologies in the Implementation List or use sector metrics (via a benchmark divergence assessment) to classify counterparties. A selected eligible methodology shall be used until the end of the near-term target time frame.
- The amount of financial exposure of each row that is covered by a near-term climate-alignment target will autopopulate from the sum of financial exposure to all climate-alignment categories.
- If the minimum 67% target coverage of segments A, B, C, and D is met based on GHG emissions, then also provide the GHG emissions of each row that is covered by a near-term climate-alignment target.</t>
    </r>
  </si>
  <si>
    <r>
      <rPr>
        <i/>
        <sz val="14"/>
        <color rgb="FF7030A0"/>
        <rFont val="Arial (Body)"/>
      </rPr>
      <t xml:space="preserve">Step 4 Guidance: </t>
    </r>
    <r>
      <rPr>
        <i/>
        <sz val="14"/>
        <color theme="1"/>
        <rFont val="Arial (Body)"/>
      </rPr>
      <t>Indicate the amount of financial exposure that is covered by the near-term sector target metric listed in each row (if any).
- If the minimum 67% target coverage of segments A, B, C, and D is met based on GHG emissions, then also provide the GHG emissions that is covered by the near-term sector target metric listed in each row (if any).</t>
    </r>
  </si>
  <si>
    <r>
      <rPr>
        <i/>
        <sz val="14"/>
        <color rgb="FF7030A0"/>
        <rFont val="Arial (Body)"/>
      </rPr>
      <t xml:space="preserve">Step 5 Guidance: </t>
    </r>
    <r>
      <rPr>
        <i/>
        <sz val="14"/>
        <color theme="1"/>
        <rFont val="Arial (Body)"/>
      </rPr>
      <t>Indicate the amount of financial exposure in each row that is covered by two near-term targets (i.e., both climate-alignment and sector), if any.
- If the minimum 67% target coverage of segments A, B, C, and D is met based on GHG emissions, then also provide the GHG emissions of each row that is covered by two near-term targets (i.e., both climate-alignment and  sector), if any.</t>
    </r>
  </si>
  <si>
    <r>
      <rPr>
        <i/>
        <sz val="14"/>
        <color rgb="FF7030A0"/>
        <rFont val="Arial (Body)"/>
      </rPr>
      <t xml:space="preserve">Checks: </t>
    </r>
    <r>
      <rPr>
        <i/>
        <sz val="14"/>
        <color theme="1"/>
        <rFont val="Arial (Body)"/>
      </rPr>
      <t>Recheck the inputs for any row in segments A, B, and C with a "Review financial exposure" or "Review emissions" or "Missing Info" message and correct until an "OK" message appears.
- The total financial exposure (and total gross portfolio GHG emissions if relevant) in Step 1 should equal the amounts in Steps 3 and 4 minus the amount in Step 5.
- If GHG emissions are not relevant for Steps 3-5, then ignore any "Missing Info" message in the last column.
- The check for each row in segment D is for reference only, if targets are not being set for segment D. A minimum of 67% of segments A, B, C, and D must be covered by near-term targets.</t>
    </r>
  </si>
  <si>
    <t>Step 1: Segmentation</t>
  </si>
  <si>
    <t>Step 2: Near-term target coverage</t>
  </si>
  <si>
    <t>Step 3: Base-year assessment of climate-alignment categories</t>
  </si>
  <si>
    <t>Step 4: Base-year assessment of sector metrics</t>
  </si>
  <si>
    <t>Step 5: Overlap of near-term climate-alignment and sector targets</t>
  </si>
  <si>
    <t>Segment</t>
  </si>
  <si>
    <t>Segment / Sub-sector / Sub-asset class</t>
  </si>
  <si>
    <t>Not assessed</t>
  </si>
  <si>
    <t>Not aligned</t>
  </si>
  <si>
    <t>In transition</t>
  </si>
  <si>
    <t>Climate solutions</t>
  </si>
  <si>
    <t>Net-zero state</t>
  </si>
  <si>
    <t>Financial exposure covered by near-term climate-alignment target</t>
  </si>
  <si>
    <t>Metric used</t>
  </si>
  <si>
    <t>matching column</t>
  </si>
  <si>
    <r>
      <rPr>
        <b/>
        <u/>
        <sz val="12"/>
        <color theme="1"/>
        <rFont val="Arial (Body)"/>
      </rPr>
      <t>SEGMENT A</t>
    </r>
    <r>
      <rPr>
        <b/>
        <sz val="12"/>
        <color theme="1"/>
        <rFont val="Arial"/>
        <family val="2"/>
        <scheme val="minor"/>
      </rPr>
      <t>: COAL TARGETS</t>
    </r>
  </si>
  <si>
    <t>A</t>
  </si>
  <si>
    <t>Coal sector in Segment A</t>
  </si>
  <si>
    <r>
      <t>tCO</t>
    </r>
    <r>
      <rPr>
        <vertAlign val="subscript"/>
        <sz val="12"/>
        <color rgb="FF000000"/>
        <rFont val="Arial"/>
        <family val="2"/>
        <scheme val="minor"/>
      </rPr>
      <t>2</t>
    </r>
    <r>
      <rPr>
        <sz val="12"/>
        <color rgb="FF000000"/>
        <rFont val="Arial"/>
        <family val="2"/>
        <scheme val="minor"/>
      </rPr>
      <t>e</t>
    </r>
  </si>
  <si>
    <t>Segment A</t>
  </si>
  <si>
    <t>$ financial exposure</t>
  </si>
  <si>
    <t>Coal sub-sector</t>
  </si>
  <si>
    <t>Long- and short-term loans to (listed and private) corporates and small- and medium-sized enterprises (SMEs) in the fossil fuel sector</t>
  </si>
  <si>
    <t>Fossil fuel project finance</t>
  </si>
  <si>
    <r>
      <rPr>
        <b/>
        <u/>
        <sz val="12"/>
        <color theme="1"/>
        <rFont val="Arial (Body)"/>
      </rPr>
      <t>SEGMENT B</t>
    </r>
    <r>
      <rPr>
        <b/>
        <sz val="12"/>
        <color theme="1"/>
        <rFont val="Arial"/>
        <family val="2"/>
        <scheme val="minor"/>
      </rPr>
      <t>: CLIMATE-ALIGNMENT TARGETS ONLY</t>
    </r>
  </si>
  <si>
    <t>B</t>
  </si>
  <si>
    <t>All of Segment B</t>
  </si>
  <si>
    <t>Segment B</t>
  </si>
  <si>
    <t>By sub-asset class</t>
  </si>
  <si>
    <t>Long- and short-term loans to (listed and private) corporates in other emissions-intensive sectors</t>
  </si>
  <si>
    <t>Real estate project finance for new buildings</t>
  </si>
  <si>
    <t>Project finance in other emissions-intensive sectors</t>
  </si>
  <si>
    <t>Long-term (one year or more) commercial real estate asset loans</t>
  </si>
  <si>
    <r>
      <rPr>
        <b/>
        <u/>
        <sz val="12"/>
        <color theme="1"/>
        <rFont val="Arial (Body)"/>
      </rPr>
      <t>SEGMENT C</t>
    </r>
    <r>
      <rPr>
        <b/>
        <sz val="12"/>
        <color theme="1"/>
        <rFont val="Arial"/>
        <family val="2"/>
        <scheme val="minor"/>
      </rPr>
      <t>: CLIMATE-ALIGNMENT TARGETS ONLY</t>
    </r>
  </si>
  <si>
    <t>C</t>
  </si>
  <si>
    <t>All of Segment C</t>
  </si>
  <si>
    <t>Segment C</t>
  </si>
  <si>
    <t>Long- and short-term loans to (listed and private) corporates in other sectors</t>
  </si>
  <si>
    <t>Project finance (e.g., infrastructure project/assets) in other sectors</t>
  </si>
  <si>
    <r>
      <rPr>
        <b/>
        <u/>
        <sz val="12"/>
        <color theme="1"/>
        <rFont val="Arial (Body)"/>
      </rPr>
      <t>SEGMENT D</t>
    </r>
    <r>
      <rPr>
        <b/>
        <sz val="12"/>
        <color theme="1"/>
        <rFont val="Arial"/>
        <family val="2"/>
        <scheme val="minor"/>
      </rPr>
      <t>: CLIMATE-ALIGNMENT TARGETS ONLY</t>
    </r>
  </si>
  <si>
    <t>D</t>
  </si>
  <si>
    <t>All of Segment D</t>
  </si>
  <si>
    <t>Segment D</t>
  </si>
  <si>
    <t>Consumer loans: residential mortgages and lifetime mortgages</t>
  </si>
  <si>
    <t>Consumer loans: motor vehicle loans</t>
  </si>
  <si>
    <t>Long- and short-term loans to (listed and private) SMEs in non-fossil fuel sectors</t>
  </si>
  <si>
    <t>Real estate project finance for existing buildings</t>
  </si>
  <si>
    <t>Short-term (less than one year) commercial real estate asset loans</t>
  </si>
  <si>
    <t>Out-of-Scope</t>
  </si>
  <si>
    <t>Loans related to assets with no operational emissions (e.g., land or vacant buildings)</t>
  </si>
  <si>
    <t>Other consumer loans</t>
  </si>
  <si>
    <t>Supranational, sovereign, sub-sovereign (including municipal), government, and government agency loans</t>
  </si>
  <si>
    <t>Margin-based and securities-based lending</t>
  </si>
  <si>
    <t>[Other: Enter description if applicable]</t>
  </si>
  <si>
    <t>Results</t>
  </si>
  <si>
    <t>Value ($)</t>
  </si>
  <si>
    <t>Share of total (%)</t>
  </si>
  <si>
    <t>Absolute financial exposure to in-scope LND activities</t>
  </si>
  <si>
    <t>Absolute financial exposure to out-of--scope LND activities</t>
  </si>
  <si>
    <t>Total absolute financial exposure to LND activities</t>
  </si>
  <si>
    <r>
      <rPr>
        <i/>
        <sz val="14"/>
        <color rgb="FF7030A0"/>
        <rFont val="Arial (Body)"/>
      </rPr>
      <t xml:space="preserve">Guidance: </t>
    </r>
    <r>
      <rPr>
        <i/>
        <sz val="14"/>
        <color theme="1"/>
        <rFont val="Arial (Body)"/>
      </rPr>
      <t>Recheck the inputs in the above table if there is a "Error..." message and correct until the following messages appear:
- an "Exposure OK" message, and
- a "Coverage OK" message for segments A+B+C, and
- at least one "Coverage OK" message for segments A+B+C+D (i.e., either based on financial exposure or portfolio GHG emissions).</t>
    </r>
  </si>
  <si>
    <t>Absolute financial exposure in LND segments A+B+C covered with targets</t>
  </si>
  <si>
    <r>
      <t xml:space="preserve">Absolute financial exposure in LND segments A+B+C+D covered by targets
</t>
    </r>
    <r>
      <rPr>
        <b/>
        <sz val="12"/>
        <color theme="0" tint="-0.499984740745262"/>
        <rFont val="Arial"/>
        <family val="2"/>
        <scheme val="minor"/>
      </rPr>
      <t>(min &gt;67%)</t>
    </r>
  </si>
  <si>
    <t>Covered by Climate-alignment targets</t>
  </si>
  <si>
    <t>Covered by Sector targets</t>
  </si>
  <si>
    <t>Covered by both target types</t>
  </si>
  <si>
    <r>
      <t xml:space="preserve">Gross portfolio GHG emissions from LND segments A+B+C+D covered by targets
</t>
    </r>
    <r>
      <rPr>
        <b/>
        <sz val="12"/>
        <color theme="0" tint="-0.499984740745262"/>
        <rFont val="Arial"/>
        <family val="2"/>
        <scheme val="minor"/>
      </rPr>
      <t>(min &gt;67%)</t>
    </r>
  </si>
  <si>
    <t>Mix of Sector and Climate-Alignment Targets</t>
  </si>
  <si>
    <r>
      <rPr>
        <i/>
        <sz val="14"/>
        <color rgb="FF7030A0"/>
        <rFont val="Arial (Body)"/>
      </rPr>
      <t xml:space="preserve">Guidance: </t>
    </r>
    <r>
      <rPr>
        <i/>
        <sz val="14"/>
        <color theme="1"/>
        <rFont val="Arial (Body)"/>
      </rPr>
      <t xml:space="preserve">Fill in the tables in this section if a mix of climate-alignment and sector targets are being set for segments B, C, and D. </t>
    </r>
    <r>
      <rPr>
        <i/>
        <sz val="14"/>
        <color theme="1"/>
        <rFont val="Arial"/>
        <family val="2"/>
        <scheme val="minor"/>
      </rPr>
      <t xml:space="preserve">
</t>
    </r>
    <r>
      <rPr>
        <i/>
        <sz val="14"/>
        <color theme="1"/>
        <rFont val="Arial (Body)"/>
      </rPr>
      <t>- If so, first fill in cells D64:E67 to indicate if targets are being set at the segment, sector, or sub-asset class level, or are not applicable for each segment.</t>
    </r>
  </si>
  <si>
    <t>At which level are targets being set for Segment A?</t>
  </si>
  <si>
    <t>At which level are targets being set for Segment B?</t>
  </si>
  <si>
    <t>At which level are targets being set for Segment C?</t>
  </si>
  <si>
    <t>At which level are targets being set for Segment D?</t>
  </si>
  <si>
    <r>
      <rPr>
        <i/>
        <sz val="14"/>
        <color rgb="FF7030A0"/>
        <rFont val="Arial (Body)"/>
      </rPr>
      <t>Guidance:</t>
    </r>
    <r>
      <rPr>
        <i/>
        <sz val="14"/>
        <color rgb="FF7030A0"/>
        <rFont val="Arial"/>
        <family val="2"/>
        <scheme val="minor"/>
      </rPr>
      <t xml:space="preserve"> </t>
    </r>
    <r>
      <rPr>
        <i/>
        <sz val="14"/>
        <color theme="1"/>
        <rFont val="Arial (Body)"/>
      </rPr>
      <t>Second, follow the 5 steps for each row and fill in only the blue cells if relevant (the blue formating follows the selection in D64:E67) and the preceding steps as you progress.
- Fill in the [Fossil fuel/Transport/Industrial/Energy/FLAG/Building] "sector in Segment A/B/D" rows only where targets cover a sector across the sub-asset classes listed below the [Fossil fuel/Transport/Industrial/Energy/FLAG/Building] "sector in Segment A/B/D" row.</t>
    </r>
  </si>
  <si>
    <t>alignm</t>
  </si>
  <si>
    <t>sec</t>
  </si>
  <si>
    <t>Fossil fuel</t>
  </si>
  <si>
    <t>A_Coal</t>
  </si>
  <si>
    <t>A_O&amp;G</t>
  </si>
  <si>
    <t>B_All</t>
  </si>
  <si>
    <r>
      <rPr>
        <b/>
        <u/>
        <sz val="12"/>
        <color theme="1"/>
        <rFont val="Arial (Body)"/>
      </rPr>
      <t>SEGMENT B</t>
    </r>
    <r>
      <rPr>
        <b/>
        <sz val="12"/>
        <color theme="1"/>
        <rFont val="Arial"/>
        <family val="2"/>
        <scheme val="minor"/>
      </rPr>
      <t>: SECTOR OR CLIMATE-ALIGNMENT TARGETS</t>
    </r>
  </si>
  <si>
    <t>Transport</t>
  </si>
  <si>
    <t>Air transport sector in Segment B</t>
  </si>
  <si>
    <r>
      <t>gCO</t>
    </r>
    <r>
      <rPr>
        <vertAlign val="subscript"/>
        <sz val="12"/>
        <color rgb="FF000000"/>
        <rFont val="Arial"/>
        <family val="2"/>
        <scheme val="minor"/>
      </rPr>
      <t>2</t>
    </r>
    <r>
      <rPr>
        <sz val="12"/>
        <color rgb="FF000000"/>
        <rFont val="Arial"/>
        <family val="2"/>
        <scheme val="minor"/>
      </rPr>
      <t>e/RTK</t>
    </r>
  </si>
  <si>
    <t>B_Air</t>
  </si>
  <si>
    <t>Air</t>
  </si>
  <si>
    <t>Maritime transport sector in Segment B</t>
  </si>
  <si>
    <t>t CO2e/t.nautical mile</t>
  </si>
  <si>
    <t>B_Maritime</t>
  </si>
  <si>
    <t>gCO2e/dwt-nm</t>
  </si>
  <si>
    <t>Maritime</t>
  </si>
  <si>
    <t>Land transport sector in Segment B</t>
  </si>
  <si>
    <t>gCO2e/v.km</t>
  </si>
  <si>
    <t>B_Land</t>
  </si>
  <si>
    <t>% new ZEV cars and vans</t>
  </si>
  <si>
    <t>Land</t>
  </si>
  <si>
    <t>Industrial</t>
  </si>
  <si>
    <t>Steel sector in Segment B</t>
  </si>
  <si>
    <r>
      <t>tCO</t>
    </r>
    <r>
      <rPr>
        <vertAlign val="subscript"/>
        <sz val="12"/>
        <color rgb="FF000000"/>
        <rFont val="Arial"/>
        <family val="2"/>
        <scheme val="minor"/>
      </rPr>
      <t>2</t>
    </r>
    <r>
      <rPr>
        <sz val="12"/>
        <color rgb="FF000000"/>
        <rFont val="Arial"/>
        <family val="2"/>
        <scheme val="minor"/>
      </rPr>
      <t>e/t steel</t>
    </r>
  </si>
  <si>
    <t>B_Steel</t>
  </si>
  <si>
    <t>Steel</t>
  </si>
  <si>
    <t>Cement sector in Segment B</t>
  </si>
  <si>
    <r>
      <t>tCO</t>
    </r>
    <r>
      <rPr>
        <vertAlign val="subscript"/>
        <sz val="12"/>
        <color rgb="FF000000"/>
        <rFont val="Arial"/>
        <family val="2"/>
        <scheme val="minor"/>
      </rPr>
      <t>2</t>
    </r>
    <r>
      <rPr>
        <sz val="12"/>
        <color rgb="FF000000"/>
        <rFont val="Arial"/>
        <family val="2"/>
        <scheme val="minor"/>
      </rPr>
      <t>e/t cementitious product</t>
    </r>
  </si>
  <si>
    <t>B_Cement</t>
  </si>
  <si>
    <t>Cement</t>
  </si>
  <si>
    <t>Energy</t>
  </si>
  <si>
    <t>Power generation sector in Segment B</t>
  </si>
  <si>
    <t>tCO2e/ MWh</t>
  </si>
  <si>
    <t>B_Power</t>
  </si>
  <si>
    <t>% zero carbon generation</t>
  </si>
  <si>
    <t>Power generation</t>
  </si>
  <si>
    <t>FLAG sector in Segment B</t>
  </si>
  <si>
    <r>
      <t>tCO</t>
    </r>
    <r>
      <rPr>
        <vertAlign val="subscript"/>
        <sz val="12"/>
        <color rgb="FF000000"/>
        <rFont val="Arial"/>
        <family val="2"/>
        <scheme val="minor"/>
      </rPr>
      <t>2</t>
    </r>
    <r>
      <rPr>
        <sz val="12"/>
        <color rgb="FF000000"/>
        <rFont val="Arial"/>
        <family val="2"/>
        <scheme val="minor"/>
      </rPr>
      <t>e/ton</t>
    </r>
  </si>
  <si>
    <t>B_FLAG</t>
  </si>
  <si>
    <t>Buildings</t>
  </si>
  <si>
    <t>Real estate sector in Segment B</t>
  </si>
  <si>
    <r>
      <t>kg CO</t>
    </r>
    <r>
      <rPr>
        <vertAlign val="subscript"/>
        <sz val="12"/>
        <color rgb="FF000000"/>
        <rFont val="Arial"/>
        <family val="2"/>
        <scheme val="minor"/>
      </rPr>
      <t>2</t>
    </r>
    <r>
      <rPr>
        <sz val="12"/>
        <color rgb="FF000000"/>
        <rFont val="Arial"/>
        <family val="2"/>
        <scheme val="minor"/>
      </rPr>
      <t>e/m</t>
    </r>
    <r>
      <rPr>
        <vertAlign val="superscript"/>
        <sz val="12"/>
        <color rgb="FF000000"/>
        <rFont val="Arial"/>
        <family val="2"/>
        <scheme val="minor"/>
      </rPr>
      <t>2</t>
    </r>
  </si>
  <si>
    <t>B_RE</t>
  </si>
  <si>
    <t>Residential and commercial real estate</t>
  </si>
  <si>
    <t>C_All</t>
  </si>
  <si>
    <t>D_All</t>
  </si>
  <si>
    <r>
      <rPr>
        <b/>
        <u/>
        <sz val="12"/>
        <color theme="1"/>
        <rFont val="Arial (Body)"/>
      </rPr>
      <t>SEGMENT D</t>
    </r>
    <r>
      <rPr>
        <b/>
        <sz val="12"/>
        <color theme="1"/>
        <rFont val="Arial"/>
        <family val="2"/>
        <scheme val="minor"/>
      </rPr>
      <t>: SECTOR OR CLIMATE-ALIGNMENT TARGETS</t>
    </r>
  </si>
  <si>
    <t>D_Air</t>
  </si>
  <si>
    <t xml:space="preserve">Long- and short-term loans to (listed and private) SMEs in non-fossil fuel sectors	</t>
  </si>
  <si>
    <t>D_Maritime</t>
  </si>
  <si>
    <t>Land transport sector in Segment D</t>
  </si>
  <si>
    <t>D_Land</t>
  </si>
  <si>
    <t>D_Steel</t>
  </si>
  <si>
    <t>D_Cement</t>
  </si>
  <si>
    <t>D_Power</t>
  </si>
  <si>
    <t>D_FLAG</t>
  </si>
  <si>
    <t>Real estate sector in Segment D</t>
  </si>
  <si>
    <t>D_RE</t>
  </si>
  <si>
    <t>Other sectors</t>
  </si>
  <si>
    <t>D_Other</t>
  </si>
  <si>
    <t>Table 2.2: Asset Owner Investing (AOI): Segmentation, Base year assessment of target metric(s)</t>
  </si>
  <si>
    <r>
      <rPr>
        <i/>
        <u/>
        <sz val="12"/>
        <color rgb="FF7030A0"/>
        <rFont val="Arial (Body)"/>
      </rPr>
      <t>Segments A, B, C, and D</t>
    </r>
    <r>
      <rPr>
        <i/>
        <sz val="12"/>
        <color rgb="FF7030A0"/>
        <rFont val="Arial"/>
        <family val="2"/>
        <scheme val="minor"/>
      </rPr>
      <t>:</t>
    </r>
    <r>
      <rPr>
        <i/>
        <sz val="12"/>
        <color theme="1"/>
        <rFont val="Arial"/>
        <family val="2"/>
        <scheme val="minor"/>
      </rPr>
      <t xml:space="preserve">
- "N/A" in case the FI does not have exposure in the respective segment.
- "All of Segment" climate-alignment targets cover the entire segment (i.e., all sectors and sub-asset classs within the segment).
- "By sub-asset class" (or "by sector") climate-alignment targets cover the entire sub-asset class (or the entire sector), but not a whole segment.
- Targets on asset owners' in-scope investments that are managed through asset managers that are given a discretionary mandate shall be set on either the underlying entities, projects and assets OR the asset manager. If the latter is chosen, the investments managed through asset managers with discretionary mandates would fall under segment C for the asset owner.</t>
    </r>
    <r>
      <rPr>
        <i/>
        <sz val="12"/>
        <color rgb="FFFFC000"/>
        <rFont val="Arial"/>
        <family val="2"/>
        <scheme val="minor"/>
      </rPr>
      <t xml:space="preserve"> </t>
    </r>
  </si>
  <si>
    <t>Direct investments and investments via funds (invested in assets)</t>
  </si>
  <si>
    <t>Listed equity (common and preferred stock) of listed corporates and SMEs in the fossil fuel sector</t>
  </si>
  <si>
    <t>Corporate bonds of listed corporates and SMEs in the fossil fuel sector</t>
  </si>
  <si>
    <t>Private equity, venture capital, and private debt (stocks or bonds) of private corporates and SMEs in the fossil fuel sector</t>
  </si>
  <si>
    <t>Listed equity (common and preferred stock) of listed corporates and SMEs in other emissions-intensive sectors</t>
  </si>
  <si>
    <t>Corporate bonds of listed corporates and SMEs in other emissions-intensive sectors</t>
  </si>
  <si>
    <t>Private equity, venture capital, and private debt (stocks or bonds) of private corporates and SMEs in other emissions-intensive sectors with &gt; 25% ownership and board seat(s)</t>
  </si>
  <si>
    <t>Equity or debt investment in real estate assets</t>
  </si>
  <si>
    <t>Listed equity (common and preferred stock) of listed corporates and SMEs in other sectors</t>
  </si>
  <si>
    <t>Corporate bonds of listed corporates and SMEs in other sectors</t>
  </si>
  <si>
    <t>Private equity, venture capital, and private debt (stock or bonds) of private corporates and SMEs in other sectors with &gt; 25% ownership and board seat(s)</t>
  </si>
  <si>
    <t>Private equity, venture capital, and private debt (stocks or bonds) of private corporates and SMEs in non-fossil fuel sectors with &lt; 25% ownership or no board seat</t>
  </si>
  <si>
    <t>Securitized fixed income (backed by real estate assets, including asset-backed securities, mortgage-backed securities, covered bonds)</t>
  </si>
  <si>
    <t>Investments (that are not out-of-scope) via fund of funds (i.e., funds invested in funds)</t>
  </si>
  <si>
    <t>Investments in assets with no operational emissions (e.g., land or fully vacant building)</t>
  </si>
  <si>
    <t>Investments made on behalf of asset owners through execution-only mandates</t>
  </si>
  <si>
    <t>Investments held in banks’ trading books</t>
  </si>
  <si>
    <t>Investments via funds where the disclosure of the underlying holdings negates the investment strategy (e.g., some hedge funds)</t>
  </si>
  <si>
    <t>Supranational, sovereign, sub-sovereign (including municipal), government, and government agency bonds (direct holdings or via funds)</t>
  </si>
  <si>
    <t>Securitized fixed-income instruments (not backed by real estate assets)</t>
  </si>
  <si>
    <t>Cash and cash equivalents (may include commercial paper, certificates of deposit, time deposits, banker’s acceptance, and short-term repurchase agreements)</t>
  </si>
  <si>
    <t>Financial derivatives (e.g., futures, options swaps)</t>
  </si>
  <si>
    <t>Commodity trading</t>
  </si>
  <si>
    <t>Absolute financial exposure to in-scope AOI activities</t>
  </si>
  <si>
    <t>Absolute financial exposure to out-of--scope AOI activities</t>
  </si>
  <si>
    <t>Total absolute financial exposure to AOI activities</t>
  </si>
  <si>
    <t>Absolute financial exposure in AOI segments A+B+C covered with targets</t>
  </si>
  <si>
    <r>
      <t xml:space="preserve">Absolute financial exposure in AOI segments A+B+C+D covered by targets
</t>
    </r>
    <r>
      <rPr>
        <b/>
        <sz val="12"/>
        <color theme="0" tint="-0.499984740745262"/>
        <rFont val="Arial"/>
        <family val="2"/>
        <scheme val="minor"/>
      </rPr>
      <t>(min &gt;67%)</t>
    </r>
  </si>
  <si>
    <r>
      <t xml:space="preserve">Gross portfolio GHG emissions from AOI segments A+B+C+D covered by targets
</t>
    </r>
    <r>
      <rPr>
        <b/>
        <sz val="12"/>
        <color theme="0" tint="-0.499984740745262"/>
        <rFont val="Arial"/>
        <family val="2"/>
        <scheme val="minor"/>
      </rPr>
      <t>(min &gt;67%)</t>
    </r>
  </si>
  <si>
    <r>
      <t xml:space="preserve">Guidance: </t>
    </r>
    <r>
      <rPr>
        <i/>
        <sz val="14"/>
        <color rgb="FF000000"/>
        <rFont val="Arial"/>
        <family val="2"/>
        <scheme val="minor"/>
      </rPr>
      <t>Fill in the tables in this section if a mix of climate-alignment and sector targets are being set for segments B, C, and D. 
- If so, first fill in cells D78:E81 to indicate if targets are being set at the segment, sector, or sub-asset class level, or are not applicable for each segment.</t>
    </r>
  </si>
  <si>
    <r>
      <rPr>
        <i/>
        <sz val="14"/>
        <color rgb="FF7030A0"/>
        <rFont val="Arial (Body)"/>
      </rPr>
      <t>Guidance:</t>
    </r>
    <r>
      <rPr>
        <i/>
        <sz val="14"/>
        <color rgb="FF7030A0"/>
        <rFont val="Arial"/>
        <family val="2"/>
        <scheme val="minor"/>
      </rPr>
      <t xml:space="preserve"> </t>
    </r>
    <r>
      <rPr>
        <i/>
        <sz val="14"/>
        <color theme="1"/>
        <rFont val="Arial (Body)"/>
      </rPr>
      <t>Second, follow the 5 steps for each row and fill in only the blue cells if relevant (the blue formating follows the selection in D78:E81) and the preceding steps as you progress.
- Fill in the [Fossil fuel/Transport/Industrial/Energy/FLAG/Building] "sector in Segment A/B/D" rows only where targets cover a sector across the sub-asset classes listed below the [Fossil fuel/Transport/Industrial/Energy/FLAG/Building] "sector in Segment A/B/D" row.</t>
    </r>
  </si>
  <si>
    <t>tCO2e/t.nautical mile</t>
  </si>
  <si>
    <r>
      <t>kgCO</t>
    </r>
    <r>
      <rPr>
        <vertAlign val="subscript"/>
        <sz val="12"/>
        <color rgb="FF000000"/>
        <rFont val="Arial"/>
        <family val="2"/>
        <scheme val="minor"/>
      </rPr>
      <t>2</t>
    </r>
    <r>
      <rPr>
        <sz val="12"/>
        <color rgb="FF000000"/>
        <rFont val="Arial"/>
        <family val="2"/>
        <scheme val="minor"/>
      </rPr>
      <t>e/m</t>
    </r>
    <r>
      <rPr>
        <vertAlign val="superscript"/>
        <sz val="12"/>
        <color rgb="FF000000"/>
        <rFont val="Arial"/>
        <family val="2"/>
        <scheme val="minor"/>
      </rPr>
      <t>2</t>
    </r>
  </si>
  <si>
    <t>Coal sector in Segment D</t>
  </si>
  <si>
    <t>D_FF</t>
  </si>
  <si>
    <t>Coal</t>
  </si>
  <si>
    <t>Private equity, venture capital, and private debt (stocks or bonds) of private corporates and SMEs in the coal sector with &lt; 25% ownership or no board seat</t>
  </si>
  <si>
    <t>Air transport sector in Segment D</t>
  </si>
  <si>
    <t>Maritime transport sector in Segment D</t>
  </si>
  <si>
    <t>Steel sector in Segment D</t>
  </si>
  <si>
    <t>Cement sector in Segment D</t>
  </si>
  <si>
    <t>Power generation sector in Segment D</t>
  </si>
  <si>
    <t>FLAG sector in Segment D</t>
  </si>
  <si>
    <t>Other sectors in Segment D</t>
  </si>
  <si>
    <t>Table 2.3: Asset Manager Investing (AMI): Segmentation, Base year assessment of target metric(s)</t>
  </si>
  <si>
    <r>
      <rPr>
        <i/>
        <u/>
        <sz val="12"/>
        <color rgb="FF7030A0"/>
        <rFont val="Arial (Body)"/>
      </rPr>
      <t>Segments A, B, C, and D</t>
    </r>
    <r>
      <rPr>
        <i/>
        <sz val="12"/>
        <color rgb="FF7030A0"/>
        <rFont val="Arial"/>
        <family val="2"/>
        <scheme val="minor"/>
      </rPr>
      <t>:</t>
    </r>
    <r>
      <rPr>
        <i/>
        <sz val="12"/>
        <color theme="1"/>
        <rFont val="Arial"/>
        <family val="2"/>
        <scheme val="minor"/>
      </rPr>
      <t xml:space="preserve">
- "N/A" in case the FI does not have exposure in the respective segment.
- "All of Segment" climate-alignment targets cover the entire segment (i.e., all sectors and sub-asset classs within the segment).
- "By sub-asset class" (or "by sector") climate-alignment targets cover the entire sub-asset class (or the entire sector), but not a whole segment.</t>
    </r>
    <r>
      <rPr>
        <i/>
        <sz val="12"/>
        <color rgb="FFFFC000"/>
        <rFont val="Arial"/>
        <family val="2"/>
        <scheme val="minor"/>
      </rPr>
      <t xml:space="preserve">
</t>
    </r>
    <r>
      <rPr>
        <i/>
        <sz val="12"/>
        <color theme="1"/>
        <rFont val="Arial (Body)"/>
      </rPr>
      <t>- Targets on asset managers’ in-scope investments that they manage through advisory mandates shall be set on either the underlying entities, projects and assets OR the asset owner giving the investment mandate. If the latter is chosen, the investments managed through an advisory mandate would fall under segment D for the asset manager.</t>
    </r>
  </si>
  <si>
    <t>Direct investments and investments via funds (invested in assets) through discretionary mandates</t>
  </si>
  <si>
    <t>Investments (that are not out-of-scope) via fund of funds (i.e., funds invested in funds) through discretionary mandates</t>
  </si>
  <si>
    <t>Investments (that are not out-of-scope) made directly, via funds (invested in assets), or via fund of funds (i.e., funds invested in funds) through advisory mandates</t>
  </si>
  <si>
    <t>Absolute financial exposure to in-scope AMI activities</t>
  </si>
  <si>
    <t>Absolute financial exposure to out-of--scope AMI activities</t>
  </si>
  <si>
    <t>Total absolute financial exposure to AMI activities</t>
  </si>
  <si>
    <t>Absolute financial exposure in AMI segments A+B+C covered with targets</t>
  </si>
  <si>
    <r>
      <t xml:space="preserve">Absolute financial exposure in AMI segments A+B+C+D covered by targets
</t>
    </r>
    <r>
      <rPr>
        <b/>
        <sz val="12"/>
        <color theme="0" tint="-0.499984740745262"/>
        <rFont val="Arial"/>
        <family val="2"/>
        <scheme val="minor"/>
      </rPr>
      <t>(min &gt;67%)</t>
    </r>
  </si>
  <si>
    <r>
      <t xml:space="preserve">Gross portfolio GHG emissions from AMI segments A+B+C+D covered by targets
</t>
    </r>
    <r>
      <rPr>
        <b/>
        <sz val="12"/>
        <color theme="0" tint="-0.499984740745262"/>
        <rFont val="Arial"/>
        <family val="2"/>
        <scheme val="minor"/>
      </rPr>
      <t>(min &gt;67%)</t>
    </r>
  </si>
  <si>
    <t>Table 2.4: Insurance Underwriting (INS): Segmentation, Base year assessment of target metric(s)</t>
  </si>
  <si>
    <t>Commercial insurance covers for (listed and private) corporates and SMEs in the fossil fuel sector and any clearly identified assets that are directly associated with in-scope value chain activities in the fossil fuel sector</t>
  </si>
  <si>
    <t>Commercial insurance covers for (listed and private) corporates and any clearly identified assets that are directly associated with in-scope value chain activities in other emissions-intensive sectors</t>
  </si>
  <si>
    <t>Real estate project insurance for new buildings</t>
  </si>
  <si>
    <t>Project insurance in other emissions-intensive sectors</t>
  </si>
  <si>
    <t>Commercial insurance covers for (listed and private) corporates and any clearly identified assets that are directly associated with in-scope value chain activities in other sectors</t>
  </si>
  <si>
    <t>Project insurance in other sectors</t>
  </si>
  <si>
    <t>Commercial insurance covers for (listed and private) SMEs in non-fossil fuel sectors and any clearly identified assets that are directly associated with in-scope value chain activities in other sectors</t>
  </si>
  <si>
    <t>Real estate project insurance for existing buildings</t>
  </si>
  <si>
    <t>Any insurance cover with no underlying operational emissions of the underlying activities or associated assets (e.g., vacant buildings, vacant land, and pet insurance)</t>
  </si>
  <si>
    <t>Insurance contracts purchased by public entities (e.g., government agencies and municipalities)</t>
  </si>
  <si>
    <t>Structured trade credit insurance</t>
  </si>
  <si>
    <t xml:space="preserve">Surety bonds (except for project insurance surety) </t>
  </si>
  <si>
    <t>Life and health insurance, personal accident, and pension schemes</t>
  </si>
  <si>
    <t>Unit-linked contracts</t>
  </si>
  <si>
    <t>Alternative re/insurance capital through capital markets (insurance-linked securities/collateralized reinsurance) such as catastrophe bonds, sidecar, and industry loss warranties</t>
  </si>
  <si>
    <t>Insurer internal fronting arrangements</t>
  </si>
  <si>
    <t>Retrocession: reinsurance contracts established from reinsurer to reinsurer</t>
  </si>
  <si>
    <t>Statutory/mandatory lines of business</t>
  </si>
  <si>
    <t>Personal lines insurance</t>
  </si>
  <si>
    <t>Absolute financial exposure to in-scope INS activities</t>
  </si>
  <si>
    <t>Absolute financial exposure to out-of--scope INS activities</t>
  </si>
  <si>
    <t>Total absolute financial exposure to INS activities</t>
  </si>
  <si>
    <t>Absolute financial exposure in INS segments A+B+C covered with targets</t>
  </si>
  <si>
    <r>
      <t xml:space="preserve">Absolute financial exposure in INS segments A+B+C+D covered by targets
</t>
    </r>
    <r>
      <rPr>
        <b/>
        <sz val="12"/>
        <color theme="0" tint="-0.499984740745262"/>
        <rFont val="Arial"/>
        <family val="2"/>
        <scheme val="minor"/>
      </rPr>
      <t>(min &gt;67%)</t>
    </r>
  </si>
  <si>
    <r>
      <t xml:space="preserve">Gross portfolio GHG emissions from INS segments A+B+C+D covered by targets
</t>
    </r>
    <r>
      <rPr>
        <b/>
        <sz val="12"/>
        <color theme="0" tint="-0.499984740745262"/>
        <rFont val="Arial"/>
        <family val="2"/>
        <scheme val="minor"/>
      </rPr>
      <t>(min &gt;67%)</t>
    </r>
  </si>
  <si>
    <r>
      <t xml:space="preserve">Guidance: </t>
    </r>
    <r>
      <rPr>
        <i/>
        <sz val="14"/>
        <color rgb="FF000000"/>
        <rFont val="Arial"/>
        <family val="2"/>
        <scheme val="minor"/>
      </rPr>
      <t>Fill in the tables in this section if a mix of climate-alignment and sector targets are being set for segments B, C, and D. 
- If so, first fill in cells D67:E70 to indicate if targets are being set at the segment, sector, or sub-asset class level, or are not applicable for each segment.</t>
    </r>
  </si>
  <si>
    <r>
      <rPr>
        <i/>
        <sz val="14"/>
        <color rgb="FF7030A0"/>
        <rFont val="Arial (Body)"/>
      </rPr>
      <t>Guidance:</t>
    </r>
    <r>
      <rPr>
        <i/>
        <sz val="14"/>
        <color rgb="FF7030A0"/>
        <rFont val="Arial"/>
        <family val="2"/>
        <scheme val="minor"/>
      </rPr>
      <t xml:space="preserve"> </t>
    </r>
    <r>
      <rPr>
        <i/>
        <sz val="14"/>
        <color theme="1"/>
        <rFont val="Arial (Body)"/>
      </rPr>
      <t>Second, follow the 5 steps for each row and fill in only the blue cells if relevant (the blue formating follows the selection in D67:E70) and the preceding steps as you progress.
- Fill in the [Fossil fuel/Transport/Industrial/Energy/FLAG/Building] "sector in Segment A/B/D" rows only where targets cover a sector across the sub-asset classes listed below the [Fossil fuel/Transport/Industrial/Energy/FLAG/Building] "sector in Segment A/B/D" row.</t>
    </r>
  </si>
  <si>
    <t>Table 2.5: Capital Market Activities (CMA): Segmentation, Base year assessment of target metric(s)</t>
  </si>
  <si>
    <t>Issuance of equity securities (Initial Public Offering (IPO), dilutive follow-on public offering, private placement) in the fossil fuel sector</t>
  </si>
  <si>
    <t>Issuance of debt securities (public issuance, private placement) in the fossil fuel sector</t>
  </si>
  <si>
    <t xml:space="preserve">Issuance of fossil fuel project finance securities </t>
  </si>
  <si>
    <t>Issuance of equity securities (Initial Public Offering (IPO), dilutive follow-on public offering, private placement) in other emissions-intensive sectors</t>
  </si>
  <si>
    <t>Issuance of debt securities (public issuance, private placement) in other emissions-intensive sectors</t>
  </si>
  <si>
    <t>Issuance of real estate project finance securities for new buildings</t>
  </si>
  <si>
    <t xml:space="preserve">Issuance of project finance securities in other emissions-intensive sectors </t>
  </si>
  <si>
    <t>Issuance of equity securities (Initial Public Offering (IPO), dilutive follow-on public offering, private placement) in other sectors</t>
  </si>
  <si>
    <t>Issuance of debt securities (public issuance, private placement) in other sectors</t>
  </si>
  <si>
    <t>Issuance of project finance securities other sectors</t>
  </si>
  <si>
    <t>Commercial paper issuance</t>
  </si>
  <si>
    <t>Issuance of securitized fixed-income instruments (backed by real estate assets)</t>
  </si>
  <si>
    <t>Issuance of real estate project finance securities for existing buildings</t>
  </si>
  <si>
    <t>Special purpose acquisition company IPO</t>
  </si>
  <si>
    <t>Issuance of supranational, sovereign, sub-sovereign (including municipal), government, and government agency bonds</t>
  </si>
  <si>
    <t>Issuance of securitized fixed-income instruments (not backed by real estate assets)</t>
  </si>
  <si>
    <t>Issuance of alternative re/insurance capital through capital markets (insurance-linked securities/collateralized reinsurance) such as catastrophe bonds, sidecar, and industry loss warranties</t>
  </si>
  <si>
    <t>Issuance of financial derivatives (e.g., futures, options, swaps)</t>
  </si>
  <si>
    <t>Trading in secondary market (i.e., secondary offering)</t>
  </si>
  <si>
    <t>Advisory services (e.g., mergers and acquisitions)</t>
  </si>
  <si>
    <t>Absolute financial exposure to in-scope CMA activities</t>
  </si>
  <si>
    <t>Absolute financial exposure to out-of--scope CMA activities</t>
  </si>
  <si>
    <t>Total absolute financial exposure to CMA activities</t>
  </si>
  <si>
    <t>Absolute financial exposure in CMA segments A+B+C covered with targets</t>
  </si>
  <si>
    <r>
      <t xml:space="preserve">Absolute financial exposure in CMA segments A+B+C+D covered by targets
</t>
    </r>
    <r>
      <rPr>
        <b/>
        <sz val="12"/>
        <color theme="0" tint="-0.499984740745262"/>
        <rFont val="Arial"/>
        <family val="2"/>
        <scheme val="minor"/>
      </rPr>
      <t>(min &gt;67%)</t>
    </r>
  </si>
  <si>
    <r>
      <t xml:space="preserve">Gross portfolio GHG emissions from CMA segments A+B+C+D covered by targets
</t>
    </r>
    <r>
      <rPr>
        <b/>
        <sz val="12"/>
        <color theme="0" tint="-0.499984740745262"/>
        <rFont val="Arial"/>
        <family val="2"/>
        <scheme val="minor"/>
      </rPr>
      <t>(min &gt;67%)</t>
    </r>
  </si>
  <si>
    <r>
      <t xml:space="preserve">Guidance: </t>
    </r>
    <r>
      <rPr>
        <i/>
        <sz val="14"/>
        <color rgb="FF000000"/>
        <rFont val="Arial"/>
        <family val="2"/>
        <scheme val="minor"/>
      </rPr>
      <t>Fill in the tables in this section if a mix of climate-alignment and sector targets are being set for segments B, C, and D. 
- If so, first fill in cells D69:E72 to indicate if targets are being set at the segment, sector, or sub-asset class level, or are not applicable for each segment.</t>
    </r>
  </si>
  <si>
    <r>
      <rPr>
        <i/>
        <sz val="14"/>
        <color rgb="FF7030A0"/>
        <rFont val="Arial (Body)"/>
      </rPr>
      <t>Guidance:</t>
    </r>
    <r>
      <rPr>
        <i/>
        <sz val="14"/>
        <color rgb="FF7030A0"/>
        <rFont val="Arial"/>
        <family val="2"/>
        <scheme val="minor"/>
      </rPr>
      <t xml:space="preserve"> </t>
    </r>
    <r>
      <rPr>
        <i/>
        <sz val="14"/>
        <color theme="1"/>
        <rFont val="Arial (Body)"/>
      </rPr>
      <t>Second, follow the 5 steps for each row and fill in only the blue cells if relevant (the blue formating follows the selection in D69:E72) and the preceding steps as you progress.
- Fill in the [Fossil fuel/Transport/Industrial/Energy/FLAG/Building] "sector in Segment A/B/D" rows only where targets cover a sector across the sub-asset classes listed below the [Fossil fuel/Transport/Industrial/Energy/FLAG/Building] "sector in Segment A/B/D" row.</t>
    </r>
  </si>
  <si>
    <r>
      <t xml:space="preserve">Total financial exposure check
</t>
    </r>
    <r>
      <rPr>
        <i/>
        <sz val="12"/>
        <color rgb="FF7030A0"/>
        <rFont val="Arial (Body)"/>
      </rPr>
      <t>Autopopulates (e.g., G88-V88-Z88+AC88=0)</t>
    </r>
  </si>
  <si>
    <r>
      <t xml:space="preserve">Total gross portfolio GHG emissions check
</t>
    </r>
    <r>
      <rPr>
        <i/>
        <sz val="12"/>
        <color rgb="FF7030A0"/>
        <rFont val="Arial (Body)"/>
      </rPr>
      <t>Autopopulates (e.g., K88-W88-AA88+AD88=0)</t>
    </r>
  </si>
  <si>
    <t>Issuance of equity securities (IPO, dilutive follow-on public offering, private placement) in other emissions-intensive sectors</t>
  </si>
  <si>
    <t>Issuance of project finance securities in other emissions-intensive sectors</t>
  </si>
  <si>
    <t>Issuance of equity securities (Initial Public Offering (IPO), dilutive follow-on public offering, private placement) in other setors</t>
  </si>
  <si>
    <t>Issuance of project finance securities in other sectors</t>
  </si>
  <si>
    <t>Portfolio Climate-Alignment Target Calculation</t>
  </si>
  <si>
    <t>"HELP" FORMULA - DO NOT DELETE</t>
  </si>
  <si>
    <r>
      <rPr>
        <i/>
        <sz val="14"/>
        <color rgb="FF7030A0"/>
        <rFont val="Arial (Body)"/>
      </rPr>
      <t xml:space="preserve">Guidance: </t>
    </r>
    <r>
      <rPr>
        <i/>
        <sz val="14"/>
        <color theme="1"/>
        <rFont val="Arial"/>
        <family val="2"/>
        <scheme val="minor"/>
      </rPr>
      <t xml:space="preserve">This tab offers the calculation of Climate-Alignment Targets. 
- Fill in the tables for each in-scope financial activity type, starting with the table that indicates the target type and geographic differentiation being used for climate-alignment targets.
- If a financial institution is already operating at the minimum benchmark target year value, it must set a target that meets or exceeds the ambition level required by the subsequent milestone year (i.e., 2035, 2040, 2045, or 2050). This means using the target-setting method to determine the minimum benchmark value at the subsequent milestone year (by entering the next milestone year into the tool) and targeting this value by the target year instead. For example, a financial institution that intends to set a 2030 target based on a base-year climate alignment of 0% in 2020 and a climate alignment of 50% in 2025 has already met the minimum climate-alignment target ambition (when the calculation is based on its base-year value). The financial institution would therefore need to set a target to reach 71.25% climate alignment (i.e., the minimum value in 2035, the subsequent milestone year) or higher by 2030.
- Grouping is used to support navigation (i.e., click on the '+' and '-' outline buttons to unhide and hide the respective sections. 
Lending starts </t>
    </r>
    <r>
      <rPr>
        <b/>
        <i/>
        <sz val="14"/>
        <color theme="1"/>
        <rFont val="Arial"/>
        <family val="2"/>
        <scheme val="minor"/>
      </rPr>
      <t xml:space="preserve">row 4 </t>
    </r>
    <r>
      <rPr>
        <i/>
        <sz val="14"/>
        <color theme="1"/>
        <rFont val="Arial"/>
        <family val="2"/>
        <scheme val="minor"/>
      </rPr>
      <t xml:space="preserve">     |      Asset Owner Investing starts in </t>
    </r>
    <r>
      <rPr>
        <b/>
        <i/>
        <sz val="14"/>
        <color theme="1"/>
        <rFont val="Arial"/>
        <family val="2"/>
        <scheme val="minor"/>
      </rPr>
      <t>row 155</t>
    </r>
    <r>
      <rPr>
        <i/>
        <sz val="14"/>
        <color theme="1"/>
        <rFont val="Arial"/>
        <family val="2"/>
        <scheme val="minor"/>
      </rPr>
      <t xml:space="preserve">    |      Asset Manager Investing starts in </t>
    </r>
    <r>
      <rPr>
        <b/>
        <sz val="14"/>
        <color theme="1"/>
        <rFont val="Arial"/>
        <family val="2"/>
        <scheme val="minor"/>
      </rPr>
      <t>row 308</t>
    </r>
    <r>
      <rPr>
        <i/>
        <sz val="14"/>
        <color theme="1"/>
        <rFont val="Arial"/>
        <family val="2"/>
        <scheme val="minor"/>
      </rPr>
      <t xml:space="preserve">     |      Insurance Underwriting start in </t>
    </r>
    <r>
      <rPr>
        <b/>
        <i/>
        <sz val="14"/>
        <color theme="1"/>
        <rFont val="Arial"/>
        <family val="2"/>
        <scheme val="minor"/>
      </rPr>
      <t>row 461</t>
    </r>
    <r>
      <rPr>
        <i/>
        <sz val="14"/>
        <color theme="1"/>
        <rFont val="Arial"/>
        <family val="2"/>
        <scheme val="minor"/>
      </rPr>
      <t xml:space="preserve">      |      Capital Market Activities start in </t>
    </r>
    <r>
      <rPr>
        <b/>
        <i/>
        <sz val="14"/>
        <color theme="1"/>
        <rFont val="Arial"/>
        <family val="2"/>
        <scheme val="minor"/>
      </rPr>
      <t>row 614</t>
    </r>
  </si>
  <si>
    <t>LENDING (LND)</t>
  </si>
  <si>
    <r>
      <rPr>
        <i/>
        <sz val="14"/>
        <color rgb="FF7030A0"/>
        <rFont val="Arial (Body)"/>
      </rPr>
      <t xml:space="preserve">Guidance: </t>
    </r>
    <r>
      <rPr>
        <i/>
        <sz val="14"/>
        <color theme="1"/>
        <rFont val="Arial"/>
        <family val="2"/>
        <scheme val="minor"/>
      </rPr>
      <t xml:space="preserve">Select the </t>
    </r>
    <r>
      <rPr>
        <b/>
        <i/>
        <sz val="14"/>
        <color theme="1"/>
        <rFont val="Arial"/>
        <family val="2"/>
        <scheme val="minor"/>
      </rPr>
      <t>target type</t>
    </r>
    <r>
      <rPr>
        <i/>
        <sz val="14"/>
        <color theme="1"/>
        <rFont val="Arial"/>
        <family val="2"/>
        <scheme val="minor"/>
      </rPr>
      <t xml:space="preserve"> (Climate-alignment target only or a mix of climate-alignment and sector targets) and </t>
    </r>
    <r>
      <rPr>
        <b/>
        <i/>
        <sz val="14"/>
        <color theme="1"/>
        <rFont val="Arial"/>
        <family val="2"/>
        <scheme val="minor"/>
      </rPr>
      <t>geographic differentiation</t>
    </r>
    <r>
      <rPr>
        <i/>
        <sz val="14"/>
        <color theme="1"/>
        <rFont val="Arial"/>
        <family val="2"/>
        <scheme val="minor"/>
      </rPr>
      <t xml:space="preserve"> (global or regionally differentiated ambition level). After this selection, proceed to the relevant table as indicated by the note. Please note that autopopulation is triggered by the selection here.</t>
    </r>
  </si>
  <si>
    <r>
      <rPr>
        <i/>
        <sz val="14"/>
        <color rgb="FF7030A0"/>
        <rFont val="Arial (Body)"/>
      </rPr>
      <t xml:space="preserve">Guidance: </t>
    </r>
    <r>
      <rPr>
        <i/>
        <sz val="14"/>
        <color theme="1"/>
        <rFont val="Arial"/>
        <family val="2"/>
        <scheme val="minor"/>
      </rPr>
      <t xml:space="preserve">These three cells need to be filled for the calculations in this tab to function correctly. </t>
    </r>
  </si>
  <si>
    <t xml:space="preserve">Climate-Alignment Targets Only </t>
  </si>
  <si>
    <t>No regional differentiation</t>
  </si>
  <si>
    <r>
      <rPr>
        <i/>
        <sz val="12"/>
        <color rgb="FF7030A0"/>
        <rFont val="Arial (Body)"/>
      </rPr>
      <t xml:space="preserve">Guidance: </t>
    </r>
    <r>
      <rPr>
        <i/>
        <sz val="12"/>
        <color theme="1"/>
        <rFont val="Arial"/>
        <family val="2"/>
        <scheme val="minor"/>
      </rPr>
      <t xml:space="preserve">Select the </t>
    </r>
    <r>
      <rPr>
        <b/>
        <i/>
        <sz val="12"/>
        <color theme="1"/>
        <rFont val="Arial"/>
        <family val="2"/>
        <scheme val="minor"/>
      </rPr>
      <t>target year</t>
    </r>
    <r>
      <rPr>
        <i/>
        <sz val="12"/>
        <color theme="1"/>
        <rFont val="Arial"/>
        <family val="2"/>
        <scheme val="minor"/>
      </rPr>
      <t xml:space="preserve"> and indicate the </t>
    </r>
    <r>
      <rPr>
        <b/>
        <i/>
        <sz val="12"/>
        <color theme="1"/>
        <rFont val="Arial"/>
        <family val="2"/>
        <scheme val="minor"/>
      </rPr>
      <t>proposed target ambition</t>
    </r>
    <r>
      <rPr>
        <i/>
        <sz val="12"/>
        <color theme="1"/>
        <rFont val="Arial"/>
        <family val="2"/>
        <scheme val="minor"/>
      </rPr>
      <t xml:space="preserve"> for near- and long-term targets. Each target ambition check must say "OK."</t>
    </r>
  </si>
  <si>
    <t>Lookup global &amp; developed</t>
  </si>
  <si>
    <t>look up regional</t>
  </si>
  <si>
    <t>SEGMENT</t>
  </si>
  <si>
    <t>GEOGRAPHY</t>
  </si>
  <si>
    <t>YEAR</t>
  </si>
  <si>
    <t>Ambition</t>
  </si>
  <si>
    <t>Geographic differentiation for targets</t>
  </si>
  <si>
    <t>Financial exposure to categories of climate-alignment</t>
  </si>
  <si>
    <t>Near-term target</t>
  </si>
  <si>
    <t>Long-term net-zero target</t>
  </si>
  <si>
    <t>A1</t>
  </si>
  <si>
    <t>Developed economies</t>
  </si>
  <si>
    <r>
      <t xml:space="preserve">Target ambition
</t>
    </r>
    <r>
      <rPr>
        <i/>
        <sz val="12"/>
        <color rgb="FF7030A0"/>
        <rFont val="Arial"/>
        <family val="2"/>
      </rPr>
      <t>Indicate %</t>
    </r>
  </si>
  <si>
    <t>A2</t>
  </si>
  <si>
    <t>Developing economies</t>
  </si>
  <si>
    <t>B1</t>
  </si>
  <si>
    <t>B2</t>
  </si>
  <si>
    <t>LND_CAO_Global</t>
  </si>
  <si>
    <t>C1</t>
  </si>
  <si>
    <t>C2</t>
  </si>
  <si>
    <t>D1</t>
  </si>
  <si>
    <t>D2</t>
  </si>
  <si>
    <t>Regional differentiation</t>
  </si>
  <si>
    <r>
      <rPr>
        <i/>
        <sz val="12"/>
        <color rgb="FF7030A0"/>
        <rFont val="Arial (Body)"/>
      </rPr>
      <t xml:space="preserve">Guidance: </t>
    </r>
    <r>
      <rPr>
        <i/>
        <sz val="12"/>
        <color theme="1"/>
        <rFont val="Arial"/>
        <family val="2"/>
        <scheme val="minor"/>
      </rPr>
      <t xml:space="preserve">Provide the base-year climate-alignment assessment per segment and </t>
    </r>
    <r>
      <rPr>
        <b/>
        <i/>
        <sz val="12"/>
        <color theme="1"/>
        <rFont val="Arial"/>
        <family val="2"/>
        <scheme val="minor"/>
      </rPr>
      <t xml:space="preserve">regional breakdown </t>
    </r>
    <r>
      <rPr>
        <i/>
        <sz val="12"/>
        <color theme="1"/>
        <rFont val="Arial"/>
        <family val="2"/>
        <scheme val="minor"/>
      </rPr>
      <t>to enable calculation of the minimum required target ambition.</t>
    </r>
  </si>
  <si>
    <t>Fill in if differentiating by developed / developing economies</t>
  </si>
  <si>
    <t>LND_CAO_REG*ed</t>
  </si>
  <si>
    <t>LND_CAO_REG*ing</t>
  </si>
  <si>
    <t xml:space="preserve">Mix of Sector and Climate-alignment targets </t>
  </si>
  <si>
    <r>
      <rPr>
        <i/>
        <sz val="12"/>
        <color rgb="FF7030A0"/>
        <rFont val="Arial (Body)"/>
      </rPr>
      <t xml:space="preserve">Guidance: </t>
    </r>
    <r>
      <rPr>
        <i/>
        <sz val="12"/>
        <color theme="1"/>
        <rFont val="Arial"/>
        <family val="2"/>
        <scheme val="minor"/>
      </rPr>
      <t>First, select the</t>
    </r>
    <r>
      <rPr>
        <b/>
        <i/>
        <sz val="12"/>
        <color theme="1"/>
        <rFont val="Arial"/>
        <family val="2"/>
        <scheme val="minor"/>
      </rPr>
      <t xml:space="preserve"> target year</t>
    </r>
    <r>
      <rPr>
        <i/>
        <sz val="12"/>
        <color theme="1"/>
        <rFont val="Arial"/>
        <family val="2"/>
        <scheme val="minor"/>
      </rPr>
      <t xml:space="preserve"> and indicate the </t>
    </r>
    <r>
      <rPr>
        <b/>
        <i/>
        <sz val="12"/>
        <color theme="1"/>
        <rFont val="Arial"/>
        <family val="2"/>
        <scheme val="minor"/>
      </rPr>
      <t>proposed target ambition</t>
    </r>
    <r>
      <rPr>
        <i/>
        <sz val="12"/>
        <color theme="1"/>
        <rFont val="Arial"/>
        <family val="2"/>
        <scheme val="minor"/>
      </rPr>
      <t xml:space="preserve"> for near-term targets. Each target ambition check must say "OK."</t>
    </r>
  </si>
  <si>
    <t>Sub-sector</t>
  </si>
  <si>
    <t>help column 1 target ambition</t>
  </si>
  <si>
    <t>help column 2</t>
  </si>
  <si>
    <t>Matching key to calculate - help column</t>
  </si>
  <si>
    <t>Energy: Coal</t>
  </si>
  <si>
    <t>Energy: Oil and Gas</t>
  </si>
  <si>
    <t>Transport: Air</t>
  </si>
  <si>
    <t>Transport: Maritime</t>
  </si>
  <si>
    <t>Transport: Land</t>
  </si>
  <si>
    <t>Industrial: Steel</t>
  </si>
  <si>
    <t>Industrial: Cement</t>
  </si>
  <si>
    <t>Energy: Power generation</t>
  </si>
  <si>
    <t>FLAG: FLAG</t>
  </si>
  <si>
    <t>Buildings: Residential and commercial real estate</t>
  </si>
  <si>
    <t>Other D</t>
  </si>
  <si>
    <r>
      <rPr>
        <i/>
        <sz val="12"/>
        <color rgb="FF7030A0"/>
        <rFont val="Arial (Body)"/>
      </rPr>
      <t xml:space="preserve">Guidance: </t>
    </r>
    <r>
      <rPr>
        <i/>
        <sz val="12"/>
        <color theme="1"/>
        <rFont val="Arial"/>
        <family val="2"/>
        <scheme val="minor"/>
      </rPr>
      <t xml:space="preserve">Second, the proposed target ambition is automatically aggregated to the segment and overall portfolio level for near-term targets. Select the </t>
    </r>
    <r>
      <rPr>
        <b/>
        <i/>
        <sz val="12"/>
        <color theme="1"/>
        <rFont val="Arial"/>
        <family val="2"/>
        <scheme val="minor"/>
      </rPr>
      <t>target year</t>
    </r>
    <r>
      <rPr>
        <i/>
        <sz val="12"/>
        <color theme="1"/>
        <rFont val="Arial"/>
        <family val="2"/>
        <scheme val="minor"/>
      </rPr>
      <t xml:space="preserve"> and indicate the </t>
    </r>
    <r>
      <rPr>
        <b/>
        <i/>
        <sz val="12"/>
        <color theme="1"/>
        <rFont val="Arial"/>
        <family val="2"/>
        <scheme val="minor"/>
      </rPr>
      <t>proposed target ambition</t>
    </r>
    <r>
      <rPr>
        <i/>
        <sz val="12"/>
        <color theme="1"/>
        <rFont val="Arial"/>
        <family val="2"/>
        <scheme val="minor"/>
      </rPr>
      <t xml:space="preserve"> for the long-term target. The target ambition check must say "OK."</t>
    </r>
  </si>
  <si>
    <t>Target type</t>
  </si>
  <si>
    <t>Climate-alignment target</t>
  </si>
  <si>
    <t>LND_Mix_Global</t>
  </si>
  <si>
    <r>
      <rPr>
        <i/>
        <sz val="12"/>
        <color rgb="FF7030A0"/>
        <rFont val="Arial (Body)"/>
      </rPr>
      <t xml:space="preserve">Guidance: </t>
    </r>
    <r>
      <rPr>
        <i/>
        <sz val="12"/>
        <color theme="1"/>
        <rFont val="Arial"/>
        <family val="2"/>
        <scheme val="minor"/>
      </rPr>
      <t>First, provide the base-year climate-alignment assessment per segment/sector and regional breakdown to enable calculation of the minimum required target ambition. Then select the</t>
    </r>
    <r>
      <rPr>
        <b/>
        <i/>
        <sz val="12"/>
        <color theme="1"/>
        <rFont val="Arial"/>
        <family val="2"/>
        <scheme val="minor"/>
      </rPr>
      <t xml:space="preserve"> target year</t>
    </r>
    <r>
      <rPr>
        <i/>
        <sz val="12"/>
        <color theme="1"/>
        <rFont val="Arial"/>
        <family val="2"/>
        <scheme val="minor"/>
      </rPr>
      <t xml:space="preserve"> and indicate the </t>
    </r>
    <r>
      <rPr>
        <b/>
        <i/>
        <sz val="12"/>
        <color theme="1"/>
        <rFont val="Arial"/>
        <family val="2"/>
        <scheme val="minor"/>
      </rPr>
      <t>proposed target ambition</t>
    </r>
    <r>
      <rPr>
        <i/>
        <sz val="12"/>
        <color theme="1"/>
        <rFont val="Arial"/>
        <family val="2"/>
        <scheme val="minor"/>
      </rPr>
      <t xml:space="preserve"> for near-term targets. Each target ambition check must say "OK."</t>
    </r>
  </si>
  <si>
    <r>
      <rPr>
        <i/>
        <sz val="12"/>
        <color rgb="FF7030A0"/>
        <rFont val="Arial (Body)"/>
      </rPr>
      <t xml:space="preserve">Guidance: </t>
    </r>
    <r>
      <rPr>
        <i/>
        <sz val="12"/>
        <color theme="1"/>
        <rFont val="Arial"/>
        <family val="2"/>
        <scheme val="minor"/>
      </rPr>
      <t xml:space="preserve">Second, the proposed target ambitions for developed and developing economies are separately and automatically aggregated to the segment and overall portfolio level for near-term targets. Select the </t>
    </r>
    <r>
      <rPr>
        <b/>
        <i/>
        <sz val="12"/>
        <color theme="1"/>
        <rFont val="Arial"/>
        <family val="2"/>
        <scheme val="minor"/>
      </rPr>
      <t>target year</t>
    </r>
    <r>
      <rPr>
        <i/>
        <sz val="12"/>
        <color theme="1"/>
        <rFont val="Arial"/>
        <family val="2"/>
        <scheme val="minor"/>
      </rPr>
      <t xml:space="preserve"> and indicate the </t>
    </r>
    <r>
      <rPr>
        <b/>
        <i/>
        <sz val="12"/>
        <color theme="1"/>
        <rFont val="Arial"/>
        <family val="2"/>
        <scheme val="minor"/>
      </rPr>
      <t>proposed target ambition</t>
    </r>
    <r>
      <rPr>
        <i/>
        <sz val="12"/>
        <color theme="1"/>
        <rFont val="Arial"/>
        <family val="2"/>
        <scheme val="minor"/>
      </rPr>
      <t xml:space="preserve"> for the long-term target. The target ambition check must say "OK."</t>
    </r>
  </si>
  <si>
    <t>Climate-Alignment target</t>
  </si>
  <si>
    <t>LND_Mix_REG*ed</t>
  </si>
  <si>
    <t>LND_Mix_REG*ing</t>
  </si>
  <si>
    <t>ASSET OWNER INVESTING (AOI)</t>
  </si>
  <si>
    <r>
      <rPr>
        <i/>
        <sz val="14"/>
        <color rgb="FF7030A0"/>
        <rFont val="Arial (Body)"/>
      </rPr>
      <t>Guidance:</t>
    </r>
    <r>
      <rPr>
        <i/>
        <sz val="14"/>
        <color theme="1"/>
        <rFont val="Arial"/>
        <family val="2"/>
        <scheme val="minor"/>
      </rPr>
      <t xml:space="preserve"> Please select the </t>
    </r>
    <r>
      <rPr>
        <b/>
        <i/>
        <sz val="14"/>
        <color theme="1"/>
        <rFont val="Arial"/>
        <family val="2"/>
        <scheme val="minor"/>
      </rPr>
      <t>target type</t>
    </r>
    <r>
      <rPr>
        <i/>
        <sz val="14"/>
        <color theme="1"/>
        <rFont val="Arial"/>
        <family val="2"/>
        <scheme val="minor"/>
      </rPr>
      <t xml:space="preserve"> (Climate-alignment only or a mix of climate-alignment and sector targets) and </t>
    </r>
    <r>
      <rPr>
        <b/>
        <i/>
        <sz val="14"/>
        <color theme="1"/>
        <rFont val="Arial"/>
        <family val="2"/>
        <scheme val="minor"/>
      </rPr>
      <t>geographic differentiation</t>
    </r>
    <r>
      <rPr>
        <i/>
        <sz val="14"/>
        <color theme="1"/>
        <rFont val="Arial"/>
        <family val="2"/>
        <scheme val="minor"/>
      </rPr>
      <t xml:space="preserve"> (global or regionally differentiated ambition level). After selection, proceed to the relevant table as indicated by the note. Please note that autopopulation is triggered by the selection here.</t>
    </r>
  </si>
  <si>
    <t>AOI_CAO_Global</t>
  </si>
  <si>
    <t>AOI_CAO_REG*ed</t>
  </si>
  <si>
    <t>AOI_CAO_REG*ing</t>
  </si>
  <si>
    <t>D: Fossil fuels</t>
  </si>
  <si>
    <t>AOI_Mix_Global</t>
  </si>
  <si>
    <t>AOI_Mix_REG*ed</t>
  </si>
  <si>
    <t>AOI_Mix_REG*ing</t>
  </si>
  <si>
    <t>ASSET MANAGER INVESTING (AMI)</t>
  </si>
  <si>
    <r>
      <rPr>
        <i/>
        <sz val="14"/>
        <color rgb="FF7030A0"/>
        <rFont val="Arial (Body)"/>
      </rPr>
      <t xml:space="preserve">Guidance: </t>
    </r>
    <r>
      <rPr>
        <i/>
        <sz val="14"/>
        <color theme="1"/>
        <rFont val="Arial"/>
        <family val="2"/>
        <scheme val="minor"/>
      </rPr>
      <t xml:space="preserve">Please select the </t>
    </r>
    <r>
      <rPr>
        <b/>
        <i/>
        <sz val="14"/>
        <color theme="1"/>
        <rFont val="Arial"/>
        <family val="2"/>
        <scheme val="minor"/>
      </rPr>
      <t>target type</t>
    </r>
    <r>
      <rPr>
        <i/>
        <sz val="14"/>
        <color theme="1"/>
        <rFont val="Arial"/>
        <family val="2"/>
        <scheme val="minor"/>
      </rPr>
      <t xml:space="preserve"> (Climate-alignment only or a mix of climate-alignment and sector targets) and </t>
    </r>
    <r>
      <rPr>
        <b/>
        <i/>
        <sz val="14"/>
        <color theme="1"/>
        <rFont val="Arial"/>
        <family val="2"/>
        <scheme val="minor"/>
      </rPr>
      <t>geographic differentiation</t>
    </r>
    <r>
      <rPr>
        <i/>
        <sz val="14"/>
        <color theme="1"/>
        <rFont val="Arial"/>
        <family val="2"/>
        <scheme val="minor"/>
      </rPr>
      <t xml:space="preserve"> (global or regionally differentiated ambition level), after selection proceed to the relevant table as indicated by the note. Please note that autopopulation is triggered by the selection here.</t>
    </r>
  </si>
  <si>
    <t>AMI_CAO_Global</t>
  </si>
  <si>
    <t>AMI_CAO_REG*ed</t>
  </si>
  <si>
    <t>AMI_CAO_REG*ing</t>
  </si>
  <si>
    <t>AMI_Mix_Global</t>
  </si>
  <si>
    <t>AMI_Mix_REG*ed</t>
  </si>
  <si>
    <t>AMI_Mix_REG*ing</t>
  </si>
  <si>
    <t>INSURANCE UNDERWRITING (INS)</t>
  </si>
  <si>
    <r>
      <rPr>
        <i/>
        <sz val="14"/>
        <color rgb="FF7030A0"/>
        <rFont val="Arial (Body)"/>
      </rPr>
      <t>Guidance:</t>
    </r>
    <r>
      <rPr>
        <i/>
        <sz val="14"/>
        <color theme="1"/>
        <rFont val="Arial"/>
        <family val="2"/>
        <scheme val="minor"/>
      </rPr>
      <t xml:space="preserve"> Please select the </t>
    </r>
    <r>
      <rPr>
        <b/>
        <i/>
        <sz val="14"/>
        <color theme="1"/>
        <rFont val="Arial"/>
        <family val="2"/>
        <scheme val="minor"/>
      </rPr>
      <t>target type</t>
    </r>
    <r>
      <rPr>
        <i/>
        <sz val="14"/>
        <color theme="1"/>
        <rFont val="Arial"/>
        <family val="2"/>
        <scheme val="minor"/>
      </rPr>
      <t xml:space="preserve"> (Climate-alignment only or a mix of climate-alignment and sector targets) and </t>
    </r>
    <r>
      <rPr>
        <b/>
        <i/>
        <sz val="14"/>
        <color theme="1"/>
        <rFont val="Arial"/>
        <family val="2"/>
        <scheme val="minor"/>
      </rPr>
      <t>geographic differentiation</t>
    </r>
    <r>
      <rPr>
        <i/>
        <sz val="14"/>
        <color theme="1"/>
        <rFont val="Arial"/>
        <family val="2"/>
        <scheme val="minor"/>
      </rPr>
      <t xml:space="preserve"> (global or regionally differentiated ambition level), after selection proceed to the relevant table as indicated by the note. Please note that autopopulation is triggered by the selection here.</t>
    </r>
  </si>
  <si>
    <r>
      <rPr>
        <i/>
        <sz val="14"/>
        <color rgb="FF7030A0"/>
        <rFont val="Arial (Body)"/>
      </rPr>
      <t>Guidance:</t>
    </r>
    <r>
      <rPr>
        <sz val="14"/>
        <color rgb="FF7030A0"/>
        <rFont val="Arial (Body)"/>
      </rPr>
      <t xml:space="preserve"> </t>
    </r>
    <r>
      <rPr>
        <sz val="14"/>
        <color theme="1"/>
        <rFont val="Arial"/>
        <family val="2"/>
        <scheme val="minor"/>
      </rPr>
      <t>These three cells need to be filled for the calculations in this tab to function correctly. These cells will autopopulate once the selection to the left is done.</t>
    </r>
  </si>
  <si>
    <t>INS_CAO_Global</t>
  </si>
  <si>
    <t>INS_CAO_REG*ed</t>
  </si>
  <si>
    <t>INS_CAO_REG*ing</t>
  </si>
  <si>
    <t>INS_Mix_Global</t>
  </si>
  <si>
    <t>INS_Mix_REG*ed</t>
  </si>
  <si>
    <t>INS_Mix_REG*ing</t>
  </si>
  <si>
    <r>
      <rPr>
        <i/>
        <sz val="14"/>
        <color rgb="FF7030A0"/>
        <rFont val="Arial (Body)"/>
      </rPr>
      <t xml:space="preserve">Guidance: </t>
    </r>
    <r>
      <rPr>
        <i/>
        <sz val="14"/>
        <color theme="1"/>
        <rFont val="Arial"/>
        <family val="2"/>
        <scheme val="minor"/>
      </rPr>
      <t xml:space="preserve">Please select the </t>
    </r>
    <r>
      <rPr>
        <b/>
        <i/>
        <sz val="14"/>
        <color theme="1"/>
        <rFont val="Arial"/>
        <family val="2"/>
        <scheme val="minor"/>
      </rPr>
      <t>target type</t>
    </r>
    <r>
      <rPr>
        <i/>
        <sz val="14"/>
        <color theme="1"/>
        <rFont val="Arial"/>
        <family val="2"/>
        <scheme val="minor"/>
      </rPr>
      <t xml:space="preserve"> (Climate-alignment only or a mix of climate-alignment and sector targets) and </t>
    </r>
    <r>
      <rPr>
        <b/>
        <i/>
        <sz val="14"/>
        <color theme="1"/>
        <rFont val="Arial"/>
        <family val="2"/>
        <scheme val="minor"/>
      </rPr>
      <t>geographic differentiation</t>
    </r>
    <r>
      <rPr>
        <i/>
        <sz val="14"/>
        <color theme="1"/>
        <rFont val="Arial"/>
        <family val="2"/>
        <scheme val="minor"/>
      </rPr>
      <t xml:space="preserve"> (global or regionally differentiated ambition level). After selection, proceed to the relevant table as indicated by the note. Please note that autopopulation is triggered by the selection here.</t>
    </r>
  </si>
  <si>
    <t>CMA_CAO_Global</t>
  </si>
  <si>
    <t>CMA_CAO_REG*ed</t>
  </si>
  <si>
    <t>CMA_CAO_REG*ing</t>
  </si>
  <si>
    <t>CMA_Mix_Global</t>
  </si>
  <si>
    <t>CMA_Mix_REG*ed</t>
  </si>
  <si>
    <t>CMA_Mix_REG*ing</t>
  </si>
  <si>
    <r>
      <t xml:space="preserve">SBTi Financial Institutions Net-Zero Target-Setting Tool
</t>
    </r>
    <r>
      <rPr>
        <sz val="10"/>
        <color rgb="FF000000"/>
        <rFont val="Arial"/>
        <family val="2"/>
        <scheme val="minor"/>
      </rPr>
      <t xml:space="preserve">
Version: 1.0
Date: September 04, 2025
Support: financialinstitutions@sciencebasedtargets.org</t>
    </r>
  </si>
  <si>
    <r>
      <rPr>
        <i/>
        <sz val="14"/>
        <color rgb="FF7030A0"/>
        <rFont val="Arial (Body)"/>
      </rPr>
      <t xml:space="preserve">Guidance: </t>
    </r>
    <r>
      <rPr>
        <i/>
        <sz val="14"/>
        <color theme="1"/>
        <rFont val="Arial"/>
        <family val="2"/>
        <scheme val="minor"/>
      </rPr>
      <t xml:space="preserve">This table serves to support financial institutions retrieving the appropriate information to provide in the Financial Institutions Net-Zero Submission Form. This is the tab to use after successfully having gone through the segmentation and climate-alignment target calculations.
- You can filter according to previous selections and copy and paste the relevant content into the submission form. Please note that this is not exhaustive. In case financial institutions want to submit a further breakdown for segments A through D, they can retrieve the corresponding information from the Climate-Alignment Target tab directly. </t>
    </r>
  </si>
  <si>
    <r>
      <rPr>
        <i/>
        <sz val="14"/>
        <color rgb="FF7030A0"/>
        <rFont val="Arial"/>
        <family val="2"/>
        <scheme val="minor"/>
      </rPr>
      <t>Guidance:</t>
    </r>
    <r>
      <rPr>
        <i/>
        <sz val="14"/>
        <color theme="1"/>
        <rFont val="Arial"/>
        <family val="2"/>
        <scheme val="minor"/>
      </rPr>
      <t xml:space="preserve"> The cells in blue heading are the corresponding extract of the submission form. </t>
    </r>
  </si>
  <si>
    <t>matching row</t>
  </si>
  <si>
    <r>
      <t xml:space="preserve">Sector or Segment
</t>
    </r>
    <r>
      <rPr>
        <i/>
        <sz val="12"/>
        <color theme="0"/>
        <rFont val="Helvetica"/>
        <family val="2"/>
      </rPr>
      <t>e.g., fossil fuel sector or segment A/B/C/D or XX sector in segment A/B/C/D or remaining financial activities</t>
    </r>
  </si>
  <si>
    <t>Global or Regional</t>
  </si>
  <si>
    <t>If Regional,  Developed or Developing economy</t>
  </si>
  <si>
    <t>Base year</t>
  </si>
  <si>
    <t>Proposed ambition
%</t>
  </si>
  <si>
    <t>Climate-Alignment Target Only</t>
  </si>
  <si>
    <t>LND</t>
  </si>
  <si>
    <t>[Financial institution name] commits that [XX]% of its applicable [LND, AOI, AMI, INS, CMA] activities will be climate-aligned by [near-term target year] from a [202x] base year. This includes: 
- [XX]% climate-alignment of financial activities in the [(XX (e.g., fossil fuel) sector) or (segment A/B/C/D) or (XX sector in segment A/B/C/D)];
- [XX]% climate-alignment of all remaining financial activities [e.g., segment B and C].
[Financial institution name] commits that [XX]% of its applicable [LND, AOI, AMI, INS, CMA] activities will be climate-aligned by [near-term target year] from a [202x] base year. This includes: 
- [XX]% climate-alignment of financial activities in the [(XX sector) or (segment A/B/C/D) or (XX sector in segment A/B/C/D)] in developed economies;
- [XX]% climate-alignment of financial activities in the [(XX sector) or (segment A/B/C/D) or (XX sector in segment A/B/C/D)] in developing economies;
- [XX]% climate-alignment of all remaining financial activities in developed economies and [XX]% climate-alignment of all remaining financial activities in developing economies.</t>
  </si>
  <si>
    <t>All Segments</t>
  </si>
  <si>
    <t>Global</t>
  </si>
  <si>
    <t>Regional</t>
  </si>
  <si>
    <t>Mix of Climate-Alignment and Sector Targets</t>
  </si>
  <si>
    <t>AOI</t>
  </si>
  <si>
    <t>AMI</t>
  </si>
  <si>
    <t>INS</t>
  </si>
  <si>
    <t>CMA</t>
  </si>
  <si>
    <r>
      <t xml:space="preserve">SBTi Financial Institutions Net-Zero Target-Setting Tool
</t>
    </r>
    <r>
      <rPr>
        <sz val="10"/>
        <color theme="1"/>
        <rFont val="Arial"/>
        <family val="2"/>
      </rPr>
      <t xml:space="preserve">
Version: 1.0
Date: September 04, 2025.
Support: financialinstitutions@sciencebasedtargets.org </t>
    </r>
  </si>
  <si>
    <t>1.</t>
  </si>
  <si>
    <t>A complete phaseout of coal-related financial activities by the end of 2030 in OECD countries and by the end of 2040 in non-OECD countries is required. If the applicable phaseout year for non-OECD counterparties is more than five years from the year of target submission, financial institutions shall additionally set a near-term coal phaseout reduction target on the absolute emissions (FINZ.1a) and/or the financial exposure (FINZ.1b). At least one Phaseout Target (FINZ.1a or FINZ.1b) is required. If the geographic scope of the Phaseout Target is not Global (i.e., with OECD and non-OECD differentiation), at least one additional (ii) Phaseout Target and one (iii) Near-Term Reduction Target are also required for non-OECD counterparties</t>
  </si>
  <si>
    <t>i. Phaseout Target Option 1a (OECD or Global; Absolute Emissions)</t>
  </si>
  <si>
    <t>Metric Code (per Table 4.3 in the Standard)</t>
  </si>
  <si>
    <t>Phaseout target-FINZ.1a</t>
  </si>
  <si>
    <t>Metric Type</t>
  </si>
  <si>
    <t>Absolute Emissions</t>
  </si>
  <si>
    <t>Metric Unit</t>
  </si>
  <si>
    <t>Base Year Emissions [tCO2e]</t>
  </si>
  <si>
    <t>Provide base year data.</t>
  </si>
  <si>
    <t>Geographic Scope</t>
  </si>
  <si>
    <t>Select geographic scope.</t>
  </si>
  <si>
    <t>Base Year</t>
  </si>
  <si>
    <t>Select base year.</t>
  </si>
  <si>
    <t>Target Year</t>
  </si>
  <si>
    <t>Select target year.</t>
  </si>
  <si>
    <t>Benchmark Phaseout Year % Reduction</t>
  </si>
  <si>
    <t>Proposed % Reduction in Absolute Emissions</t>
  </si>
  <si>
    <t>Provide proposed target %</t>
  </si>
  <si>
    <t>Proposed Target Meets Minimum Ambition</t>
  </si>
  <si>
    <t>i. Phaseout Target Option 1b (OECD or Global; Financial Exposure)</t>
  </si>
  <si>
    <t>Phaseout target-FINZ.1b</t>
  </si>
  <si>
    <t>Financial Exposure</t>
  </si>
  <si>
    <t>EUR</t>
  </si>
  <si>
    <t>Select metric unit.</t>
  </si>
  <si>
    <t>Metric Unit Input (if 'Other' is selected above)</t>
  </si>
  <si>
    <t>Provide metric unit.</t>
  </si>
  <si>
    <t>Proposed % Reduction in Financial Exposure</t>
  </si>
  <si>
    <t>ii. Phaseout Target Option 1a (Non-OECD; Absolute Emissions)</t>
  </si>
  <si>
    <t>Non-OECD</t>
  </si>
  <si>
    <t xml:space="preserve"> </t>
  </si>
  <si>
    <t>ii. Phaseout Target Option 1b (Non-OECD; Financial Exposure)</t>
  </si>
  <si>
    <t>iii. Near-Term Reduction Target Option 1a (Non-OECD; Absolute Emissions)</t>
  </si>
  <si>
    <t>Sector metric-FINZ.1a</t>
  </si>
  <si>
    <t>Benchmark Target Year % Reduction in Absolute Emissions</t>
  </si>
  <si>
    <t>Calculated against target year provided in ii. Phaseout Target 1a (Non-OECD; Absolute Emissions)</t>
  </si>
  <si>
    <t>Provide proposed target %.</t>
  </si>
  <si>
    <t>Proposed Target Year Emissions [tCO2e]</t>
  </si>
  <si>
    <t>iii. Near-Term Reduction Target Option 1b (Non-OECD; Financial Exposure)</t>
  </si>
  <si>
    <t>Sector metric-FINZ.1b</t>
  </si>
  <si>
    <t>Benchmark Target Year % Reduction in Financial Exposure</t>
  </si>
  <si>
    <t>Calculated against target year provided in ii. Phaseout Target 1b (Non-OECD; Financial Exposure).</t>
  </si>
  <si>
    <t>2.</t>
  </si>
  <si>
    <t>Oil &amp; Gas</t>
  </si>
  <si>
    <t>Sector metric-FINZ.2</t>
  </si>
  <si>
    <t>Pathway</t>
  </si>
  <si>
    <t>IEA NZE (2023)</t>
  </si>
  <si>
    <t>3.</t>
  </si>
  <si>
    <t>Power Generation</t>
  </si>
  <si>
    <t>Portfolio Intensity Convergence</t>
  </si>
  <si>
    <t>Sector metric-FINZ.3a</t>
  </si>
  <si>
    <t>Emissions Intensity</t>
  </si>
  <si>
    <t>tCO2e/MWh</t>
  </si>
  <si>
    <t>SBTi Power Sector Pathway Envelope</t>
  </si>
  <si>
    <t>Base Year Activity [MWh]</t>
  </si>
  <si>
    <t>Base Year Intensity [tCO2e/MWh]</t>
  </si>
  <si>
    <t>Benchmark Base Year Intensity [tCO2e/MWh]</t>
  </si>
  <si>
    <t>Base Year Value Aligns With Benchmark</t>
  </si>
  <si>
    <t>Maximum Acceptable Target Year Intensity [tCO2e/MWh]</t>
  </si>
  <si>
    <t>Proposed Target Year Intensity [tCO2e/MWh]</t>
  </si>
  <si>
    <t>Portfolio Index Alignment</t>
  </si>
  <si>
    <t>Sector metric-FINZ.3b</t>
  </si>
  <si>
    <t>Technology Share</t>
  </si>
  <si>
    <t>% Zero-Emissions Generation Capacity</t>
  </si>
  <si>
    <t>Base Year Zero Carbon Generation Capacity [MW]</t>
  </si>
  <si>
    <t>Base Year Total Generation Capacity [MW]</t>
  </si>
  <si>
    <t>Provide proposed target year value</t>
  </si>
  <si>
    <t>4.</t>
  </si>
  <si>
    <t>Air Transport</t>
  </si>
  <si>
    <t>If available, please provide the segmental breakdown of business activity in the base year (Option 1), otherwise, please provide the overall business activity in the base year (Option 2).</t>
  </si>
  <si>
    <t>Option 1: Report Segmental Breakdown of Business Activity</t>
  </si>
  <si>
    <t>Sector metric-FINZ.4</t>
  </si>
  <si>
    <t>gCO2e/RTK</t>
  </si>
  <si>
    <t>SBTi 1.5˚C (IEA SDS and ICCT Breakthrough scenario)</t>
  </si>
  <si>
    <t>Well-to-Wake or Tank-to-Wake Emissions?</t>
  </si>
  <si>
    <t>Well-to-Wake</t>
  </si>
  <si>
    <t>Select applicable option.</t>
  </si>
  <si>
    <t>Base Year Data Check</t>
  </si>
  <si>
    <t>Base Year Total Well-to-Wake Emissions [tCO2e]</t>
  </si>
  <si>
    <t>Base Year Total Activity [RTK]</t>
  </si>
  <si>
    <t>Base Year Intensity [gCO2e/RTK]</t>
  </si>
  <si>
    <t>Benchmark Base Year Intensity [gCO2e/RTK]</t>
  </si>
  <si>
    <t>Maximum Acceptable Target Year Intensity [gCO2e/RTK]</t>
  </si>
  <si>
    <t>Proposed Target Year Intensity [gCO2e/RTK]</t>
  </si>
  <si>
    <t>Option 2: Report Overall Business Activity</t>
  </si>
  <si>
    <t>Base Year Activity [RTK]</t>
  </si>
  <si>
    <t>Maximum Acceptable Year Intensity [gCO2e/RTK]</t>
  </si>
  <si>
    <t>5.</t>
  </si>
  <si>
    <t>For the maritime sector, financial institutions shall use the SBTi Maritime Transport Target-Setting Tool.</t>
  </si>
  <si>
    <t>6.</t>
  </si>
  <si>
    <t>Automotive</t>
  </si>
  <si>
    <t>Sector metric-FINZ.6a</t>
  </si>
  <si>
    <t>tCO2e/v.km</t>
  </si>
  <si>
    <t>Base Year Well-to-Wheel Emissions [tCO2e]</t>
  </si>
  <si>
    <t>Base Year Activity [v.km]</t>
  </si>
  <si>
    <t>Base Year Intensity [tCO2e/v.km]</t>
  </si>
  <si>
    <t>Benchmark Base Year Intensity [tCO2e/v.km]</t>
  </si>
  <si>
    <t>Maximum Acceptable Target Year Intensity [tCO2e/v.km]</t>
  </si>
  <si>
    <t>Proposed Target Year Intensity [tCO2e/v.km]</t>
  </si>
  <si>
    <t>Sector metric-FINZ.6b</t>
  </si>
  <si>
    <t>% New Zero-Emissions Vehicles</t>
  </si>
  <si>
    <t>Base Year Zero-Emissions Vehicles Production [Units]</t>
  </si>
  <si>
    <t>Base Year Total Vehicle Production [Units]</t>
  </si>
  <si>
    <t>Provide proposed target.</t>
  </si>
  <si>
    <t>7.</t>
  </si>
  <si>
    <t>Sector metric-FINZ.7</t>
  </si>
  <si>
    <t>tCO2e/t Cement</t>
  </si>
  <si>
    <t>IEA NZE (2021)</t>
  </si>
  <si>
    <t>Select pathway and base year.</t>
  </si>
  <si>
    <t>Base Year Activity [t Cement]</t>
  </si>
  <si>
    <t>Base Year Intensity [tCO2e/t Cement]</t>
  </si>
  <si>
    <t>Benchmark Base Year Intensity [tCO2e/t Cement]</t>
  </si>
  <si>
    <t>Maximum Acceptable Target Year Intensity [tCO2e/t Cement]</t>
  </si>
  <si>
    <t>Proposed Target Year Intensity [tCO2e/t Cement]</t>
  </si>
  <si>
    <t>8.</t>
  </si>
  <si>
    <t>Steel Production</t>
  </si>
  <si>
    <t>Sector metric-FINZ.8</t>
  </si>
  <si>
    <t>tCO2e/t Hot Rolled Steel</t>
  </si>
  <si>
    <t>Base Year Activity [t Hot Rolled Steel]</t>
  </si>
  <si>
    <t>Base Year Scrap Ratio [%] (OPTIONAL)</t>
  </si>
  <si>
    <t>Provide base year data (assumes the same scrap ratio over the base year to target year time period)</t>
  </si>
  <si>
    <t>Base Year Intensity [tCO2e/t Hot Rolled Steel]</t>
  </si>
  <si>
    <t>Benchmark Base Year Intensity [tCO2e/t Hot Rolled Steel]</t>
  </si>
  <si>
    <t>Maximum Acceptable Target Year Intensity [tCO2e/t Hot Rolled Steel]</t>
  </si>
  <si>
    <t>Proposed Target Year Intensity [tCO2e/t Hot Rolled Steel]</t>
  </si>
  <si>
    <t>9.</t>
  </si>
  <si>
    <t>For the buildings sector, financial institutions shall use the SBTi Buildings Target-Setting Tool.</t>
  </si>
  <si>
    <t>10.</t>
  </si>
  <si>
    <t>For the FLAG sector, financial institutions shall use the SBTi FLAG Target-Setting Tool.</t>
  </si>
  <si>
    <t>Beef</t>
  </si>
  <si>
    <t>Code</t>
  </si>
  <si>
    <t>Sector metric-FINZ.10</t>
  </si>
  <si>
    <t>tCO2e/t Fresh Weight</t>
  </si>
  <si>
    <t>SBTi Pathway</t>
  </si>
  <si>
    <t>Base Year Activity [t Fresh Weight]</t>
  </si>
  <si>
    <t>Base Year Intensity [tCO2e/t Fresh Weight]</t>
  </si>
  <si>
    <t>Benchmark Base Year Intensity [tCO2e/t Fresh Weight]</t>
  </si>
  <si>
    <t>Benchmark Target Year Intensity [tCO2e/t Fresh Weight]</t>
  </si>
  <si>
    <t>Proposed Target Year Intensity [tCO2e/t Fresh Weight]</t>
  </si>
  <si>
    <t>Chicken</t>
  </si>
  <si>
    <t>Dairy</t>
  </si>
  <si>
    <t>tCO2e/t FPCM</t>
  </si>
  <si>
    <t>Base Year Activity [t FPCM]</t>
  </si>
  <si>
    <t>Base Year Intensity [tCO2e/t FPCM]</t>
  </si>
  <si>
    <t>Benchmark Base Year Intensity [tCO2e/t FPCM]</t>
  </si>
  <si>
    <t>Benchmark Target Year Intensity [tCO2e/t FPCM]</t>
  </si>
  <si>
    <t>Proposed Target Year Intensity [tCO2e/t FPCM]</t>
  </si>
  <si>
    <t>Leather</t>
  </si>
  <si>
    <t>Maize</t>
  </si>
  <si>
    <t>Palm Oil</t>
  </si>
  <si>
    <t>tCO2e/t Crude Oil</t>
  </si>
  <si>
    <t>Base Year Activity [t Crude Oil]</t>
  </si>
  <si>
    <t>Base Year Intensity [tCO2e/t Crude Oil]</t>
  </si>
  <si>
    <t>Benchmark Base Year Intensity [tCO2e/t Crude Oil]</t>
  </si>
  <si>
    <t>Benchmark Target Year Intensity [tCO2e/t Crude Oil]</t>
  </si>
  <si>
    <t>Proposed Target Year Intensity [tCO2e/t Crude Oil]</t>
  </si>
  <si>
    <t>Pork</t>
  </si>
  <si>
    <t>Rice</t>
  </si>
  <si>
    <t>Soy</t>
  </si>
  <si>
    <t>Wheat</t>
  </si>
  <si>
    <r>
      <rPr>
        <b/>
        <sz val="24"/>
        <color theme="1"/>
        <rFont val="Arial"/>
        <family val="2"/>
      </rPr>
      <t xml:space="preserve">SBTi Financial Institutions Net-Zero Target-Setting Tool
</t>
    </r>
    <r>
      <rPr>
        <sz val="10"/>
        <color theme="1"/>
        <rFont val="Arial"/>
        <family val="2"/>
      </rPr>
      <t>Version: 1.0
Date: Setpember 04, 2025
Support: financialinstitutions@sciencebasedtargets.org</t>
    </r>
  </si>
  <si>
    <t>Phaseout Targets</t>
  </si>
  <si>
    <t>Sector</t>
  </si>
  <si>
    <t>Absolute Phaseout Target Year</t>
  </si>
  <si>
    <t>Benchmark % Reduction in Emissions Exposure</t>
  </si>
  <si>
    <t>Benchmark % Reduction in Financial Exposure</t>
  </si>
  <si>
    <t>Proposed % Reduction in Absolute Emissions Exposure</t>
  </si>
  <si>
    <t>Proposed Target Year  Absolute Emissions [tCO2e]</t>
  </si>
  <si>
    <t>Not Applicable</t>
  </si>
  <si>
    <t>Coal | iii. Near-Term Reduction Target Option 1a (Non-OECD; Absolute Emissions)</t>
  </si>
  <si>
    <t xml:space="preserve"> Not Applicable </t>
  </si>
  <si>
    <t>Coal | iii. Near-Term Reduction Target Option 1b (Non-OECD; Financial Exposure)</t>
  </si>
  <si>
    <t>Absolute Contraction Targets</t>
  </si>
  <si>
    <t>Benchmark % Reduction in Absolute Emissions</t>
  </si>
  <si>
    <t>Portfolio Intensity Convergence Targets</t>
  </si>
  <si>
    <t>Base Year Activity</t>
  </si>
  <si>
    <t>Base Year Scrap Ratio [%]</t>
  </si>
  <si>
    <t>Base Year Intensity</t>
  </si>
  <si>
    <t>Benchmark Base Year Intensity</t>
  </si>
  <si>
    <t>Benchmark Target Year Intensity</t>
  </si>
  <si>
    <t>Proposed Target Year Intensity</t>
  </si>
  <si>
    <t>Proposed % Reduction in Emissions Intensity</t>
  </si>
  <si>
    <t>Portfolio Index Alignment Targets</t>
  </si>
  <si>
    <t>Base Year Zero-Emissions Generation Capacity [MW]</t>
  </si>
  <si>
    <t>Base Year % Zero-Emissions Generation Capacity</t>
  </si>
  <si>
    <t>Benchmark Base Year % Zero-Emissions Generation Capacity</t>
  </si>
  <si>
    <t>Benchmark Target Year % Zero-Emissions Generation Capacity</t>
  </si>
  <si>
    <t>Proposed Target Year % Zero-Emissions Generation Capacity</t>
  </si>
  <si>
    <t>Proposed % Growth in Technology Share</t>
  </si>
  <si>
    <t>Base Year % New Zero-Emissions Vehicles</t>
  </si>
  <si>
    <t>Benchmark Base Year % New Zero-Emissions Vehicles</t>
  </si>
  <si>
    <t>Benchmark Target Year % New Zero-Emissions Vehicles</t>
  </si>
  <si>
    <t>Proposed Target Year % New Zero-Emissions Vehicles</t>
  </si>
  <si>
    <t>User Input</t>
  </si>
  <si>
    <t>Sub-Sector</t>
  </si>
  <si>
    <t>Region</t>
  </si>
  <si>
    <t>Correction Factors (AER)</t>
  </si>
  <si>
    <t>Net-Zero Aligned Year</t>
  </si>
  <si>
    <t>Fixed</t>
  </si>
  <si>
    <t xml:space="preserve"> Company Base Year Value</t>
  </si>
  <si>
    <t>Company Target Year Value</t>
  </si>
  <si>
    <t>Pathway Base Year Value</t>
  </si>
  <si>
    <t>Calculation</t>
  </si>
  <si>
    <t>Alignment</t>
  </si>
  <si>
    <t>Pathway Target Year Value</t>
  </si>
  <si>
    <t>Pathway Net-Zero Aligned Year Value</t>
  </si>
  <si>
    <t>Benchmark Target Year Value</t>
  </si>
  <si>
    <t>Final Output</t>
  </si>
  <si>
    <t>Company Base Year Scrap Ratio</t>
  </si>
  <si>
    <t>Activity Weight Mean</t>
  </si>
  <si>
    <t>SBTi 1.5C (Interim)</t>
  </si>
  <si>
    <t>Dedicated Freighters Long-Haul Weight</t>
  </si>
  <si>
    <t>Dedicated Freighters Short-Haul Weight</t>
  </si>
  <si>
    <t>Passenger Aircraft Belly Freight Weight</t>
  </si>
  <si>
    <t>Passenger Aircraft Long-Haul Weight</t>
  </si>
  <si>
    <t>Passenger Aircraft Short-Haul Weight</t>
  </si>
  <si>
    <t>Company % Reduction</t>
  </si>
  <si>
    <t>Benchmark % Reduction</t>
  </si>
  <si>
    <t>Valid Pathway?</t>
  </si>
  <si>
    <t>User Input Required For Benchmark Complete?</t>
  </si>
  <si>
    <t>User Input Required For Ambition Complete?</t>
  </si>
  <si>
    <t>base_year_options</t>
  </si>
  <si>
    <t>target_year_options</t>
  </si>
  <si>
    <t>coal_currency_options</t>
  </si>
  <si>
    <t>air_transport_wtw_ttw</t>
  </si>
  <si>
    <t>coal_geography_options</t>
  </si>
  <si>
    <t>coal_nonOECD_phaseout_target_years</t>
  </si>
  <si>
    <t>coal_OECDorGlobal_phaseout_target_years</t>
  </si>
  <si>
    <t>Phaseout_metric</t>
  </si>
  <si>
    <t>USD</t>
  </si>
  <si>
    <t>Tank-to-Wake</t>
  </si>
  <si>
    <t>JPY</t>
  </si>
  <si>
    <t>GBP</t>
  </si>
  <si>
    <t>AUD</t>
  </si>
  <si>
    <t>CAD</t>
  </si>
  <si>
    <t>CHF</t>
  </si>
  <si>
    <t>CNH</t>
  </si>
  <si>
    <t>HKD</t>
  </si>
  <si>
    <t>NZD</t>
  </si>
  <si>
    <t>Pathway Database</t>
  </si>
  <si>
    <t>Dedicated Freighters Long-Haul</t>
  </si>
  <si>
    <t>Dedicated Freighters Short-Haul</t>
  </si>
  <si>
    <t>Generic</t>
  </si>
  <si>
    <t>gCO2e/RTk</t>
  </si>
  <si>
    <t>Passenger Aircraft Belly Freight</t>
  </si>
  <si>
    <t>Passenger Aircraft Long-Haul</t>
  </si>
  <si>
    <t>Passenger Aircraft Short-Haul</t>
  </si>
  <si>
    <t>tCO2/v.km</t>
  </si>
  <si>
    <t>% Zero Carbon Production</t>
  </si>
  <si>
    <t>tCO2/t Cement</t>
  </si>
  <si>
    <t>MtCO2e</t>
  </si>
  <si>
    <t>tCO2/t fresh weight</t>
  </si>
  <si>
    <t>% 2022 Value (Scope 1, 2 &amp; 3.11)</t>
  </si>
  <si>
    <t>tCO2/MWh</t>
  </si>
  <si>
    <t>Primary</t>
  </si>
  <si>
    <t>tCO2/t Hot Rolled Steel</t>
  </si>
  <si>
    <t>Secondary</t>
  </si>
  <si>
    <t>Pathway References</t>
  </si>
  <si>
    <t>See SBTi Aviation Guidance (https://files.sciencebasedtargets.org/production/files/1.5C-Aviation-Interim-Technical-Report-Final.pdf) for complete details of aviaiton pathways</t>
  </si>
  <si>
    <t>IEA. (2023a). Net Zero Roadmap. A Global Pathway to Keep the 1.5 °C Goal in Reach. Paris</t>
  </si>
  <si>
    <t>See SBTi Cement Guidance (https://files.sciencebasedtargets.org/production/files/SBTi-Cement-Guidance.pdf ) for complete details of cement pathways</t>
  </si>
  <si>
    <t>See SBTi Cement Guidance (https://files.sciencebasedtargets.org/production/files/1.5C-Aviation-Interim-Technical-Report-Final.pdf) for complete details of cement pathways</t>
  </si>
  <si>
    <t>Oil and Gas</t>
  </si>
  <si>
    <t>See Net Zero Roadmap. A Global Pathway to Keep the 1.5 °C Goal in Reach. Paris; IEA. (2023) for Scope 1, 2, and 3 emissions pathways. See Emissions from Oil and Gas Operations in Net Zero Transitions; IEA (2023) for weighting of Scope 1+2 and Scope 3 emissions</t>
  </si>
  <si>
    <t>See SBTi Power Guidance (https://files.sciencebasedtargets.org/production/files/SBTi-Power-Sector-15C-guide-FINAL.pdf) for complete details of power generation pathways</t>
  </si>
  <si>
    <t>See SBTi Steel Guidance (https://files.sciencebasedtargets.org/production/files/SBTi-Steel-Guidance.pdf ) for complete details of steel pathways</t>
  </si>
  <si>
    <r>
      <t>Guidance:</t>
    </r>
    <r>
      <rPr>
        <i/>
        <sz val="14"/>
        <color rgb="FF000000"/>
        <rFont val="Arial"/>
        <family val="2"/>
        <scheme val="minor"/>
      </rPr>
      <t xml:space="preserve"> The cells in blue heading are the corresponding extract of the submission form. </t>
    </r>
  </si>
  <si>
    <t>Net-Zero Target Year</t>
  </si>
  <si>
    <t>Corresponding Long-term Target Language - see Standard Annex B</t>
  </si>
  <si>
    <t>Corresponding Short-term Target Language - see Standard Annex B</t>
  </si>
  <si>
    <r>
      <t xml:space="preserve">Global or Regional 
</t>
    </r>
    <r>
      <rPr>
        <sz val="12"/>
        <color theme="0"/>
        <rFont val="Helvetica"/>
        <family val="2"/>
      </rPr>
      <t>(geographic scope of associated short-term targets)</t>
    </r>
  </si>
  <si>
    <r>
      <rPr>
        <b/>
        <sz val="12"/>
        <color rgb="FF3289B8"/>
        <rFont val="Arial (Body)"/>
      </rPr>
      <t>Financial activity</t>
    </r>
    <r>
      <rPr>
        <b/>
        <sz val="12"/>
        <color rgb="FF3289B7"/>
        <rFont val="Arial"/>
        <family val="2"/>
        <scheme val="minor"/>
      </rPr>
      <t xml:space="preserve">
</t>
    </r>
    <r>
      <rPr>
        <i/>
        <sz val="12"/>
        <color rgb="FF7030A0"/>
        <rFont val="Arial"/>
        <family val="2"/>
        <scheme val="minor"/>
      </rPr>
      <t>Select all in-scope</t>
    </r>
  </si>
  <si>
    <t>Near-term Target year</t>
  </si>
  <si>
    <r>
      <rPr>
        <b/>
        <i/>
        <sz val="20"/>
        <color rgb="FF7030A0"/>
        <rFont val="Arial (Body)"/>
      </rPr>
      <t>Long-term Targets</t>
    </r>
    <r>
      <rPr>
        <i/>
        <sz val="14"/>
        <color rgb="FF7030A0"/>
        <rFont val="Arial"/>
        <family val="2"/>
        <scheme val="minor"/>
      </rPr>
      <t xml:space="preserve">
Guidance: </t>
    </r>
    <r>
      <rPr>
        <i/>
        <sz val="14"/>
        <color theme="1"/>
        <rFont val="Arial"/>
        <family val="2"/>
        <scheme val="minor"/>
      </rPr>
      <t xml:space="preserve">Please filter according to previous selections. </t>
    </r>
  </si>
  <si>
    <r>
      <rPr>
        <b/>
        <i/>
        <sz val="20"/>
        <color rgb="FF7030A0"/>
        <rFont val="Arial (Body)"/>
      </rPr>
      <t>Short-term Targets</t>
    </r>
    <r>
      <rPr>
        <i/>
        <sz val="14"/>
        <color rgb="FF7030A0"/>
        <rFont val="Arial"/>
        <family val="2"/>
        <scheme val="minor"/>
      </rPr>
      <t xml:space="preserve">
Guidance: </t>
    </r>
    <r>
      <rPr>
        <i/>
        <sz val="14"/>
        <color theme="1"/>
        <rFont val="Arial"/>
        <family val="2"/>
        <scheme val="minor"/>
      </rPr>
      <t xml:space="preserve">Please filter according to previous selections. </t>
    </r>
  </si>
  <si>
    <t>Interim Target Year</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</si>
  <si>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</si>
  <si>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Financial Institutions Net-Zero Standard V1.0</t>
  </si>
  <si>
    <t xml:space="preserve">SECTOR TARGET-SETTING TOOL
</t>
  </si>
  <si>
    <t xml:space="preserve">SECTOR SUMMARY
</t>
  </si>
  <si>
    <r>
      <t xml:space="preserve">PATHWAY DATABASE
</t>
    </r>
    <r>
      <rPr>
        <sz val="12"/>
        <color theme="0"/>
        <rFont val="Arial"/>
        <family val="2"/>
      </rPr>
      <t xml:space="preserve">- Supplementary - </t>
    </r>
  </si>
  <si>
    <t>Select whether to set climate-alignment targets only or a mix of climate-alignment and sector targets. The data that will need to be provided will depend on this selection.</t>
  </si>
  <si>
    <t xml:space="preserve">Required tables to categorize financial activities into segments A, B, C, and D as well as to provide the base-year climate-alignment assessment and GHG emissions inventory.
Depending on the target type selection (i.e., climate-alignment targets only or mix of climate-alignment and sector targets) and the level the targets are being set (i.e., segment, sector, or sub-asset class), the financial institution will need to enter a different level of detail. </t>
  </si>
  <si>
    <t>Calculation of climate-alignment targets per financial activity, with information feeding automatically from the respective segmentation tabs as well as ambition checks.
Within each financial activity, the financial institution may select among four options on how it will set climate-alignment targets: 
1) Climate-alignment targets only OR mix of climate-alignment and sector targets.
2) With OR without regional differentiation (i.e., developed and developing economies).</t>
  </si>
  <si>
    <t>A set of tools for computing, from the base year emissions and activity and applicable pathways, the benchmark emissions intensity, technology share, phaseout ambition, or absolute emissions in the target year for individual sectors.
The tools will also assess whether the proposed company emissions intensity, technology share, financial exposure, or absolute emissions in the target year meet the minimum ambition represented by the benchmark values.</t>
  </si>
  <si>
    <t xml:space="preserve">Select whether to set climate-alignment targets only or a mix of climate-alignment and sector targets (as the data that will need to be provided will depend on this selection). This selection needs to be consistent with the selection from the corresponding financial activity segmentation tab. </t>
  </si>
  <si>
    <t xml:space="preserve">Select whether to set climate-alignment targets at an aggregate level (i.e., with no regional differentiation) or with a regional differentiation. Proceed to the row indicated by the note. </t>
  </si>
  <si>
    <t xml:space="preserve">The climate-alignment tool will use the minimum required ambition unless you indicate a desired ambition level. In that case, the tool will inform you about whether the ambition level is sufficient. </t>
  </si>
  <si>
    <t>Financial Institutions Net-Zero Standard v1.0</t>
  </si>
  <si>
    <r>
      <t xml:space="preserve">Select the year used for the revenue assessment (in the next row) and to calculate financial exposure (if completing the segmentation exercise in the 'Segmentation' tabs)*
</t>
    </r>
    <r>
      <rPr>
        <i/>
        <sz val="12"/>
        <color rgb="FF7030A0"/>
        <rFont val="Arial"/>
        <family val="2"/>
      </rPr>
      <t>single choice</t>
    </r>
  </si>
  <si>
    <r>
      <t xml:space="preserve">Indicate the share (%) of total revenue from each financial activity type
</t>
    </r>
    <r>
      <rPr>
        <sz val="12"/>
        <color rgb="FF7030A0"/>
        <rFont val="Arial"/>
        <family val="2"/>
      </rPr>
      <t>please use %, and use "." for decimals (do not use "," for decimals)</t>
    </r>
  </si>
  <si>
    <r>
      <t xml:space="preserve">Is the financial activity type required per the Financial Institutions Net-Zero Standard (i.e., it is required if the above cell is 5% or more and recommended if above 0% and below 5%)?
</t>
    </r>
    <r>
      <rPr>
        <i/>
        <sz val="12"/>
        <color rgb="FF7030A0"/>
        <rFont val="Arial"/>
        <family val="2"/>
      </rPr>
      <t>automatic</t>
    </r>
  </si>
  <si>
    <r>
      <t xml:space="preserve">Indicate the total financial exposure
</t>
    </r>
    <r>
      <rPr>
        <sz val="12"/>
        <color rgb="FF7030A0"/>
        <rFont val="Arial"/>
        <family val="2"/>
      </rPr>
      <t>example: 5,729,321</t>
    </r>
  </si>
  <si>
    <r>
      <t>Indicate the currency used for the financial exposure
e</t>
    </r>
    <r>
      <rPr>
        <sz val="12"/>
        <color rgb="FF7030A0"/>
        <rFont val="Arial"/>
        <family val="2"/>
      </rPr>
      <t>xample: EUR</t>
    </r>
  </si>
  <si>
    <r>
      <rPr>
        <b/>
        <u/>
        <sz val="12"/>
        <color theme="1"/>
        <rFont val="Arial (Body)"/>
      </rPr>
      <t>SEGMENT A</t>
    </r>
    <r>
      <rPr>
        <b/>
        <sz val="12"/>
        <color theme="1"/>
        <rFont val="Arial"/>
        <family val="2"/>
        <scheme val="minor"/>
      </rPr>
      <t>: OIL AND GAS TARGETS</t>
    </r>
  </si>
  <si>
    <t>SEGMENT A: OIL AND GAS TARGETS</t>
  </si>
  <si>
    <t>Oil and gas sub-sector</t>
  </si>
  <si>
    <t>Oil and gas sector in Segment A</t>
  </si>
  <si>
    <r>
      <t xml:space="preserve">Total financial exposure ($ value)
</t>
    </r>
    <r>
      <rPr>
        <sz val="12"/>
        <color rgb="FF7030A0"/>
        <rFont val="Arial (Body)"/>
      </rPr>
      <t>fill in if any exposure</t>
    </r>
  </si>
  <si>
    <r>
      <t>Gross portfolio GHG emissions: Scope 1+2</t>
    </r>
    <r>
      <rPr>
        <sz val="12"/>
        <color rgb="FF3289B7"/>
        <rFont val="Arial"/>
        <family val="2"/>
        <scheme val="minor"/>
      </rPr>
      <t xml:space="preserve">
</t>
    </r>
    <r>
      <rPr>
        <sz val="12"/>
        <color rgb="FF7030A0"/>
        <rFont val="Arial (Body)"/>
      </rPr>
      <t>fill in if any exposure</t>
    </r>
  </si>
  <si>
    <r>
      <t xml:space="preserve">Gross portfolio GHG emissions: Scope 3
</t>
    </r>
    <r>
      <rPr>
        <sz val="12"/>
        <color rgb="FF7030A0"/>
        <rFont val="Arial (Body)"/>
      </rPr>
      <t>fill in if any exposure</t>
    </r>
  </si>
  <si>
    <r>
      <t xml:space="preserve">Total gross portfolio GHG emissions
</t>
    </r>
    <r>
      <rPr>
        <sz val="12"/>
        <color rgb="FF7030A0"/>
        <rFont val="Arial (Body)"/>
      </rPr>
      <t>a</t>
    </r>
    <r>
      <rPr>
        <i/>
        <sz val="12"/>
        <color rgb="FF7030A0"/>
        <rFont val="Arial (Body)"/>
      </rPr>
      <t>utopopulates</t>
    </r>
  </si>
  <si>
    <r>
      <t xml:space="preserve">Share of financial exposure (% value)
</t>
    </r>
    <r>
      <rPr>
        <sz val="12"/>
        <color rgb="FF7030A0"/>
        <rFont val="Arial (Body)"/>
      </rPr>
      <t>a</t>
    </r>
    <r>
      <rPr>
        <i/>
        <sz val="12"/>
        <color rgb="FF7030A0"/>
        <rFont val="Arial (Body)"/>
      </rPr>
      <t>utopopulates</t>
    </r>
  </si>
  <si>
    <r>
      <t xml:space="preserve">Covered by near-term climate-alignment target?
</t>
    </r>
    <r>
      <rPr>
        <sz val="12"/>
        <color rgb="FF7030A0"/>
        <rFont val="Arial (Body)"/>
      </rPr>
      <t>select if true</t>
    </r>
  </si>
  <si>
    <r>
      <t xml:space="preserve">Covered by near-term sector target?
</t>
    </r>
    <r>
      <rPr>
        <sz val="12"/>
        <color rgb="FF7030A0"/>
        <rFont val="Arial (Body)"/>
      </rPr>
      <t>select if true; see Step 4 for the relevant sector metric</t>
    </r>
  </si>
  <si>
    <r>
      <t xml:space="preserve">Target ID
</t>
    </r>
    <r>
      <rPr>
        <sz val="12"/>
        <color rgb="FF7030A0"/>
        <rFont val="Arial (Body)"/>
      </rPr>
      <t>fill in if any target is set</t>
    </r>
  </si>
  <si>
    <r>
      <t xml:space="preserve">Total gross portfolio GHG emissions covered by near-term climate-alignment target
</t>
    </r>
    <r>
      <rPr>
        <sz val="12"/>
        <color rgb="FF7030A0"/>
        <rFont val="Arial (Body)"/>
      </rPr>
      <t>fill in if true and the minimum 67% target coverage of segments A, B, C, and D is met based on GHG emissions</t>
    </r>
  </si>
  <si>
    <r>
      <t xml:space="preserve">Financial exposure covered by the listed near-term sector target metric
</t>
    </r>
    <r>
      <rPr>
        <sz val="12"/>
        <color rgb="FF7030A0"/>
        <rFont val="Arial (Body)"/>
      </rPr>
      <t>fill in if true</t>
    </r>
  </si>
  <si>
    <r>
      <t xml:space="preserve">Total gross portfolio GHG emissions covered by the listed near-term sector target metric
</t>
    </r>
    <r>
      <rPr>
        <sz val="12"/>
        <color rgb="FF7030A0"/>
        <rFont val="Arial (Body)"/>
      </rPr>
      <t>fill in if true and the minimum 67% target coverage of segments A, B, C, and D is met based on GHG emissions</t>
    </r>
  </si>
  <si>
    <r>
      <t>Financial exposure covered by two near-term targets (i.e., both climate-alignment and sector)</t>
    </r>
    <r>
      <rPr>
        <sz val="12"/>
        <color rgb="FF3289B7"/>
        <rFont val="Arial"/>
        <family val="2"/>
        <scheme val="minor"/>
      </rPr>
      <t xml:space="preserve">
</t>
    </r>
    <r>
      <rPr>
        <sz val="12"/>
        <color rgb="FF7030A0"/>
        <rFont val="Arial (Body)"/>
      </rPr>
      <t>fill in if true</t>
    </r>
  </si>
  <si>
    <r>
      <t>Total gross portfolio GHG emissions covered by two near-term targets (i.e., both climate-alignment and sector)</t>
    </r>
    <r>
      <rPr>
        <sz val="12"/>
        <color rgb="FF3289B7"/>
        <rFont val="Arial"/>
        <family val="2"/>
        <scheme val="minor"/>
      </rPr>
      <t xml:space="preserve">
</t>
    </r>
    <r>
      <rPr>
        <sz val="12"/>
        <color rgb="FF7030A0"/>
        <rFont val="Arial (Body)"/>
      </rPr>
      <t>fill in if true and the minimum 67% target coverage of segments A, B, C, and D is met based on GHG emissions</t>
    </r>
  </si>
  <si>
    <r>
      <t xml:space="preserve">Total financial exposure check
</t>
    </r>
    <r>
      <rPr>
        <i/>
        <sz val="12"/>
        <color rgb="FF7030A0"/>
        <rFont val="Arial (Body)"/>
      </rPr>
      <t>autopopulates (e.g., G81-V81-Z81+AC81=0)</t>
    </r>
  </si>
  <si>
    <r>
      <t xml:space="preserve">Total gross portfolio GHG emissions check
</t>
    </r>
    <r>
      <rPr>
        <sz val="12"/>
        <color rgb="FF7030A0"/>
        <rFont val="Arial (Body)"/>
      </rPr>
      <t>a</t>
    </r>
    <r>
      <rPr>
        <i/>
        <sz val="12"/>
        <color rgb="FF7030A0"/>
        <rFont val="Arial (Body)"/>
      </rPr>
      <t>utopopulates (e.g., K81-W81-AA81+AD81=0)</t>
    </r>
  </si>
  <si>
    <r>
      <t xml:space="preserve">Share of financial exposure (% value)
</t>
    </r>
    <r>
      <rPr>
        <i/>
        <sz val="12"/>
        <color rgb="FF7030A0"/>
        <rFont val="Arial (Body)"/>
      </rPr>
      <t>autopopulates</t>
    </r>
  </si>
  <si>
    <r>
      <t xml:space="preserve">Total gross portfolio GHG emissions
</t>
    </r>
    <r>
      <rPr>
        <i/>
        <sz val="12"/>
        <color rgb="FF7030A0"/>
        <rFont val="Arial (Body)"/>
      </rPr>
      <t>autopopulates</t>
    </r>
  </si>
  <si>
    <r>
      <t xml:space="preserve">Total financial exposure check
</t>
    </r>
    <r>
      <rPr>
        <i/>
        <sz val="12"/>
        <color rgb="FF7030A0"/>
        <rFont val="Arial (Body)"/>
      </rPr>
      <t>autopopulates (e.g., G26-V26-Z26+AC26=0)</t>
    </r>
  </si>
  <si>
    <r>
      <t xml:space="preserve">Total gross portfolio GHG emissions check
</t>
    </r>
    <r>
      <rPr>
        <sz val="12"/>
        <color rgb="FF7030A0"/>
        <rFont val="Arial (Body)"/>
      </rPr>
      <t>a</t>
    </r>
    <r>
      <rPr>
        <i/>
        <sz val="12"/>
        <color rgb="FF7030A0"/>
        <rFont val="Arial (Body)"/>
      </rPr>
      <t>utopopulates (e.g., K26-W26-AA26+AD26=0)</t>
    </r>
  </si>
  <si>
    <t>Private equity, venture capital, and private debt (stocks or bonds) of private corporates and SMEs in oil and gas sectors with &lt; 25% ownership or no board seat</t>
  </si>
  <si>
    <t>Oil and gas</t>
  </si>
  <si>
    <t>Oil and gas sector in Segment D</t>
  </si>
  <si>
    <r>
      <t xml:space="preserve">Total financial exposure check
</t>
    </r>
    <r>
      <rPr>
        <i/>
        <sz val="12"/>
        <color rgb="FF7030A0"/>
        <rFont val="Arial (Body)"/>
      </rPr>
      <t>autopopulates (e.g., G30-V30-Z30+AC30=0)</t>
    </r>
  </si>
  <si>
    <r>
      <t xml:space="preserve">Total gross portfolio GHG emissions check
</t>
    </r>
    <r>
      <rPr>
        <i/>
        <sz val="12"/>
        <color rgb="FF7030A0"/>
        <rFont val="Arial (Body)"/>
      </rPr>
      <t>autopopulates (e.g., K30-W30-AA30+AD30=0)</t>
    </r>
  </si>
  <si>
    <r>
      <t xml:space="preserve">Total gross portfolio GHG emissions check
</t>
    </r>
    <r>
      <rPr>
        <i/>
        <sz val="12"/>
        <color rgb="FF7030A0"/>
        <rFont val="Arial (Body)"/>
      </rPr>
      <t>autopopulates (e.g., K99-W99-AA99+AD99=0)</t>
    </r>
  </si>
  <si>
    <r>
      <t xml:space="preserve">Total financial exposure check
</t>
    </r>
    <r>
      <rPr>
        <i/>
        <sz val="12"/>
        <color rgb="FF7030A0"/>
        <rFont val="Arial (Body)"/>
      </rPr>
      <t>autopopulates (e.g., G99-V99-Z99+AC99=0)</t>
    </r>
  </si>
  <si>
    <t xml:space="preserve"> For the coal sector in segment A, a sector target (i.e., phaseout) must be set. For all other sectors and segements, an alignement and/or sector target must be set as applicable.</t>
  </si>
  <si>
    <r>
      <rPr>
        <i/>
        <sz val="14"/>
        <color rgb="FF7030A0"/>
        <rFont val="Arial (Body)"/>
      </rPr>
      <t>Guidance:</t>
    </r>
    <r>
      <rPr>
        <i/>
        <sz val="14"/>
        <color theme="1"/>
        <rFont val="Arial"/>
        <family val="2"/>
        <scheme val="minor"/>
      </rPr>
      <t xml:space="preserve">
</t>
    </r>
    <r>
      <rPr>
        <i/>
        <sz val="14"/>
        <color theme="1"/>
        <rFont val="Arial (Body)"/>
      </rPr>
      <t xml:space="preserve">- If setting Financial Institution Net-Zero targets for this financial activity type, follow the instructions for either the "Climate-Alignment Targets" section (Rows 6-72) OR the "Mix of Sector and Climate-Alignment Targets" section (Rows 75-244), depending on the type of targets being set for segments B, C, and D.
- Note:  For the coal sector in segment A, a sector target (i.e., phaseout) must be set. For all other sectors and segements, an alignement and/or sector target must be set as applicable.
- Grouping is used to support navigation (i.e., click on the '+' and '-' outline buttons to unhide and hide the respective sections. </t>
    </r>
  </si>
  <si>
    <r>
      <rPr>
        <i/>
        <sz val="14"/>
        <color rgb="FF7030A0"/>
        <rFont val="Arial (Body)"/>
      </rPr>
      <t>Guidance:</t>
    </r>
    <r>
      <rPr>
        <i/>
        <sz val="14"/>
        <color theme="1"/>
        <rFont val="Arial"/>
        <family val="2"/>
        <scheme val="minor"/>
      </rPr>
      <t xml:space="preserve">
</t>
    </r>
    <r>
      <rPr>
        <i/>
        <sz val="14"/>
        <color theme="1"/>
        <rFont val="Arial (Body)"/>
      </rPr>
      <t xml:space="preserve">- If setting Financial Institution Net-Zero targets for this financial activity type, follow the instructions for either the "Climate-Alignment Targets" section (Rows 6-73) OR the "Mix of Sector and Climate-Alignment Targets" section (Rows 75-259), depending on the type of targets being set for segments B, C, and D.
- Note: For the coal sector in segment A, a sector target (i.e., phaseout) must be set. For all other sectors and segements, an alignement and/or sector target must be set, as applicable.
- Grouping is used to support navigation (i.e., click on the '+' and '-' outline buttons to unhide and hide the respective sections. </t>
    </r>
  </si>
  <si>
    <t xml:space="preserve">Guidance:
- If setting Financial Institutions Net-Zero targets for this financial activity type, follow the instructions for either the "Climate-Alignment Targets" section (Rows 6-58) OR the "Mix of Sector and Climate-Alignment Targets" section (Rows 61-167), depending on the type of targets being set for segments B, C, and D.
- Note: For the coal sector in segment A, a sector target (i.e., phaseout) must be set. For all other sectors and segements, an alignement and/or sector target must be set, as applicable.
- Grouping is used to support navigation (i.e., click on the '+' and '-' outline buttons to unhide and hide the respective sections. </t>
  </si>
  <si>
    <r>
      <rPr>
        <i/>
        <sz val="14"/>
        <color rgb="FF7030A0"/>
        <rFont val="Arial (Body)"/>
      </rPr>
      <t>Guidance:</t>
    </r>
    <r>
      <rPr>
        <i/>
        <sz val="14"/>
        <color theme="1"/>
        <rFont val="Arial"/>
        <family val="2"/>
        <scheme val="minor"/>
      </rPr>
      <t xml:space="preserve">
</t>
    </r>
    <r>
      <rPr>
        <i/>
        <sz val="14"/>
        <color theme="1"/>
        <rFont val="Arial (Body)"/>
      </rPr>
      <t xml:space="preserve">- If setting Financial Institution Net-Zero targets for this financial activity type, follow the instructions for either the "Climate-Alignment Targets" section (Rows 6-61) OR the "Mix of Sector and Climate-Alignment Targets" section (Rows 64-166), depending on the type of targets being set for segments B, C, and D.
- Note: For the coal sector in segment A, a sector target (i.e., phaseout) must be set. For all other sectors and segements, an alignement and/or sector target must be set, as applicable.
- Grouping is used to support navigation (i.e., click on the '+' and '-' outline buttons to unhide and hide the respective sections. </t>
    </r>
  </si>
  <si>
    <r>
      <t xml:space="preserve">Total gross portfolio GHG emissions check
</t>
    </r>
    <r>
      <rPr>
        <i/>
        <sz val="12"/>
        <color rgb="FF7030A0"/>
        <rFont val="Arial (Body)"/>
      </rPr>
      <t>autopopulates (e.g., K26-W26-AA26+AD26=0)</t>
    </r>
  </si>
  <si>
    <r>
      <t xml:space="preserve">Total gross portfolio GHG emissions check
</t>
    </r>
    <r>
      <rPr>
        <i/>
        <sz val="12"/>
        <color rgb="FF7030A0"/>
        <rFont val="Arial (Body)"/>
      </rPr>
      <t>autopopulates (e.g., K84-W84-AA84+AD84=0)</t>
    </r>
  </si>
  <si>
    <r>
      <t xml:space="preserve">Total financial exposure check
</t>
    </r>
    <r>
      <rPr>
        <i/>
        <sz val="12"/>
        <color rgb="FF7030A0"/>
        <rFont val="Arial (Body)"/>
      </rPr>
      <t>autopopulates (e.g., G84-V84-Z84+AC84=0)</t>
    </r>
  </si>
  <si>
    <r>
      <rPr>
        <i/>
        <sz val="14"/>
        <color rgb="FF7030A0"/>
        <rFont val="Arial (Body)"/>
      </rPr>
      <t>Guidance:</t>
    </r>
    <r>
      <rPr>
        <i/>
        <sz val="14"/>
        <color theme="1"/>
        <rFont val="Arial"/>
        <family val="2"/>
        <scheme val="minor"/>
      </rPr>
      <t xml:space="preserve">
</t>
    </r>
    <r>
      <rPr>
        <i/>
        <sz val="14"/>
        <color theme="1"/>
        <rFont val="Arial (Body)"/>
      </rPr>
      <t xml:space="preserve">- If setting Financial Institution Net-Zero targets for this financial activity type, follow the instructions for either the "Climate-Alignment Targets" section (Rows 6-63) OR the "Mix of Sector and Climate-Alignment Targets" section (Rows 66-185), depending on the type of targets being set for segments B, C, and D.
- Note: For the coal sector in segment A, a sector target (i.e., phaseout) must be set. For all other sectors and segements, an alignement and/or sector target must be set, as applicable.
- Grouping is used to support navigation (i.e., click on the '+' and '-' outline buttons to unhide and hide the respective sections. </t>
    </r>
  </si>
  <si>
    <r>
      <t xml:space="preserve">Total financial exposure check
</t>
    </r>
    <r>
      <rPr>
        <i/>
        <sz val="12"/>
        <color rgb="FF7030A0"/>
        <rFont val="Arial (Body)"/>
      </rPr>
      <t>autopopulates (e.g., G28-V28-Z28+AC28=0)</t>
    </r>
  </si>
  <si>
    <r>
      <t xml:space="preserve">Total gross portfolio GHG emissions check
</t>
    </r>
    <r>
      <rPr>
        <i/>
        <sz val="12"/>
        <color rgb="FF7030A0"/>
        <rFont val="Arial (Body)"/>
      </rPr>
      <t>autopopulates (e.g., K28-W28-AA28+AD28=0)</t>
    </r>
  </si>
  <si>
    <t xml:space="preserve">[Financial institution name]’s long-term portfolio targets cover [XX]% of its financial exposure to [LND,
AOI, AMI, INS, CMA] activities as of [base year]. </t>
  </si>
  <si>
    <r>
      <t xml:space="preserve">Target type
</t>
    </r>
    <r>
      <rPr>
        <i/>
        <sz val="12"/>
        <color rgb="FF7030A0"/>
        <rFont val="Arial (Body)"/>
      </rPr>
      <t>select</t>
    </r>
  </si>
  <si>
    <r>
      <t xml:space="preserve">Geographic differentiation for targets
</t>
    </r>
    <r>
      <rPr>
        <i/>
        <sz val="12"/>
        <color rgb="FF7030A0"/>
        <rFont val="Arial (Body)"/>
      </rPr>
      <t>select</t>
    </r>
  </si>
  <si>
    <r>
      <t xml:space="preserve">Financial metric
</t>
    </r>
    <r>
      <rPr>
        <i/>
        <sz val="12"/>
        <color rgb="FF7030A0"/>
        <rFont val="Arial"/>
        <family val="2"/>
      </rPr>
      <t>autopopulates</t>
    </r>
  </si>
  <si>
    <r>
      <t xml:space="preserve">Currency
</t>
    </r>
    <r>
      <rPr>
        <i/>
        <sz val="12"/>
        <color rgb="FF7030A0"/>
        <rFont val="Arial"/>
        <family val="2"/>
      </rPr>
      <t>autopopulates</t>
    </r>
  </si>
  <si>
    <r>
      <t xml:space="preserve">Base year
</t>
    </r>
    <r>
      <rPr>
        <i/>
        <sz val="12"/>
        <color rgb="FF7030A0"/>
        <rFont val="Arial"/>
        <family val="2"/>
      </rPr>
      <t>autopopulates</t>
    </r>
  </si>
  <si>
    <t>autopopulates for overall segment</t>
  </si>
  <si>
    <r>
      <t xml:space="preserve">Total
</t>
    </r>
    <r>
      <rPr>
        <i/>
        <sz val="12"/>
        <color rgb="FF7030A0"/>
        <rFont val="Arial"/>
        <family val="2"/>
      </rPr>
      <t>autopopulates</t>
    </r>
  </si>
  <si>
    <r>
      <t xml:space="preserve">Check
</t>
    </r>
    <r>
      <rPr>
        <i/>
        <sz val="12"/>
        <color rgb="FF7030A0"/>
        <rFont val="Arial"/>
        <family val="2"/>
      </rPr>
      <t>autopopulates</t>
    </r>
  </si>
  <si>
    <r>
      <t xml:space="preserve">Base year climate-alignment %
</t>
    </r>
    <r>
      <rPr>
        <i/>
        <sz val="12"/>
        <color rgb="FF7030A0"/>
        <rFont val="Arial"/>
        <family val="2"/>
      </rPr>
      <t>autopopulates</t>
    </r>
  </si>
  <si>
    <r>
      <t xml:space="preserve">Target year
</t>
    </r>
    <r>
      <rPr>
        <i/>
        <sz val="12"/>
        <color rgb="FF7030A0"/>
        <rFont val="Arial"/>
        <family val="2"/>
      </rPr>
      <t>select year</t>
    </r>
  </si>
  <si>
    <r>
      <t xml:space="preserve">Target ambition
</t>
    </r>
    <r>
      <rPr>
        <i/>
        <sz val="12"/>
        <color rgb="FF7030A0"/>
        <rFont val="Arial"/>
        <family val="2"/>
      </rPr>
      <t>indicate %</t>
    </r>
  </si>
  <si>
    <r>
      <t xml:space="preserve">Minimum required target ambition
</t>
    </r>
    <r>
      <rPr>
        <i/>
        <sz val="12"/>
        <color rgb="FF7030A0"/>
        <rFont val="Arial (Body)"/>
      </rPr>
      <t>autopopulates once target year is selected</t>
    </r>
  </si>
  <si>
    <r>
      <t xml:space="preserve">Target ambition check
</t>
    </r>
    <r>
      <rPr>
        <i/>
        <sz val="12"/>
        <color rgb="FF7030A0"/>
        <rFont val="Arial"/>
        <family val="2"/>
      </rPr>
      <t>autopopulates</t>
    </r>
  </si>
  <si>
    <r>
      <t xml:space="preserve">Overall climate-alignment target
</t>
    </r>
    <r>
      <rPr>
        <i/>
        <sz val="12"/>
        <color rgb="FF7030A0"/>
        <rFont val="Arial"/>
        <family val="2"/>
      </rPr>
      <t>autopopulates once target ambition is indicated</t>
    </r>
  </si>
  <si>
    <r>
      <t xml:space="preserve">Minimum required target ambition
</t>
    </r>
    <r>
      <rPr>
        <i/>
        <sz val="12"/>
        <color rgb="FF7030A0"/>
        <rFont val="Arial (Body)"/>
      </rPr>
      <t>sutopopulates once target year is selected</t>
    </r>
  </si>
  <si>
    <r>
      <t xml:space="preserve">Overall climate-alignment target
</t>
    </r>
    <r>
      <rPr>
        <i/>
        <sz val="12"/>
        <color rgb="FF7030A0"/>
        <rFont val="Arial"/>
        <family val="2"/>
      </rPr>
      <t>autopopulates</t>
    </r>
    <r>
      <rPr>
        <b/>
        <sz val="12"/>
        <color rgb="FF3289B7"/>
        <rFont val="Arial"/>
        <family val="2"/>
        <scheme val="minor"/>
      </rPr>
      <t xml:space="preserve"> </t>
    </r>
    <r>
      <rPr>
        <i/>
        <sz val="12"/>
        <color rgb="FF7030A0"/>
        <rFont val="Arial"/>
        <family val="2"/>
        <scheme val="minor"/>
      </rPr>
      <t>once target ambition is indicated</t>
    </r>
  </si>
  <si>
    <t>fill in if differentiating by developed / developing economies</t>
  </si>
  <si>
    <r>
      <t xml:space="preserve">Target type
</t>
    </r>
    <r>
      <rPr>
        <i/>
        <sz val="12"/>
        <color rgb="FF7030A0"/>
        <rFont val="Arial (Body)"/>
      </rPr>
      <t>autopopulates</t>
    </r>
  </si>
  <si>
    <t>autopopulates</t>
  </si>
  <si>
    <t>autopopulates for sectors where "Climate-Alignment target" is selected as Target Type</t>
  </si>
  <si>
    <r>
      <t xml:space="preserve">Minimum required target ambition per sector
</t>
    </r>
    <r>
      <rPr>
        <i/>
        <sz val="12"/>
        <color rgb="FF7030A0"/>
        <rFont val="Arial"/>
        <family val="2"/>
      </rPr>
      <t>autopopulates</t>
    </r>
  </si>
  <si>
    <r>
      <t xml:space="preserve">Target year
</t>
    </r>
    <r>
      <rPr>
        <i/>
        <sz val="12"/>
        <color rgb="FF7030A0"/>
        <rFont val="Arial (Body)"/>
      </rPr>
      <t>autopopulates</t>
    </r>
  </si>
  <si>
    <r>
      <t xml:space="preserve">Segment target ambition
</t>
    </r>
    <r>
      <rPr>
        <i/>
        <sz val="12"/>
        <color rgb="FF7030A0"/>
        <rFont val="Arial"/>
        <family val="2"/>
      </rPr>
      <t>autopopulates from table above</t>
    </r>
  </si>
  <si>
    <r>
      <t xml:space="preserve">Overall climate-alignment target
</t>
    </r>
    <r>
      <rPr>
        <i/>
        <sz val="12"/>
        <color rgb="FF7030A0"/>
        <rFont val="Arial"/>
        <family val="2"/>
      </rPr>
      <t>autopopulates</t>
    </r>
  </si>
  <si>
    <r>
      <t xml:space="preserve">Target year
</t>
    </r>
    <r>
      <rPr>
        <i/>
        <sz val="12"/>
        <color rgb="FF7030A0"/>
        <rFont val="Arial (Body)"/>
      </rPr>
      <t>select year</t>
    </r>
  </si>
  <si>
    <r>
      <t xml:space="preserve">Segment target ambition
</t>
    </r>
    <r>
      <rPr>
        <i/>
        <sz val="12"/>
        <color rgb="FF7030A0"/>
        <rFont val="Arial"/>
        <family val="2"/>
      </rPr>
      <t xml:space="preserve">autopopulates </t>
    </r>
  </si>
  <si>
    <r>
      <t xml:space="preserve">Target year
</t>
    </r>
    <r>
      <rPr>
        <i/>
        <sz val="12"/>
        <color rgb="FF7030A0"/>
        <rFont val="Arial"/>
        <family val="2"/>
      </rPr>
      <t>aelect year</t>
    </r>
  </si>
  <si>
    <r>
      <t xml:space="preserve">Minimum required target ambition
</t>
    </r>
    <r>
      <rPr>
        <i/>
        <sz val="12"/>
        <color rgb="FF7030A0"/>
        <rFont val="Arial"/>
        <family val="2"/>
      </rPr>
      <t>autopopulates</t>
    </r>
  </si>
  <si>
    <t>autopopulates for sectors where "Climate-Alignment target" is selected</t>
  </si>
  <si>
    <r>
      <t xml:space="preserve">Target year
</t>
    </r>
    <r>
      <rPr>
        <i/>
        <sz val="12"/>
        <color rgb="FF7030A0"/>
        <rFont val="Arial"/>
        <family val="2"/>
      </rPr>
      <t>autopopulates</t>
    </r>
  </si>
  <si>
    <r>
      <rPr>
        <b/>
        <sz val="12"/>
        <color rgb="FF3289B8"/>
        <rFont val="Arial (Body)"/>
      </rPr>
      <t>Target type</t>
    </r>
    <r>
      <rPr>
        <b/>
        <sz val="12"/>
        <color rgb="FF3289B7"/>
        <rFont val="Arial"/>
        <family val="2"/>
        <scheme val="minor"/>
      </rPr>
      <t xml:space="preserve">
</t>
    </r>
    <r>
      <rPr>
        <i/>
        <sz val="12"/>
        <color rgb="FF7030A0"/>
        <rFont val="Arial"/>
        <family val="2"/>
        <scheme val="minor"/>
      </rPr>
      <t>select</t>
    </r>
  </si>
  <si>
    <r>
      <rPr>
        <b/>
        <sz val="12"/>
        <color rgb="FF3289B8"/>
        <rFont val="Arial (Body)"/>
      </rPr>
      <t>Geographic differentiation for targets</t>
    </r>
    <r>
      <rPr>
        <b/>
        <sz val="12"/>
        <color rgb="FF3289B7"/>
        <rFont val="Arial"/>
        <family val="2"/>
        <scheme val="minor"/>
      </rPr>
      <t xml:space="preserve">
</t>
    </r>
    <r>
      <rPr>
        <i/>
        <sz val="12"/>
        <color rgb="FF7030A0"/>
        <rFont val="Arial"/>
        <family val="2"/>
        <scheme val="minor"/>
      </rPr>
      <t>select</t>
    </r>
  </si>
  <si>
    <r>
      <rPr>
        <b/>
        <sz val="12"/>
        <color rgb="FF3289B8"/>
        <rFont val="Arial (Body)"/>
      </rPr>
      <t>Financial activity</t>
    </r>
    <r>
      <rPr>
        <b/>
        <sz val="12"/>
        <color rgb="FF3289B7"/>
        <rFont val="Arial"/>
        <family val="2"/>
        <scheme val="minor"/>
      </rPr>
      <t xml:space="preserve">
</t>
    </r>
    <r>
      <rPr>
        <i/>
        <sz val="12"/>
        <color rgb="FF7030A0"/>
        <rFont val="Arial"/>
        <family val="2"/>
        <scheme val="minor"/>
      </rPr>
      <t>select all in-scope</t>
    </r>
  </si>
  <si>
    <r>
      <rPr>
        <b/>
        <sz val="14"/>
        <color theme="1"/>
        <rFont val="Arial"/>
        <family val="2"/>
        <scheme val="minor"/>
      </rPr>
      <t>INSTRUCTION:</t>
    </r>
    <r>
      <rPr>
        <sz val="14"/>
        <color theme="1"/>
        <rFont val="Arial"/>
        <family val="2"/>
        <scheme val="minor"/>
      </rPr>
      <t xml:space="preserve"> Click on the '2' and '1' outline buttons to unhide and hide the target settng tool for all sectors,
and on the '+' and '-' outline buttons to unhide and hide the target settng tool for individual sectors.
If a financial institution is already operating at the minimum benchmark target year value, it must set a target that meets or exceeds the ambition level required by the subsequent milestone year (i.e., 2035, 2040, 2045, or 2050). This means using the target-setting method to determine the minimum benchmark value at the subsequent milestone year (by entering the subsequent milestone year into the tool) and targeting this value by the target year instead.
For example, based on a hypothetical minimum benchmark intensity of 6.8 by 2030 and 3.9 by 2035, a financial institution with a baseline intensity of 4.7 in 2025 that intends to set a 2030 target has already met the minimum benchmark target year value (i.e., 6.8 by 2030). The financial institution would therefore need to set a target to reach 3.9 (i.e., the minimum benchmark intensity by 2035, the subsequent milestone year) or lower by 2030.
Further information on the underlying sector pathways is detailed in the accompanying Financial Institutions Net-Zero Method and Tool Documentation. This includes background to metric and pathway selection as well as a complete set of pathway references </t>
    </r>
  </si>
  <si>
    <t>Financial Institutions Net-Zero Standard Target Submission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</si>
</sst>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0.0%"/>
    <numFmt numFmtId="165" formatCode="0.0"/>
    <numFmt numFmtId="166" formatCode="0.0000"/>
    <numFmt numFmtId="167" formatCode="#,##0.0000"/>
    <numFmt numFmtId="168" formatCode="0.000"/>
  </numFmts>
  <fonts count="156">
    <font>
      <sz val="10"/>
      <color rgb="FF000000"/>
      <name val="Arial"/>
      <scheme val="minor"/>
    </font>
    <font>
      <sz val="12"/>
      <color theme="1"/>
      <name val="Arial"/>
      <family val="2"/>
      <scheme val="minor"/>
    </font>
    <font>
      <sz val="12"/>
      <color theme="1"/>
      <name val="Arial"/>
      <family val="2"/>
      <scheme val="minor"/>
    </font>
    <font>
      <sz val="11"/>
      <color theme="1"/>
      <name val="Arial"/>
      <family val="2"/>
      <scheme val="minor"/>
    </font>
    <font>
      <sz val="12"/>
      <color theme="1"/>
      <name val="Arial"/>
      <family val="2"/>
      <scheme val="minor"/>
    </font>
    <font>
      <sz val="11"/>
      <color theme="1"/>
      <name val="Calibri"/>
      <family val="2"/>
    </font>
    <font>
      <sz val="11"/>
      <color theme="1"/>
      <name val="Arial"/>
      <family val="2"/>
      <scheme val="minor"/>
    </font>
    <font>
      <i/>
      <sz val="11"/>
      <color rgb="FF000000"/>
      <name val="Arial"/>
      <family val="2"/>
    </font>
    <font>
      <sz val="11"/>
      <color theme="1"/>
      <name val="Arial"/>
      <family val="2"/>
    </font>
    <font>
      <b/>
      <sz val="12"/>
      <color rgb="FF3289B7"/>
      <name val="Arial"/>
      <family val="2"/>
    </font>
    <font>
      <b/>
      <sz val="12"/>
      <color rgb="FF3186B4"/>
      <name val="Arial"/>
      <family val="2"/>
    </font>
    <font>
      <sz val="12"/>
      <color rgb="FF000000"/>
      <name val="Arial"/>
      <family val="2"/>
    </font>
    <font>
      <sz val="12"/>
      <color theme="1"/>
      <name val="Arial"/>
      <family val="2"/>
    </font>
    <font>
      <b/>
      <sz val="12"/>
      <color rgb="FF000000"/>
      <name val="Arial"/>
      <family val="2"/>
    </font>
    <font>
      <b/>
      <sz val="11"/>
      <color rgb="FFFFFFFF"/>
      <name val="Arial"/>
      <family val="2"/>
    </font>
    <font>
      <b/>
      <sz val="12"/>
      <color theme="1"/>
      <name val="Arial"/>
      <family val="2"/>
    </font>
    <font>
      <b/>
      <sz val="14"/>
      <color theme="0"/>
      <name val="Arial"/>
      <family val="2"/>
      <scheme val="minor"/>
    </font>
    <font>
      <sz val="11"/>
      <color rgb="FF000000"/>
      <name val="Arial"/>
      <family val="2"/>
      <scheme val="minor"/>
    </font>
    <font>
      <b/>
      <sz val="12"/>
      <color rgb="FFFFFFFF"/>
      <name val="Arial"/>
      <family val="2"/>
      <scheme val="minor"/>
    </font>
    <font>
      <b/>
      <sz val="12"/>
      <color rgb="FF3289B8"/>
      <name val="Arial"/>
      <family val="2"/>
    </font>
    <font>
      <b/>
      <sz val="16"/>
      <color rgb="FFFFFF00"/>
      <name val="Arial"/>
      <family val="2"/>
      <scheme val="minor"/>
    </font>
    <font>
      <b/>
      <sz val="16"/>
      <color theme="0"/>
      <name val="Arial (Body)"/>
    </font>
    <font>
      <b/>
      <sz val="16"/>
      <color theme="0"/>
      <name val="Arial"/>
      <family val="2"/>
      <scheme val="minor"/>
    </font>
    <font>
      <sz val="10"/>
      <color rgb="FF000000"/>
      <name val="Arial"/>
      <family val="2"/>
      <scheme val="minor"/>
    </font>
    <font>
      <b/>
      <sz val="12"/>
      <color theme="0"/>
      <name val="Arial"/>
      <family val="2"/>
      <scheme val="minor"/>
    </font>
    <font>
      <b/>
      <sz val="12"/>
      <color theme="1"/>
      <name val="Arial"/>
      <family val="2"/>
      <scheme val="minor"/>
    </font>
    <font>
      <i/>
      <sz val="14"/>
      <color theme="1"/>
      <name val="Arial"/>
      <family val="2"/>
      <scheme val="minor"/>
    </font>
    <font>
      <i/>
      <sz val="14"/>
      <color rgb="FF000000"/>
      <name val="Arial (Body)"/>
    </font>
    <font>
      <i/>
      <sz val="14"/>
      <color rgb="FF000000"/>
      <name val="Arial"/>
      <family val="2"/>
      <scheme val="minor"/>
    </font>
    <font>
      <b/>
      <sz val="12"/>
      <color rgb="FF3289B7"/>
      <name val="Arial"/>
      <family val="2"/>
      <scheme val="minor"/>
    </font>
    <font>
      <sz val="12"/>
      <color rgb="FF000000"/>
      <name val="Arial"/>
      <family val="2"/>
      <scheme val="minor"/>
    </font>
    <font>
      <b/>
      <sz val="12"/>
      <color rgb="FF000000"/>
      <name val="Arial"/>
      <family val="2"/>
      <scheme val="minor"/>
    </font>
    <font>
      <vertAlign val="subscript"/>
      <sz val="12"/>
      <color rgb="FF000000"/>
      <name val="Arial"/>
      <family val="2"/>
      <scheme val="minor"/>
    </font>
    <font>
      <vertAlign val="superscript"/>
      <sz val="12"/>
      <color rgb="FF000000"/>
      <name val="Arial"/>
      <family val="2"/>
      <scheme val="minor"/>
    </font>
    <font>
      <b/>
      <sz val="12"/>
      <name val="Arial"/>
      <family val="2"/>
      <scheme val="minor"/>
    </font>
    <font>
      <sz val="12"/>
      <color theme="1"/>
      <name val="Calibri"/>
      <family val="2"/>
    </font>
    <font>
      <b/>
      <sz val="16"/>
      <color rgb="FFFFFFFF"/>
      <name val="Arial"/>
      <family val="2"/>
    </font>
    <font>
      <sz val="12"/>
      <name val="Calibri"/>
      <family val="2"/>
    </font>
    <font>
      <sz val="10"/>
      <color rgb="FF000000"/>
      <name val="Arial"/>
      <family val="2"/>
      <scheme val="minor"/>
    </font>
    <font>
      <b/>
      <u/>
      <sz val="12"/>
      <color theme="1"/>
      <name val="Arial (Body)"/>
    </font>
    <font>
      <sz val="11"/>
      <color rgb="FF000000"/>
      <name val="Arial"/>
      <family val="2"/>
    </font>
    <font>
      <i/>
      <sz val="14"/>
      <color rgb="FFFFC000"/>
      <name val="Arial"/>
      <family val="2"/>
      <scheme val="minor"/>
    </font>
    <font>
      <i/>
      <sz val="12"/>
      <color theme="1"/>
      <name val="Arial"/>
      <family val="2"/>
      <scheme val="minor"/>
    </font>
    <font>
      <i/>
      <sz val="11"/>
      <color theme="1"/>
      <name val="Arial"/>
      <family val="2"/>
      <scheme val="minor"/>
    </font>
    <font>
      <i/>
      <sz val="12"/>
      <color rgb="FF3289B7"/>
      <name val="Arial"/>
      <family val="2"/>
      <scheme val="minor"/>
    </font>
    <font>
      <sz val="10"/>
      <color rgb="FF000000"/>
      <name val="Arial"/>
      <family val="2"/>
      <scheme val="minor"/>
    </font>
    <font>
      <b/>
      <i/>
      <sz val="14"/>
      <color theme="1"/>
      <name val="Arial"/>
      <family val="2"/>
      <scheme val="minor"/>
    </font>
    <font>
      <sz val="11"/>
      <color rgb="FFFF0000"/>
      <name val="Arial"/>
      <family val="2"/>
      <scheme val="minor"/>
    </font>
    <font>
      <b/>
      <i/>
      <sz val="12"/>
      <color theme="1"/>
      <name val="Arial"/>
      <family val="2"/>
      <scheme val="minor"/>
    </font>
    <font>
      <sz val="12"/>
      <color theme="0" tint="-0.14999847407452621"/>
      <name val="Arial"/>
      <family val="2"/>
      <scheme val="minor"/>
    </font>
    <font>
      <sz val="11"/>
      <color theme="0" tint="-0.14999847407452621"/>
      <name val="Arial"/>
      <family val="2"/>
      <scheme val="minor"/>
    </font>
    <font>
      <sz val="11"/>
      <color theme="1" tint="0.499984740745262"/>
      <name val="Arial"/>
      <family val="2"/>
      <scheme val="minor"/>
    </font>
    <font>
      <sz val="11"/>
      <color theme="1" tint="0.499984740745262"/>
      <name val="Calibri"/>
      <family val="2"/>
    </font>
    <font>
      <i/>
      <sz val="14"/>
      <color theme="1" tint="0.499984740745262"/>
      <name val="Arial"/>
      <family val="2"/>
      <scheme val="minor"/>
    </font>
    <font>
      <b/>
      <sz val="14"/>
      <color theme="1"/>
      <name val="Arial"/>
      <family val="2"/>
      <scheme val="minor"/>
    </font>
    <font>
      <b/>
      <sz val="16"/>
      <color rgb="FF3289B7"/>
      <name val="Arial"/>
      <family val="2"/>
    </font>
    <font>
      <b/>
      <sz val="14"/>
      <color rgb="FFFFFFFF"/>
      <name val="Arial"/>
      <family val="2"/>
      <scheme val="minor"/>
    </font>
    <font>
      <i/>
      <sz val="14"/>
      <color theme="1"/>
      <name val="Arial (Body)"/>
    </font>
    <font>
      <i/>
      <sz val="12"/>
      <color rgb="FFFFC000"/>
      <name val="Arial"/>
      <family val="2"/>
      <scheme val="minor"/>
    </font>
    <font>
      <i/>
      <sz val="12"/>
      <color theme="1"/>
      <name val="Arial (Body)"/>
    </font>
    <font>
      <b/>
      <sz val="10"/>
      <color rgb="FF000000"/>
      <name val="Arial"/>
      <family val="2"/>
      <scheme val="minor"/>
    </font>
    <font>
      <sz val="12"/>
      <color theme="1"/>
      <name val="Arial (Body)"/>
    </font>
    <font>
      <sz val="12"/>
      <color rgb="FF000000"/>
      <name val="Arial (Body)"/>
    </font>
    <font>
      <sz val="12"/>
      <name val="Arial"/>
      <family val="2"/>
      <scheme val="minor"/>
    </font>
    <font>
      <b/>
      <sz val="12"/>
      <color theme="0" tint="-0.499984740745262"/>
      <name val="Arial"/>
      <family val="2"/>
      <scheme val="minor"/>
    </font>
    <font>
      <sz val="14"/>
      <color rgb="FF000000"/>
      <name val="Arial"/>
      <family val="2"/>
      <scheme val="minor"/>
    </font>
    <font>
      <b/>
      <sz val="12"/>
      <color theme="0"/>
      <name val="Helvetica"/>
      <family val="2"/>
    </font>
    <font>
      <i/>
      <sz val="12"/>
      <color theme="0"/>
      <name val="Helvetica"/>
      <family val="2"/>
    </font>
    <font>
      <sz val="12"/>
      <color theme="0"/>
      <name val="Helvetica"/>
      <family val="2"/>
    </font>
    <font>
      <i/>
      <sz val="14"/>
      <color rgb="FF7030A0"/>
      <name val="Arial (Body)"/>
    </font>
    <font>
      <i/>
      <sz val="12"/>
      <color rgb="FF7030A0"/>
      <name val="Arial"/>
      <family val="2"/>
    </font>
    <font>
      <sz val="12"/>
      <color rgb="FF7030A0"/>
      <name val="Arial"/>
      <family val="2"/>
    </font>
    <font>
      <i/>
      <sz val="12"/>
      <color rgb="FF7030A0"/>
      <name val="Arial"/>
      <family val="2"/>
      <scheme val="minor"/>
    </font>
    <font>
      <i/>
      <u/>
      <sz val="12"/>
      <color rgb="FF7030A0"/>
      <name val="Arial (Body)"/>
    </font>
    <font>
      <i/>
      <sz val="12"/>
      <color rgb="FF7030A0"/>
      <name val="Arial (Body)"/>
    </font>
    <font>
      <sz val="12"/>
      <color rgb="FF7030A0"/>
      <name val="Arial (Body)"/>
    </font>
    <font>
      <i/>
      <sz val="14"/>
      <color rgb="FF7030A0"/>
      <name val="Arial"/>
      <family val="2"/>
      <scheme val="minor"/>
    </font>
    <font>
      <b/>
      <sz val="12"/>
      <color rgb="FF7030A0"/>
      <name val="Arial (Body)"/>
    </font>
    <font>
      <b/>
      <sz val="12"/>
      <color rgb="FF7030A0"/>
      <name val="Arial"/>
      <family val="2"/>
      <scheme val="minor"/>
    </font>
    <font>
      <sz val="12"/>
      <color rgb="FF3289B7"/>
      <name val="Arial"/>
      <family val="2"/>
      <scheme val="minor"/>
    </font>
    <font>
      <sz val="10"/>
      <color theme="1"/>
      <name val="Arial"/>
      <family val="2"/>
    </font>
    <font>
      <b/>
      <sz val="24"/>
      <color theme="1"/>
      <name val="Arial"/>
      <family val="2"/>
    </font>
    <font>
      <b/>
      <sz val="24"/>
      <name val="Arial"/>
      <family val="2"/>
    </font>
    <font>
      <b/>
      <sz val="20"/>
      <color theme="0"/>
      <name val="Arial"/>
      <family val="2"/>
    </font>
    <font>
      <sz val="14"/>
      <color theme="0"/>
      <name val="Arial"/>
      <family val="2"/>
    </font>
    <font>
      <sz val="10"/>
      <color rgb="FF00546E"/>
      <name val="Arial"/>
      <family val="2"/>
    </font>
    <font>
      <b/>
      <sz val="20"/>
      <color rgb="FF00546E"/>
      <name val="Arial"/>
      <family val="2"/>
    </font>
    <font>
      <b/>
      <sz val="16"/>
      <color rgb="FF00546E"/>
      <name val="Arial"/>
      <family val="2"/>
    </font>
    <font>
      <b/>
      <sz val="12"/>
      <color theme="0"/>
      <name val="Arial"/>
      <family val="2"/>
    </font>
    <font>
      <sz val="12"/>
      <color theme="0"/>
      <name val="Arial"/>
      <family val="2"/>
    </font>
    <font>
      <sz val="11"/>
      <color theme="0"/>
      <name val="Arial"/>
      <family val="2"/>
    </font>
    <font>
      <b/>
      <sz val="20"/>
      <color rgb="FF3289B8"/>
      <name val="Arial"/>
      <family val="2"/>
    </font>
    <font>
      <b/>
      <sz val="20"/>
      <color theme="1" tint="0.499984740745262"/>
      <name val="Arial"/>
      <family val="2"/>
    </font>
    <font>
      <b/>
      <sz val="16"/>
      <color theme="5" tint="-0.499984740745262"/>
      <name val="Arial"/>
      <family val="2"/>
    </font>
    <font>
      <b/>
      <sz val="20"/>
      <name val="Arial"/>
      <family val="2"/>
    </font>
    <font>
      <u/>
      <sz val="12"/>
      <color theme="10"/>
      <name val="Arial"/>
      <family val="2"/>
      <scheme val="minor"/>
    </font>
    <font>
      <u/>
      <sz val="12"/>
      <color rgb="FF0070C0"/>
      <name val="Arial"/>
      <family val="2"/>
    </font>
    <font>
      <sz val="14"/>
      <color rgb="FF7030A0"/>
      <name val="Arial (Body)"/>
    </font>
    <font>
      <sz val="14"/>
      <color theme="1"/>
      <name val="Arial"/>
      <family val="2"/>
      <scheme val="minor"/>
    </font>
    <font>
      <sz val="10"/>
      <name val="Arial"/>
      <family val="2"/>
      <scheme val="minor"/>
    </font>
    <font>
      <sz val="10"/>
      <name val="Arial"/>
      <family val="2"/>
    </font>
    <font>
      <u/>
      <sz val="10"/>
      <color theme="10"/>
      <name val="Arial"/>
      <family val="2"/>
      <scheme val="minor"/>
    </font>
    <font>
      <sz val="12"/>
      <color rgb="FFFF0000"/>
      <name val="Arial"/>
      <family val="2"/>
      <scheme val="minor"/>
    </font>
    <font>
      <sz val="12"/>
      <color theme="0"/>
      <name val="Arial"/>
      <family val="2"/>
      <scheme val="minor"/>
    </font>
    <font>
      <sz val="11"/>
      <color theme="0"/>
      <name val="Arial"/>
      <family val="2"/>
      <scheme val="minor"/>
    </font>
    <font>
      <sz val="12"/>
      <color theme="0"/>
      <name val="Calibri"/>
      <family val="2"/>
    </font>
    <font>
      <b/>
      <sz val="16"/>
      <color theme="0"/>
      <name val="Arial"/>
      <family val="2"/>
    </font>
    <font>
      <strike/>
      <sz val="11"/>
      <color theme="0"/>
      <name val="Arial"/>
      <family val="2"/>
      <scheme val="minor"/>
    </font>
    <font>
      <i/>
      <sz val="14"/>
      <color theme="0"/>
      <name val="Arial"/>
      <family val="2"/>
      <scheme val="minor"/>
    </font>
    <font>
      <b/>
      <sz val="11"/>
      <color theme="0"/>
      <name val="Arial"/>
      <family val="2"/>
    </font>
    <font>
      <i/>
      <sz val="11"/>
      <color theme="0"/>
      <name val="Arial"/>
      <family val="2"/>
      <scheme val="minor"/>
    </font>
    <font>
      <b/>
      <sz val="11"/>
      <color theme="0"/>
      <name val="Arial"/>
      <family val="2"/>
      <scheme val="minor"/>
    </font>
    <font>
      <sz val="10"/>
      <color theme="0"/>
      <name val="Arial"/>
      <family val="2"/>
      <scheme val="minor"/>
    </font>
    <font>
      <sz val="11"/>
      <color theme="0"/>
      <name val="Calibri"/>
      <family val="2"/>
    </font>
    <font>
      <i/>
      <sz val="12"/>
      <color theme="0"/>
      <name val="Arial"/>
      <family val="2"/>
      <scheme val="minor"/>
    </font>
    <font>
      <sz val="14"/>
      <color rgb="FFC00000"/>
      <name val="Arial"/>
      <family val="2"/>
    </font>
    <font>
      <b/>
      <sz val="14"/>
      <color rgb="FFC00000"/>
      <name val="Arial"/>
      <family val="2"/>
    </font>
    <font>
      <sz val="10"/>
      <color theme="0"/>
      <name val="Arial"/>
      <family val="2"/>
    </font>
    <font>
      <b/>
      <u/>
      <sz val="10"/>
      <color theme="0"/>
      <name val="Arial"/>
      <family val="2"/>
    </font>
    <font>
      <b/>
      <sz val="10"/>
      <color theme="0"/>
      <name val="Arial"/>
      <family val="2"/>
    </font>
    <font>
      <sz val="22"/>
      <name val="Arial"/>
      <family val="2"/>
      <scheme val="minor"/>
    </font>
    <font>
      <b/>
      <sz val="22"/>
      <name val="Arial"/>
      <family val="2"/>
    </font>
    <font>
      <sz val="24"/>
      <name val="Arial"/>
      <family val="2"/>
      <scheme val="minor"/>
    </font>
    <font>
      <sz val="14"/>
      <color rgb="FFC00000"/>
      <name val="Arial"/>
      <family val="2"/>
      <scheme val="minor"/>
    </font>
    <font>
      <b/>
      <sz val="24"/>
      <name val="Arial (Body)"/>
    </font>
    <font>
      <b/>
      <sz val="12"/>
      <name val="Arial (Body)"/>
    </font>
    <font>
      <sz val="12"/>
      <name val="Arial (Body)"/>
    </font>
    <font>
      <b/>
      <sz val="18"/>
      <name val="Arial"/>
      <family val="2"/>
      <scheme val="minor"/>
    </font>
    <font>
      <sz val="12"/>
      <color theme="7" tint="0.39997558519241921"/>
      <name val="Arial"/>
      <family val="2"/>
      <scheme val="minor"/>
    </font>
    <font>
      <sz val="12"/>
      <color theme="4" tint="0.39997558519241921"/>
      <name val="Arial"/>
      <family val="2"/>
      <scheme val="minor"/>
    </font>
    <font>
      <b/>
      <sz val="18"/>
      <name val="Arial"/>
      <family val="2"/>
    </font>
    <font>
      <sz val="12"/>
      <color theme="4" tint="0.39997558519241921"/>
      <name val="Arial (Body)"/>
    </font>
    <font>
      <sz val="24"/>
      <name val="Arial"/>
      <family val="2"/>
    </font>
    <font>
      <sz val="12"/>
      <name val="Arial"/>
      <family val="2"/>
    </font>
    <font>
      <b/>
      <sz val="24"/>
      <name val="Arial"/>
      <family val="2"/>
      <scheme val="minor"/>
    </font>
    <font>
      <b/>
      <sz val="12"/>
      <name val="Arial"/>
      <family val="2"/>
    </font>
    <font>
      <b/>
      <sz val="16"/>
      <name val="Arial"/>
      <family val="2"/>
    </font>
    <font>
      <sz val="24"/>
      <color rgb="FF000000"/>
      <name val="Arial"/>
      <family val="2"/>
      <scheme val="minor"/>
    </font>
    <font>
      <b/>
      <sz val="24"/>
      <color rgb="FF000000"/>
      <name val="Arial"/>
      <family val="2"/>
      <scheme val="minor"/>
    </font>
    <font>
      <b/>
      <sz val="14"/>
      <color theme="0"/>
      <name val="Arial (Body)"/>
    </font>
    <font>
      <b/>
      <sz val="14"/>
      <color rgb="FF000000"/>
      <name val="Arial"/>
      <family val="2"/>
    </font>
    <font>
      <sz val="18"/>
      <color rgb="FF000000"/>
      <name val="Arial"/>
      <family val="2"/>
      <scheme val="minor"/>
    </font>
    <font>
      <b/>
      <sz val="12"/>
      <color rgb="FF000000"/>
      <name val="Arial (Body)"/>
    </font>
    <font>
      <sz val="16"/>
      <color rgb="FF000000"/>
      <name val="Arial"/>
      <family val="2"/>
      <scheme val="minor"/>
    </font>
    <font>
      <b/>
      <sz val="14"/>
      <color rgb="FF000000"/>
      <name val="Arial"/>
      <family val="2"/>
      <scheme val="minor"/>
    </font>
    <font>
      <b/>
      <sz val="18"/>
      <color rgb="FF000000"/>
      <name val="Arial"/>
      <family val="2"/>
      <scheme val="minor"/>
    </font>
    <font>
      <u/>
      <sz val="12"/>
      <color theme="0"/>
      <name val="Arial"/>
      <family val="2"/>
    </font>
    <font>
      <sz val="12"/>
      <color rgb="FF8CB5F9"/>
      <name val="Arial"/>
      <family val="2"/>
      <scheme val="minor"/>
    </font>
    <font>
      <sz val="12"/>
      <color rgb="FF7AD694"/>
      <name val="Arial"/>
      <family val="2"/>
      <scheme val="minor"/>
    </font>
    <font>
      <sz val="12"/>
      <color theme="1" tint="0.499984740745262"/>
      <name val="Arial"/>
      <family val="2"/>
      <scheme val="minor"/>
    </font>
    <font>
      <sz val="12"/>
      <color rgb="FF808080"/>
      <name val="Arial"/>
      <family val="2"/>
      <scheme val="minor"/>
    </font>
    <font>
      <sz val="10"/>
      <color theme="1"/>
      <name val="Arial"/>
      <family val="2"/>
      <scheme val="minor"/>
    </font>
    <font>
      <b/>
      <sz val="12"/>
      <color rgb="FF3289B8"/>
      <name val="Arial (Body)"/>
    </font>
    <font>
      <sz val="12"/>
      <color rgb="FF000000"/>
      <name val="Times"/>
    </font>
    <font>
      <b/>
      <i/>
      <sz val="20"/>
      <color rgb="FF7030A0"/>
      <name val="Arial (Body)"/>
    </font>
    <font>
      <u/>
      <sz val="12"/>
      <color theme="0"/>
      <name val="Arial"/>
      <family val="2"/>
      <scheme val="minor"/>
    </font>
  </fonts>
  <fills count="50">
    <fill>
      <patternFill patternType="none"/>
    </fill>
    <fill>
      <patternFill patternType="gray125"/>
    </fill>
    <fill>
      <patternFill patternType="solid">
        <fgColor rgb="FFFFFFFF"/>
        <bgColor rgb="FFFFFFFF"/>
      </patternFill>
    </fill>
    <fill>
      <patternFill patternType="solid">
        <fgColor rgb="FFD9E8F2"/>
        <bgColor rgb="FFD9E8F2"/>
      </patternFill>
    </fill>
    <fill>
      <patternFill patternType="solid">
        <fgColor rgb="FFD9D9D9"/>
        <bgColor rgb="FFD9D9D9"/>
      </patternFill>
    </fill>
    <fill>
      <patternFill patternType="solid">
        <fgColor theme="0"/>
        <bgColor theme="0"/>
      </patternFill>
    </fill>
    <fill>
      <patternFill patternType="solid">
        <fgColor rgb="FF3289B7"/>
        <bgColor rgb="FF3289B7"/>
      </patternFill>
    </fill>
    <fill>
      <patternFill patternType="solid">
        <fgColor rgb="FFDAE8F3"/>
        <bgColor rgb="FFD9D9D9"/>
      </patternFill>
    </fill>
    <fill>
      <patternFill patternType="solid">
        <fgColor rgb="FFDADADA"/>
        <bgColor theme="0"/>
      </patternFill>
    </fill>
    <fill>
      <patternFill patternType="solid">
        <fgColor rgb="FFDADADA"/>
        <bgColor rgb="FFD9D9D9"/>
      </patternFill>
    </fill>
    <fill>
      <patternFill patternType="solid">
        <fgColor rgb="FFDADADA"/>
        <bgColor rgb="FFFFFFFF"/>
      </patternFill>
    </fill>
    <fill>
      <patternFill patternType="solid">
        <fgColor theme="0"/>
        <bgColor rgb="FFD9D9D9"/>
      </patternFill>
    </fill>
    <fill>
      <patternFill patternType="solid">
        <fgColor theme="0"/>
        <bgColor indexed="64"/>
      </patternFill>
    </fill>
    <fill>
      <patternFill patternType="solid">
        <fgColor rgb="FFDADADA"/>
        <bgColor indexed="64"/>
      </patternFill>
    </fill>
    <fill>
      <patternFill patternType="solid">
        <fgColor rgb="FF3289B8"/>
        <bgColor indexed="64"/>
      </patternFill>
    </fill>
    <fill>
      <patternFill patternType="solid">
        <fgColor theme="0"/>
        <bgColor rgb="FFFFFFFF"/>
      </patternFill>
    </fill>
    <fill>
      <patternFill patternType="solid">
        <fgColor theme="0"/>
        <bgColor rgb="FF3289B7"/>
      </patternFill>
    </fill>
    <fill>
      <patternFill patternType="solid">
        <fgColor rgb="FFDAE8F3"/>
        <bgColor rgb="FFFFFFFF"/>
      </patternFill>
    </fill>
    <fill>
      <patternFill patternType="solid">
        <fgColor rgb="FFDAE8F3"/>
        <bgColor indexed="64"/>
      </patternFill>
    </fill>
    <fill>
      <patternFill patternType="solid">
        <fgColor theme="0" tint="-4.9989318521683403E-2"/>
        <bgColor indexed="64"/>
      </patternFill>
    </fill>
    <fill>
      <patternFill patternType="solid">
        <fgColor theme="0" tint="-4.9989318521683403E-2"/>
        <bgColor rgb="FFD9D9D9"/>
      </patternFill>
    </fill>
    <fill>
      <patternFill patternType="solid">
        <fgColor rgb="FFF2F2F2"/>
        <bgColor rgb="FF000000"/>
      </patternFill>
    </fill>
    <fill>
      <patternFill patternType="solid">
        <fgColor theme="0"/>
        <bgColor rgb="FF000000"/>
      </patternFill>
    </fill>
    <fill>
      <patternFill patternType="solid">
        <fgColor theme="0" tint="-0.14999847407452621"/>
        <bgColor indexed="64"/>
      </patternFill>
    </fill>
    <fill>
      <patternFill patternType="solid">
        <fgColor theme="5" tint="0.59999389629810485"/>
        <bgColor indexed="64"/>
      </patternFill>
    </fill>
    <fill>
      <patternFill patternType="solid">
        <fgColor rgb="FF9CCAE4"/>
        <bgColor rgb="FF3289B7"/>
      </patternFill>
    </fill>
    <fill>
      <patternFill patternType="solid">
        <fgColor rgb="FF9CCAE4"/>
        <bgColor indexed="64"/>
      </patternFill>
    </fill>
    <fill>
      <patternFill patternType="solid">
        <fgColor rgb="FFFFFFCC"/>
      </patternFill>
    </fill>
    <fill>
      <patternFill patternType="solid">
        <fgColor rgb="FF002060"/>
        <bgColor rgb="FF3289B7"/>
      </patternFill>
    </fill>
    <fill>
      <patternFill patternType="solid">
        <fgColor rgb="FF3C89B7"/>
        <bgColor indexed="64"/>
      </patternFill>
    </fill>
    <fill>
      <patternFill patternType="solid">
        <fgColor theme="1" tint="0.499984740745262"/>
        <bgColor indexed="64"/>
      </patternFill>
    </fill>
    <fill>
      <patternFill patternType="solid">
        <fgColor theme="6"/>
        <bgColor indexed="64"/>
      </patternFill>
    </fill>
    <fill>
      <patternFill patternType="solid">
        <fgColor rgb="FF00546E"/>
        <bgColor indexed="64"/>
      </patternFill>
    </fill>
    <fill>
      <patternFill patternType="solid">
        <fgColor rgb="FFC00000"/>
        <bgColor indexed="64"/>
      </patternFill>
    </fill>
    <fill>
      <patternFill patternType="solid">
        <fgColor rgb="FF00B050"/>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7" tint="0.39997558519241921"/>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79998168889431442"/>
        <bgColor rgb="FFD9EAD3"/>
      </patternFill>
    </fill>
    <fill>
      <patternFill patternType="solid">
        <fgColor rgb="FF7AD694"/>
        <bgColor rgb="FF000000"/>
      </patternFill>
    </fill>
    <fill>
      <patternFill patternType="solid">
        <fgColor rgb="FF8CB5F9"/>
        <bgColor rgb="FF000000"/>
      </patternFill>
    </fill>
    <fill>
      <patternFill patternType="solid">
        <fgColor theme="1" tint="0.499984740745262"/>
        <bgColor rgb="FF000000"/>
      </patternFill>
    </fill>
    <fill>
      <patternFill patternType="solid">
        <fgColor rgb="FF808080"/>
        <bgColor rgb="FF000000"/>
      </patternFill>
    </fill>
    <fill>
      <patternFill patternType="solid">
        <fgColor rgb="FFDADADA"/>
        <bgColor rgb="FF000000"/>
      </patternFill>
    </fill>
  </fills>
  <borders count="103">
    <border>
      <left/>
      <right/>
      <top/>
      <bottom/>
      <diagonal/>
    </border>
    <border>
      <left style="thin">
        <color rgb="FF3289B7"/>
      </left>
      <right style="thin">
        <color rgb="FF3289B7"/>
      </right>
      <top/>
      <bottom/>
      <diagonal/>
    </border>
    <border>
      <left style="thin">
        <color rgb="FF3186B4"/>
      </left>
      <right style="thin">
        <color rgb="FF3186B4"/>
      </right>
      <top style="thin">
        <color rgb="FF3186B4"/>
      </top>
      <bottom style="thin">
        <color rgb="FF3186B4"/>
      </bottom>
      <diagonal/>
    </border>
    <border>
      <left style="thin">
        <color rgb="FFFFFFFF"/>
      </left>
      <right style="thin">
        <color rgb="FFFFFFFF"/>
      </right>
      <top/>
      <bottom style="thin">
        <color rgb="FF3289B7"/>
      </bottom>
      <diagonal/>
    </border>
    <border>
      <left style="thin">
        <color rgb="FFFFFFFF"/>
      </left>
      <right style="thin">
        <color rgb="FFFFFFFF"/>
      </right>
      <top/>
      <bottom/>
      <diagonal/>
    </border>
    <border>
      <left style="thin">
        <color rgb="FF3186B4"/>
      </left>
      <right style="thin">
        <color rgb="FF3186B4"/>
      </right>
      <top style="thin">
        <color rgb="FF3186B4"/>
      </top>
      <bottom/>
      <diagonal/>
    </border>
    <border>
      <left style="thin">
        <color rgb="FF3186B4"/>
      </left>
      <right style="thin">
        <color rgb="FF3186B4"/>
      </right>
      <top/>
      <bottom/>
      <diagonal/>
    </border>
    <border>
      <left style="thin">
        <color rgb="FF3186B4"/>
      </left>
      <right style="thin">
        <color rgb="FF3186B4"/>
      </right>
      <top/>
      <bottom style="thin">
        <color rgb="FF3186B4"/>
      </bottom>
      <diagonal/>
    </border>
    <border>
      <left/>
      <right style="thin">
        <color rgb="FF3289B7"/>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3289B7"/>
      </left>
      <right style="thin">
        <color rgb="FF3289B7"/>
      </right>
      <top/>
      <bottom style="thin">
        <color rgb="FF3186B4"/>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top/>
      <bottom/>
      <diagonal/>
    </border>
    <border>
      <left style="thin">
        <color rgb="FF3289B8"/>
      </left>
      <right style="thin">
        <color rgb="FF3289B8"/>
      </right>
      <top style="thin">
        <color rgb="FF3289B8"/>
      </top>
      <bottom style="thin">
        <color rgb="FF3289B8"/>
      </bottom>
      <diagonal/>
    </border>
    <border>
      <left style="thin">
        <color theme="0"/>
      </left>
      <right/>
      <top style="thin">
        <color theme="0"/>
      </top>
      <bottom style="thin">
        <color theme="0"/>
      </bottom>
      <diagonal/>
    </border>
    <border>
      <left style="thin">
        <color rgb="FF3289B8"/>
      </left>
      <right/>
      <top style="thin">
        <color rgb="FF3289B8"/>
      </top>
      <bottom style="thin">
        <color rgb="FF3289B8"/>
      </bottom>
      <diagonal/>
    </border>
    <border>
      <left/>
      <right style="thin">
        <color rgb="FF3289B8"/>
      </right>
      <top style="thin">
        <color rgb="FF3289B8"/>
      </top>
      <bottom style="thin">
        <color rgb="FF3289B8"/>
      </bottom>
      <diagonal/>
    </border>
    <border>
      <left style="thin">
        <color rgb="FF3289B8"/>
      </left>
      <right/>
      <top style="thin">
        <color rgb="FF3289B8"/>
      </top>
      <bottom/>
      <diagonal/>
    </border>
    <border>
      <left/>
      <right style="thin">
        <color rgb="FF3289B8"/>
      </right>
      <top style="thin">
        <color rgb="FF3289B8"/>
      </top>
      <bottom/>
      <diagonal/>
    </border>
    <border>
      <left style="thin">
        <color rgb="FF3289B8"/>
      </left>
      <right/>
      <top/>
      <bottom style="thin">
        <color rgb="FF3289B8"/>
      </bottom>
      <diagonal/>
    </border>
    <border>
      <left/>
      <right style="thin">
        <color rgb="FF3289B8"/>
      </right>
      <top/>
      <bottom style="thin">
        <color rgb="FF3289B8"/>
      </bottom>
      <diagonal/>
    </border>
    <border>
      <left style="thin">
        <color rgb="FF3289B8"/>
      </left>
      <right style="thin">
        <color rgb="FF3289B8"/>
      </right>
      <top style="thin">
        <color rgb="FF3289B8"/>
      </top>
      <bottom/>
      <diagonal/>
    </border>
    <border>
      <left style="thin">
        <color rgb="FF3289B8"/>
      </left>
      <right style="thin">
        <color rgb="FF3289B8"/>
      </right>
      <top/>
      <bottom style="thin">
        <color rgb="FF3289B8"/>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top/>
      <bottom style="thin">
        <color rgb="FF3289B8"/>
      </bottom>
      <diagonal/>
    </border>
    <border>
      <left/>
      <right/>
      <top style="thin">
        <color theme="0"/>
      </top>
      <bottom style="thin">
        <color theme="0"/>
      </bottom>
      <diagonal/>
    </border>
    <border>
      <left/>
      <right/>
      <top style="thin">
        <color rgb="FF3289B8"/>
      </top>
      <bottom/>
      <diagonal/>
    </border>
    <border>
      <left/>
      <right/>
      <top style="thin">
        <color theme="0"/>
      </top>
      <bottom/>
      <diagonal/>
    </border>
    <border>
      <left/>
      <right/>
      <top/>
      <bottom style="thin">
        <color theme="0"/>
      </bottom>
      <diagonal/>
    </border>
    <border>
      <left/>
      <right/>
      <top style="thin">
        <color rgb="FF3289B8"/>
      </top>
      <bottom style="thin">
        <color rgb="FF3289B8"/>
      </bottom>
      <diagonal/>
    </border>
    <border>
      <left style="thin">
        <color rgb="FF3289B8"/>
      </left>
      <right/>
      <top/>
      <bottom/>
      <diagonal/>
    </border>
    <border>
      <left/>
      <right style="thin">
        <color rgb="FF3289B8"/>
      </right>
      <top/>
      <bottom/>
      <diagonal/>
    </border>
    <border>
      <left style="thin">
        <color rgb="FF3289B8"/>
      </left>
      <right style="thin">
        <color rgb="FF3289B8"/>
      </right>
      <top/>
      <bottom/>
      <diagonal/>
    </border>
    <border>
      <left/>
      <right style="thin">
        <color rgb="FF3186B4"/>
      </right>
      <top/>
      <bottom/>
      <diagonal/>
    </border>
    <border>
      <left/>
      <right style="thin">
        <color rgb="FF3186B4"/>
      </right>
      <top/>
      <bottom style="thin">
        <color rgb="FF3186B4"/>
      </bottom>
      <diagonal/>
    </border>
    <border>
      <left/>
      <right style="thin">
        <color rgb="FF3289B7"/>
      </right>
      <top/>
      <bottom style="thin">
        <color rgb="FF3186B4"/>
      </bottom>
      <diagonal/>
    </border>
    <border>
      <left style="thin">
        <color rgb="FF3289B7"/>
      </left>
      <right style="thin">
        <color rgb="FF3289B7"/>
      </right>
      <top style="thin">
        <color rgb="FF3289B8"/>
      </top>
      <bottom/>
      <diagonal/>
    </border>
    <border>
      <left style="thin">
        <color rgb="FF3186B4"/>
      </left>
      <right/>
      <top/>
      <bottom style="thin">
        <color rgb="FF3186B4"/>
      </bottom>
      <diagonal/>
    </border>
    <border>
      <left style="thin">
        <color rgb="FF3186B4"/>
      </left>
      <right style="thin">
        <color rgb="FF3186B4"/>
      </right>
      <top style="thin">
        <color rgb="FF3289B8"/>
      </top>
      <bottom/>
      <diagonal/>
    </border>
    <border>
      <left style="thin">
        <color rgb="FF3186B4"/>
      </left>
      <right/>
      <top style="thin">
        <color rgb="FF3186B4"/>
      </top>
      <bottom/>
      <diagonal/>
    </border>
    <border>
      <left style="thin">
        <color rgb="FF3186B4"/>
      </left>
      <right/>
      <top/>
      <bottom/>
      <diagonal/>
    </border>
    <border>
      <left style="thin">
        <color rgb="FF3289B7"/>
      </left>
      <right/>
      <top style="thin">
        <color rgb="FF3289B8"/>
      </top>
      <bottom style="thin">
        <color rgb="FF3289B8"/>
      </bottom>
      <diagonal/>
    </border>
    <border>
      <left/>
      <right style="thin">
        <color rgb="FF3289B7"/>
      </right>
      <top style="thin">
        <color rgb="FF3289B8"/>
      </top>
      <bottom style="thin">
        <color rgb="FF3289B8"/>
      </bottom>
      <diagonal/>
    </border>
    <border>
      <left/>
      <right style="thin">
        <color rgb="FF3186B4"/>
      </right>
      <top style="thin">
        <color rgb="FF3186B4"/>
      </top>
      <bottom/>
      <diagonal/>
    </border>
    <border>
      <left/>
      <right style="thin">
        <color rgb="FF3289B8"/>
      </right>
      <top style="thin">
        <color indexed="64"/>
      </top>
      <bottom/>
      <diagonal/>
    </border>
    <border>
      <left/>
      <right style="thin">
        <color rgb="FF3289B8"/>
      </right>
      <top/>
      <bottom style="thin">
        <color indexed="64"/>
      </bottom>
      <diagonal/>
    </border>
    <border>
      <left/>
      <right style="thin">
        <color rgb="FF3289B7"/>
      </right>
      <top style="thin">
        <color rgb="FF3289B7"/>
      </top>
      <bottom/>
      <diagonal/>
    </border>
    <border>
      <left style="thin">
        <color rgb="FF266D92"/>
      </left>
      <right style="thin">
        <color rgb="FF266D92"/>
      </right>
      <top style="thin">
        <color rgb="FF266D92"/>
      </top>
      <bottom style="thin">
        <color rgb="FF266D92"/>
      </bottom>
      <diagonal/>
    </border>
    <border>
      <left style="thin">
        <color rgb="FFB2B2B2"/>
      </left>
      <right style="thin">
        <color rgb="FFB2B2B2"/>
      </right>
      <top style="thin">
        <color rgb="FFB2B2B2"/>
      </top>
      <bottom style="thin">
        <color rgb="FFB2B2B2"/>
      </bottom>
      <diagonal/>
    </border>
    <border>
      <left style="thin">
        <color rgb="FF3289B8"/>
      </left>
      <right/>
      <top style="thin">
        <color rgb="FF3289B7"/>
      </top>
      <bottom/>
      <diagonal/>
    </border>
    <border>
      <left style="thin">
        <color rgb="FF3186B4"/>
      </left>
      <right/>
      <top style="thin">
        <color rgb="FF266D92"/>
      </top>
      <bottom/>
      <diagonal/>
    </border>
    <border>
      <left style="thin">
        <color rgb="FF266D92"/>
      </left>
      <right style="thin">
        <color rgb="FF266D92"/>
      </right>
      <top style="thin">
        <color rgb="FF266D92"/>
      </top>
      <bottom/>
      <diagonal/>
    </border>
    <border>
      <left style="thin">
        <color rgb="FF3289B7"/>
      </left>
      <right style="thin">
        <color rgb="FF3289B7"/>
      </right>
      <top style="thin">
        <color rgb="FF266D92"/>
      </top>
      <bottom/>
      <diagonal/>
    </border>
    <border>
      <left style="thin">
        <color rgb="FF266D92"/>
      </left>
      <right/>
      <top style="thin">
        <color rgb="FF266D92"/>
      </top>
      <bottom/>
      <diagonal/>
    </border>
    <border>
      <left style="thin">
        <color rgb="FF266D92"/>
      </left>
      <right/>
      <top style="thin">
        <color rgb="FF266D92"/>
      </top>
      <bottom style="thin">
        <color rgb="FF266D92"/>
      </bottom>
      <diagonal/>
    </border>
    <border>
      <left style="thin">
        <color indexed="64"/>
      </left>
      <right style="thin">
        <color indexed="64"/>
      </right>
      <top style="thin">
        <color indexed="64"/>
      </top>
      <bottom style="thin">
        <color indexed="64"/>
      </bottom>
      <diagonal/>
    </border>
    <border>
      <left style="thin">
        <color rgb="FF3289B7"/>
      </left>
      <right style="thin">
        <color rgb="FF3289B7"/>
      </right>
      <top style="thin">
        <color rgb="FF3289B8"/>
      </top>
      <bottom style="thin">
        <color rgb="FF3186B4"/>
      </bottom>
      <diagonal/>
    </border>
    <border>
      <left style="thin">
        <color rgb="FF3289B7"/>
      </left>
      <right/>
      <top style="thin">
        <color rgb="FF3289B8"/>
      </top>
      <bottom/>
      <diagonal/>
    </border>
    <border>
      <left/>
      <right/>
      <top style="thin">
        <color rgb="FF00546E"/>
      </top>
      <bottom style="thick">
        <color theme="0"/>
      </bottom>
      <diagonal/>
    </border>
    <border>
      <left/>
      <right/>
      <top style="thick">
        <color theme="0"/>
      </top>
      <bottom style="thick">
        <color theme="0"/>
      </bottom>
      <diagonal/>
    </border>
    <border>
      <left/>
      <right/>
      <top/>
      <bottom style="thin">
        <color rgb="FF3C89B7"/>
      </bottom>
      <diagonal/>
    </border>
    <border>
      <left style="thin">
        <color rgb="FF266D92"/>
      </left>
      <right/>
      <top/>
      <bottom style="thin">
        <color rgb="FF3C89B7"/>
      </bottom>
      <diagonal/>
    </border>
    <border>
      <left style="thin">
        <color rgb="FF3C89B7"/>
      </left>
      <right style="thin">
        <color rgb="FF3C89B7"/>
      </right>
      <top style="thin">
        <color rgb="FF3C89B7"/>
      </top>
      <bottom/>
      <diagonal/>
    </border>
    <border>
      <left style="thin">
        <color rgb="FF3C89B7"/>
      </left>
      <right/>
      <top style="thin">
        <color rgb="FF3C89B7"/>
      </top>
      <bottom/>
      <diagonal/>
    </border>
    <border>
      <left style="thin">
        <color rgb="FF3186B4"/>
      </left>
      <right style="thin">
        <color rgb="FF3289B8"/>
      </right>
      <top style="thin">
        <color rgb="FF3186B4"/>
      </top>
      <bottom/>
      <diagonal/>
    </border>
    <border>
      <left style="thin">
        <color rgb="FF3186B4"/>
      </left>
      <right style="thin">
        <color rgb="FF3289B8"/>
      </right>
      <top/>
      <bottom/>
      <diagonal/>
    </border>
    <border>
      <left style="thin">
        <color rgb="FF3186B4"/>
      </left>
      <right style="thin">
        <color rgb="FF3289B8"/>
      </right>
      <top/>
      <bottom style="thin">
        <color rgb="FF3289B8"/>
      </bottom>
      <diagonal/>
    </border>
    <border>
      <left style="thin">
        <color rgb="FF3289B8"/>
      </left>
      <right style="thin">
        <color rgb="FF3289B8"/>
      </right>
      <top style="thin">
        <color rgb="FF3186B4"/>
      </top>
      <bottom/>
      <diagonal/>
    </border>
    <border>
      <left/>
      <right/>
      <top/>
      <bottom style="thin">
        <color rgb="FF00546E"/>
      </bottom>
      <diagonal/>
    </border>
    <border>
      <left/>
      <right/>
      <top style="thin">
        <color rgb="FF00546E"/>
      </top>
      <bottom/>
      <diagonal/>
    </border>
    <border>
      <left/>
      <right style="thick">
        <color theme="0"/>
      </right>
      <top/>
      <bottom style="thick">
        <color theme="0"/>
      </bottom>
      <diagonal/>
    </border>
    <border>
      <left style="thick">
        <color theme="0"/>
      </left>
      <right/>
      <top/>
      <bottom style="thick">
        <color theme="0"/>
      </bottom>
      <diagonal/>
    </border>
    <border>
      <left/>
      <right/>
      <top/>
      <bottom style="thick">
        <color theme="0"/>
      </bottom>
      <diagonal/>
    </border>
    <border>
      <left/>
      <right style="thick">
        <color theme="0"/>
      </right>
      <top style="thick">
        <color theme="0"/>
      </top>
      <bottom/>
      <diagonal/>
    </border>
    <border>
      <left style="thick">
        <color theme="0"/>
      </left>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style="thin">
        <color indexed="64"/>
      </left>
      <right/>
      <top/>
      <bottom/>
      <diagonal/>
    </border>
    <border>
      <left style="thin">
        <color rgb="FF3C89B7"/>
      </left>
      <right style="thin">
        <color rgb="FF3C89B7"/>
      </right>
      <top style="thin">
        <color rgb="FF3C89B7"/>
      </top>
      <bottom style="thin">
        <color rgb="FF3C89B7"/>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style="thin">
        <color rgb="FF3186B4"/>
      </left>
      <right style="thin">
        <color rgb="FF3289B8"/>
      </right>
      <top/>
      <bottom style="thin">
        <color rgb="FF3186B4"/>
      </bottom>
      <diagonal/>
    </border>
    <border>
      <left style="thin">
        <color rgb="FF266D92"/>
      </left>
      <right style="thin">
        <color rgb="FF266D92"/>
      </right>
      <top/>
      <bottom/>
      <diagonal/>
    </border>
  </borders>
  <cellStyleXfs count="12">
    <xf numFmtId="0" fontId="0" fillId="0" borderId="0"/>
    <xf numFmtId="0" fontId="6" fillId="0" borderId="0"/>
    <xf numFmtId="9" fontId="23" fillId="0" borderId="0" applyFont="0" applyFill="0" applyBorder="0" applyAlignment="0" applyProtection="0"/>
    <xf numFmtId="43" fontId="38" fillId="0" borderId="0" applyFont="0" applyFill="0" applyBorder="0" applyAlignment="0" applyProtection="0"/>
    <xf numFmtId="0" fontId="45" fillId="27" borderId="52" applyNumberFormat="0" applyFont="0" applyAlignment="0" applyProtection="0"/>
    <xf numFmtId="0" fontId="80" fillId="0" borderId="0"/>
    <xf numFmtId="0" fontId="4" fillId="0" borderId="0"/>
    <xf numFmtId="0" fontId="95" fillId="0" borderId="0" applyNumberFormat="0" applyFill="0" applyBorder="0" applyAlignment="0" applyProtection="0"/>
    <xf numFmtId="0" fontId="101" fillId="0" borderId="0" applyNumberFormat="0" applyFill="0" applyBorder="0" applyAlignment="0" applyProtection="0"/>
    <xf numFmtId="0" fontId="2" fillId="0" borderId="0"/>
    <xf numFmtId="0" fontId="3" fillId="0" borderId="0"/>
    <xf numFmtId="0" fontId="23" fillId="0" borderId="0"/>
  </cellStyleXfs>
  <cellXfs count="1044">
    <xf numFmtId="0" fontId="0" fillId="0" borderId="0" xfId="0"/>
    <xf numFmtId="0" fontId="5" fillId="12" borderId="0" xfId="1" applyFont="1" applyFill="1" applyAlignment="1">
      <alignment vertical="center"/>
    </xf>
    <xf numFmtId="0" fontId="14" fillId="16" borderId="0" xfId="1" applyFont="1" applyFill="1" applyAlignment="1">
      <alignment horizontal="center" vertical="center"/>
    </xf>
    <xf numFmtId="0" fontId="7" fillId="12" borderId="0" xfId="1" applyFont="1" applyFill="1" applyAlignment="1">
      <alignment vertical="center" wrapText="1"/>
    </xf>
    <xf numFmtId="4" fontId="30" fillId="7" borderId="15" xfId="1" applyNumberFormat="1" applyFont="1" applyFill="1" applyBorder="1" applyAlignment="1" applyProtection="1">
      <alignment horizontal="center" vertical="center" wrapText="1"/>
      <protection locked="0"/>
    </xf>
    <xf numFmtId="4" fontId="30" fillId="9" borderId="15" xfId="1" applyNumberFormat="1" applyFont="1" applyFill="1" applyBorder="1" applyAlignment="1" applyProtection="1">
      <alignment horizontal="center" vertical="center" wrapText="1"/>
      <protection locked="0"/>
    </xf>
    <xf numFmtId="0" fontId="11" fillId="9" borderId="15" xfId="1" applyFont="1" applyFill="1" applyBorder="1" applyAlignment="1" applyProtection="1">
      <alignment horizontal="center" vertical="center" wrapText="1"/>
      <protection locked="0"/>
    </xf>
    <xf numFmtId="10" fontId="11" fillId="3" borderId="15" xfId="1" applyNumberFormat="1" applyFont="1" applyFill="1" applyBorder="1" applyAlignment="1" applyProtection="1">
      <alignment horizontal="center" vertical="center" wrapText="1"/>
      <protection locked="0"/>
    </xf>
    <xf numFmtId="0" fontId="11" fillId="10" borderId="15" xfId="1" applyFont="1" applyFill="1" applyBorder="1" applyAlignment="1" applyProtection="1">
      <alignment horizontal="center" vertical="center" wrapText="1"/>
      <protection locked="0"/>
    </xf>
    <xf numFmtId="0" fontId="11" fillId="13" borderId="15" xfId="1" applyFont="1" applyFill="1" applyBorder="1" applyAlignment="1" applyProtection="1">
      <alignment horizontal="center" vertical="center" wrapText="1"/>
      <protection locked="0"/>
    </xf>
    <xf numFmtId="0" fontId="11" fillId="8" borderId="15" xfId="1" applyFont="1" applyFill="1" applyBorder="1" applyAlignment="1" applyProtection="1">
      <alignment horizontal="center" vertical="center" wrapText="1"/>
      <protection locked="0"/>
    </xf>
    <xf numFmtId="0" fontId="11" fillId="9" borderId="17" xfId="1" applyFont="1" applyFill="1" applyBorder="1" applyAlignment="1" applyProtection="1">
      <alignment horizontal="center" vertical="center" wrapText="1"/>
      <protection locked="0"/>
    </xf>
    <xf numFmtId="0" fontId="6" fillId="12" borderId="0" xfId="1" applyFill="1" applyAlignment="1">
      <alignment horizontal="center" vertical="center" wrapText="1"/>
    </xf>
    <xf numFmtId="0" fontId="29" fillId="12" borderId="0" xfId="1" applyFont="1" applyFill="1" applyAlignment="1">
      <alignment horizontal="center" vertical="center" wrapText="1"/>
    </xf>
    <xf numFmtId="0" fontId="0" fillId="12" borderId="0" xfId="0" applyFill="1" applyAlignment="1">
      <alignment wrapText="1"/>
    </xf>
    <xf numFmtId="0" fontId="40" fillId="12" borderId="0" xfId="1" applyFont="1" applyFill="1" applyAlignment="1">
      <alignment vertical="center" wrapText="1"/>
    </xf>
    <xf numFmtId="0" fontId="12" fillId="12" borderId="0" xfId="1" applyFont="1" applyFill="1" applyAlignment="1">
      <alignment horizontal="center" vertical="center" wrapText="1"/>
    </xf>
    <xf numFmtId="0" fontId="26" fillId="12" borderId="0" xfId="1" applyFont="1" applyFill="1" applyAlignment="1">
      <alignment vertical="center" wrapText="1"/>
    </xf>
    <xf numFmtId="1" fontId="5" fillId="12" borderId="0" xfId="1" applyNumberFormat="1" applyFont="1" applyFill="1" applyAlignment="1">
      <alignment vertical="center"/>
    </xf>
    <xf numFmtId="0" fontId="18" fillId="16" borderId="0" xfId="1" applyFont="1" applyFill="1" applyAlignment="1">
      <alignment horizontal="left" vertical="center" wrapText="1"/>
    </xf>
    <xf numFmtId="164" fontId="30" fillId="12" borderId="32" xfId="1" applyNumberFormat="1" applyFont="1" applyFill="1" applyBorder="1" applyAlignment="1">
      <alignment horizontal="center" vertical="center" wrapText="1"/>
    </xf>
    <xf numFmtId="164" fontId="30" fillId="12" borderId="31" xfId="1" applyNumberFormat="1" applyFont="1" applyFill="1" applyBorder="1" applyAlignment="1">
      <alignment horizontal="center" vertical="center" wrapText="1"/>
    </xf>
    <xf numFmtId="4" fontId="30" fillId="11" borderId="15" xfId="1" applyNumberFormat="1" applyFont="1" applyFill="1" applyBorder="1" applyAlignment="1" applyProtection="1">
      <alignment horizontal="center" vertical="center" wrapText="1"/>
      <protection locked="0"/>
    </xf>
    <xf numFmtId="0" fontId="29" fillId="0" borderId="15" xfId="1" applyFont="1" applyBorder="1" applyAlignment="1">
      <alignment vertical="center" wrapText="1"/>
    </xf>
    <xf numFmtId="164" fontId="49" fillId="12" borderId="29" xfId="1" applyNumberFormat="1" applyFont="1" applyFill="1" applyBorder="1" applyAlignment="1">
      <alignment horizontal="center" vertical="center" wrapText="1"/>
    </xf>
    <xf numFmtId="0" fontId="40" fillId="12" borderId="0" xfId="1" quotePrefix="1" applyFont="1" applyFill="1" applyAlignment="1">
      <alignment vertical="center" wrapText="1"/>
    </xf>
    <xf numFmtId="0" fontId="52" fillId="12" borderId="0" xfId="1" applyFont="1" applyFill="1" applyAlignment="1">
      <alignment vertical="center"/>
    </xf>
    <xf numFmtId="0" fontId="53" fillId="12" borderId="0" xfId="1" applyFont="1" applyFill="1" applyAlignment="1">
      <alignment vertical="center" wrapText="1"/>
    </xf>
    <xf numFmtId="0" fontId="29" fillId="12" borderId="0" xfId="1" applyFont="1" applyFill="1" applyAlignment="1">
      <alignment vertical="center" wrapText="1"/>
    </xf>
    <xf numFmtId="0" fontId="12" fillId="4" borderId="15" xfId="1" applyFont="1" applyFill="1" applyBorder="1" applyAlignment="1" applyProtection="1">
      <alignment horizontal="center" vertical="center" wrapText="1"/>
      <protection locked="0"/>
    </xf>
    <xf numFmtId="39" fontId="12" fillId="4" borderId="15" xfId="3" applyNumberFormat="1" applyFont="1" applyFill="1" applyBorder="1" applyAlignment="1" applyProtection="1">
      <alignment horizontal="center" vertical="center" wrapText="1"/>
      <protection locked="0"/>
    </xf>
    <xf numFmtId="4" fontId="65" fillId="7" borderId="15" xfId="1"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6" fillId="12" borderId="0" xfId="0" applyFont="1" applyFill="1" applyAlignment="1">
      <alignment horizontal="center" vertical="center" wrapText="1"/>
    </xf>
    <xf numFmtId="0" fontId="66" fillId="12" borderId="0" xfId="0" applyFont="1" applyFill="1" applyAlignment="1">
      <alignment horizontal="center" vertical="center"/>
    </xf>
    <xf numFmtId="0" fontId="29" fillId="12" borderId="15" xfId="1" applyFont="1" applyFill="1" applyBorder="1" applyAlignment="1">
      <alignment vertical="center" wrapText="1"/>
    </xf>
    <xf numFmtId="0" fontId="29" fillId="0" borderId="11" xfId="1" applyFont="1" applyBorder="1" applyAlignment="1">
      <alignment horizontal="center" vertical="center" wrapText="1"/>
    </xf>
    <xf numFmtId="0" fontId="29" fillId="0" borderId="40" xfId="1" applyFont="1" applyBorder="1" applyAlignment="1">
      <alignment vertical="center" wrapText="1"/>
    </xf>
    <xf numFmtId="0" fontId="29" fillId="0" borderId="0" xfId="1" applyFont="1" applyAlignment="1">
      <alignment horizontal="center" vertical="center" wrapText="1"/>
    </xf>
    <xf numFmtId="0" fontId="29" fillId="0" borderId="11" xfId="1" applyFont="1" applyBorder="1" applyAlignment="1">
      <alignment vertical="center" wrapText="1"/>
    </xf>
    <xf numFmtId="0" fontId="72" fillId="0" borderId="60" xfId="1" applyFont="1" applyBorder="1" applyAlignment="1">
      <alignment vertical="center" wrapText="1"/>
    </xf>
    <xf numFmtId="0" fontId="74" fillId="0" borderId="60" xfId="1" applyFont="1" applyBorder="1" applyAlignment="1">
      <alignment vertical="center" wrapText="1"/>
    </xf>
    <xf numFmtId="0" fontId="80" fillId="12" borderId="0" xfId="5" applyFill="1"/>
    <xf numFmtId="0" fontId="80" fillId="12" borderId="0" xfId="5" applyFill="1" applyAlignment="1">
      <alignment vertical="center"/>
    </xf>
    <xf numFmtId="0" fontId="8" fillId="12" borderId="0" xfId="5" applyFont="1" applyFill="1" applyAlignment="1">
      <alignment horizontal="left" vertical="top" wrapText="1"/>
    </xf>
    <xf numFmtId="0" fontId="89" fillId="14" borderId="0" xfId="5" applyFont="1" applyFill="1" applyAlignment="1">
      <alignment vertical="top"/>
    </xf>
    <xf numFmtId="0" fontId="89" fillId="30" borderId="0" xfId="5" applyFont="1" applyFill="1" applyAlignment="1">
      <alignment vertical="top"/>
    </xf>
    <xf numFmtId="0" fontId="89" fillId="32" borderId="0" xfId="5" applyFont="1" applyFill="1" applyAlignment="1">
      <alignment vertical="top"/>
    </xf>
    <xf numFmtId="0" fontId="26" fillId="36" borderId="0" xfId="1" applyFont="1" applyFill="1" applyAlignment="1">
      <alignment vertical="center" wrapText="1"/>
    </xf>
    <xf numFmtId="0" fontId="26" fillId="36" borderId="0" xfId="1" applyFont="1" applyFill="1" applyAlignment="1">
      <alignment horizontal="center" vertical="center" wrapText="1"/>
    </xf>
    <xf numFmtId="0" fontId="23" fillId="36" borderId="0" xfId="0" applyFont="1" applyFill="1"/>
    <xf numFmtId="0" fontId="0" fillId="36" borderId="0" xfId="0" applyFill="1"/>
    <xf numFmtId="0" fontId="68" fillId="30" borderId="66" xfId="0" applyFont="1" applyFill="1" applyBorder="1" applyAlignment="1">
      <alignment horizontal="center" vertical="center" wrapText="1"/>
    </xf>
    <xf numFmtId="0" fontId="66" fillId="29" borderId="66" xfId="0" applyFont="1" applyFill="1" applyBorder="1" applyAlignment="1">
      <alignment horizontal="center" vertical="center" wrapText="1"/>
    </xf>
    <xf numFmtId="0" fontId="66" fillId="29" borderId="66" xfId="0" applyFont="1" applyFill="1" applyBorder="1" applyAlignment="1">
      <alignment horizontal="center" vertical="center"/>
    </xf>
    <xf numFmtId="0" fontId="66" fillId="29" borderId="67" xfId="0" applyFont="1" applyFill="1" applyBorder="1" applyAlignment="1">
      <alignment horizontal="center" vertical="center" wrapText="1"/>
    </xf>
    <xf numFmtId="0" fontId="23" fillId="0" borderId="15" xfId="0" applyFont="1" applyBorder="1" applyAlignment="1">
      <alignment wrapText="1"/>
    </xf>
    <xf numFmtId="0" fontId="0" fillId="0" borderId="15" xfId="0" applyBorder="1"/>
    <xf numFmtId="0" fontId="23" fillId="12" borderId="0" xfId="0" applyFont="1" applyFill="1"/>
    <xf numFmtId="0" fontId="26" fillId="0" borderId="0" xfId="1" applyFont="1" applyAlignment="1">
      <alignment horizontal="left" vertical="center" wrapText="1"/>
    </xf>
    <xf numFmtId="0" fontId="29" fillId="0" borderId="34" xfId="1" applyFont="1" applyBorder="1" applyAlignment="1">
      <alignment vertical="center" wrapText="1"/>
    </xf>
    <xf numFmtId="0" fontId="0" fillId="12" borderId="0" xfId="0" applyFill="1"/>
    <xf numFmtId="0" fontId="12" fillId="15" borderId="0" xfId="1" applyFont="1" applyFill="1" applyAlignment="1">
      <alignment vertical="center" wrapText="1"/>
    </xf>
    <xf numFmtId="0" fontId="6" fillId="12" borderId="0" xfId="1" applyFill="1" applyAlignment="1">
      <alignment vertical="center"/>
    </xf>
    <xf numFmtId="0" fontId="43" fillId="12" borderId="0" xfId="1" applyFont="1" applyFill="1" applyAlignment="1">
      <alignment vertical="center"/>
    </xf>
    <xf numFmtId="0" fontId="6" fillId="26" borderId="0" xfId="1" applyFill="1" applyAlignment="1">
      <alignment vertical="center"/>
    </xf>
    <xf numFmtId="0" fontId="51" fillId="12" borderId="0" xfId="1" applyFont="1" applyFill="1" applyAlignment="1">
      <alignment vertical="center"/>
    </xf>
    <xf numFmtId="0" fontId="47" fillId="12" borderId="0" xfId="1" applyFont="1" applyFill="1" applyAlignment="1">
      <alignment vertical="center"/>
    </xf>
    <xf numFmtId="0" fontId="47" fillId="12" borderId="0" xfId="1" quotePrefix="1" applyFont="1" applyFill="1" applyAlignment="1">
      <alignment vertical="center" wrapText="1"/>
    </xf>
    <xf numFmtId="0" fontId="50" fillId="12" borderId="0" xfId="1" applyFont="1" applyFill="1" applyAlignment="1">
      <alignment vertical="center"/>
    </xf>
    <xf numFmtId="0" fontId="6" fillId="23" borderId="0" xfId="1" applyFill="1" applyAlignment="1">
      <alignment vertical="center"/>
    </xf>
    <xf numFmtId="0" fontId="42" fillId="12" borderId="0" xfId="1" applyFont="1" applyFill="1" applyAlignment="1">
      <alignment vertical="center" wrapText="1"/>
    </xf>
    <xf numFmtId="0" fontId="18" fillId="16" borderId="0" xfId="1" applyFont="1" applyFill="1" applyAlignment="1">
      <alignment vertical="center" wrapText="1"/>
    </xf>
    <xf numFmtId="0" fontId="36" fillId="16" borderId="0" xfId="1" applyFont="1" applyFill="1" applyAlignment="1">
      <alignment vertical="center"/>
    </xf>
    <xf numFmtId="0" fontId="80" fillId="12" borderId="0" xfId="5" applyFill="1" applyAlignment="1">
      <alignment vertical="top"/>
    </xf>
    <xf numFmtId="0" fontId="2" fillId="12" borderId="0" xfId="9" applyFill="1" applyAlignment="1">
      <alignment vertical="top" wrapText="1"/>
    </xf>
    <xf numFmtId="0" fontId="83" fillId="32" borderId="0" xfId="5" applyFont="1" applyFill="1" applyAlignment="1" applyProtection="1">
      <alignment vertical="top"/>
      <protection hidden="1"/>
    </xf>
    <xf numFmtId="0" fontId="84" fillId="32" borderId="0" xfId="9" applyFont="1" applyFill="1" applyAlignment="1">
      <alignment vertical="top" wrapText="1"/>
    </xf>
    <xf numFmtId="0" fontId="85" fillId="12" borderId="0" xfId="9" applyFont="1" applyFill="1" applyAlignment="1">
      <alignment horizontal="left" vertical="top" wrapText="1"/>
    </xf>
    <xf numFmtId="0" fontId="86" fillId="12" borderId="0" xfId="5" applyFont="1" applyFill="1" applyAlignment="1" applyProtection="1">
      <alignment vertical="top"/>
      <protection hidden="1"/>
    </xf>
    <xf numFmtId="0" fontId="87" fillId="12" borderId="0" xfId="5" applyFont="1" applyFill="1" applyAlignment="1" applyProtection="1">
      <alignment vertical="top"/>
      <protection hidden="1"/>
    </xf>
    <xf numFmtId="0" fontId="88" fillId="12" borderId="0" xfId="5" applyFont="1" applyFill="1" applyAlignment="1">
      <alignment vertical="top" wrapText="1"/>
    </xf>
    <xf numFmtId="0" fontId="12" fillId="12" borderId="0" xfId="5" applyFont="1" applyFill="1" applyAlignment="1">
      <alignment vertical="top"/>
    </xf>
    <xf numFmtId="0" fontId="90" fillId="12" borderId="0" xfId="5" applyFont="1" applyFill="1" applyAlignment="1">
      <alignment vertical="top" wrapText="1"/>
    </xf>
    <xf numFmtId="0" fontId="8" fillId="12" borderId="0" xfId="5" applyFont="1" applyFill="1" applyAlignment="1">
      <alignment vertical="top"/>
    </xf>
    <xf numFmtId="0" fontId="91" fillId="12" borderId="0" xfId="5" applyFont="1" applyFill="1" applyAlignment="1" applyProtection="1">
      <alignment vertical="top"/>
      <protection hidden="1"/>
    </xf>
    <xf numFmtId="0" fontId="86" fillId="14" borderId="0" xfId="5" applyFont="1" applyFill="1" applyAlignment="1" applyProtection="1">
      <alignment vertical="top"/>
      <protection hidden="1"/>
    </xf>
    <xf numFmtId="0" fontId="8" fillId="14" borderId="0" xfId="5" applyFont="1" applyFill="1" applyAlignment="1">
      <alignment horizontal="left" vertical="top" wrapText="1"/>
    </xf>
    <xf numFmtId="0" fontId="80" fillId="14" borderId="0" xfId="5" applyFill="1" applyAlignment="1">
      <alignment vertical="top"/>
    </xf>
    <xf numFmtId="0" fontId="88" fillId="14" borderId="0" xfId="5" applyFont="1" applyFill="1" applyAlignment="1">
      <alignment horizontal="center" vertical="top"/>
    </xf>
    <xf numFmtId="0" fontId="92" fillId="12" borderId="0" xfId="5" applyFont="1" applyFill="1" applyAlignment="1" applyProtection="1">
      <alignment vertical="top"/>
      <protection hidden="1"/>
    </xf>
    <xf numFmtId="0" fontId="86" fillId="30" borderId="0" xfId="5" applyFont="1" applyFill="1" applyAlignment="1" applyProtection="1">
      <alignment vertical="top"/>
      <protection hidden="1"/>
    </xf>
    <xf numFmtId="0" fontId="8" fillId="30" borderId="0" xfId="5" applyFont="1" applyFill="1" applyAlignment="1">
      <alignment horizontal="left" vertical="top" wrapText="1"/>
    </xf>
    <xf numFmtId="0" fontId="80" fillId="30" borderId="0" xfId="5" applyFill="1" applyAlignment="1">
      <alignment vertical="top"/>
    </xf>
    <xf numFmtId="0" fontId="88" fillId="30" borderId="0" xfId="5" applyFont="1" applyFill="1" applyAlignment="1">
      <alignment horizontal="center" vertical="top"/>
    </xf>
    <xf numFmtId="0" fontId="86" fillId="32" borderId="0" xfId="5" applyFont="1" applyFill="1" applyAlignment="1" applyProtection="1">
      <alignment vertical="top"/>
      <protection hidden="1"/>
    </xf>
    <xf numFmtId="0" fontId="8" fillId="32" borderId="0" xfId="5" applyFont="1" applyFill="1" applyAlignment="1">
      <alignment horizontal="left" vertical="top" wrapText="1"/>
    </xf>
    <xf numFmtId="0" fontId="80" fillId="32" borderId="0" xfId="5" applyFill="1" applyAlignment="1">
      <alignment vertical="top"/>
    </xf>
    <xf numFmtId="0" fontId="88" fillId="32" borderId="0" xfId="5" applyFont="1" applyFill="1" applyAlignment="1">
      <alignment horizontal="center" vertical="top"/>
    </xf>
    <xf numFmtId="0" fontId="93" fillId="12" borderId="0" xfId="5" applyFont="1" applyFill="1" applyAlignment="1" applyProtection="1">
      <alignment vertical="top"/>
      <protection hidden="1"/>
    </xf>
    <xf numFmtId="0" fontId="94" fillId="12" borderId="0" xfId="5" applyFont="1" applyFill="1" applyAlignment="1" applyProtection="1">
      <alignment vertical="top"/>
      <protection hidden="1"/>
    </xf>
    <xf numFmtId="0" fontId="93" fillId="0" borderId="0" xfId="5" applyFont="1" applyAlignment="1" applyProtection="1">
      <alignment vertical="top"/>
      <protection hidden="1"/>
    </xf>
    <xf numFmtId="0" fontId="80" fillId="12" borderId="0" xfId="5" applyFill="1" applyAlignment="1">
      <alignment horizontal="left" vertical="top" wrapText="1"/>
    </xf>
    <xf numFmtId="0" fontId="96" fillId="35" borderId="62" xfId="7" applyFont="1" applyFill="1" applyBorder="1" applyAlignment="1" applyProtection="1">
      <alignment vertical="center"/>
    </xf>
    <xf numFmtId="0" fontId="95" fillId="35" borderId="62" xfId="8" applyFont="1" applyFill="1" applyBorder="1" applyAlignment="1" applyProtection="1">
      <alignment vertical="center"/>
    </xf>
    <xf numFmtId="0" fontId="96" fillId="35" borderId="63" xfId="7" applyFont="1" applyFill="1" applyBorder="1" applyAlignment="1" applyProtection="1">
      <alignment vertical="center"/>
    </xf>
    <xf numFmtId="0" fontId="96" fillId="12" borderId="0" xfId="7" applyFont="1" applyFill="1" applyBorder="1" applyAlignment="1" applyProtection="1">
      <alignment vertical="center"/>
    </xf>
    <xf numFmtId="0" fontId="95" fillId="12" borderId="0" xfId="8" applyFont="1" applyFill="1" applyBorder="1" applyAlignment="1" applyProtection="1">
      <alignment vertical="center"/>
    </xf>
    <xf numFmtId="164" fontId="103" fillId="12" borderId="29" xfId="1" applyNumberFormat="1" applyFont="1" applyFill="1" applyBorder="1" applyAlignment="1">
      <alignment horizontal="center" vertical="center" wrapText="1"/>
    </xf>
    <xf numFmtId="164" fontId="103" fillId="12" borderId="0" xfId="1" applyNumberFormat="1" applyFont="1" applyFill="1" applyAlignment="1">
      <alignment horizontal="center" vertical="center" wrapText="1"/>
    </xf>
    <xf numFmtId="0" fontId="107" fillId="12" borderId="0" xfId="1" applyFont="1" applyFill="1" applyAlignment="1">
      <alignment vertical="center"/>
    </xf>
    <xf numFmtId="0" fontId="108" fillId="12" borderId="0" xfId="1" applyFont="1" applyFill="1" applyAlignment="1">
      <alignment vertical="center" wrapText="1"/>
    </xf>
    <xf numFmtId="0" fontId="108" fillId="12" borderId="0" xfId="1" applyFont="1" applyFill="1" applyAlignment="1">
      <alignment horizontal="left" vertical="center" wrapText="1"/>
    </xf>
    <xf numFmtId="0" fontId="24" fillId="16" borderId="0" xfId="1" applyFont="1" applyFill="1" applyAlignment="1">
      <alignment vertical="center" wrapText="1"/>
    </xf>
    <xf numFmtId="0" fontId="104" fillId="12" borderId="0" xfId="1" applyFont="1" applyFill="1" applyAlignment="1">
      <alignment vertical="center"/>
    </xf>
    <xf numFmtId="0" fontId="24" fillId="16" borderId="0" xfId="1" applyFont="1" applyFill="1" applyAlignment="1">
      <alignment horizontal="left" vertical="center" wrapText="1"/>
    </xf>
    <xf numFmtId="0" fontId="109" fillId="16" borderId="0" xfId="1" applyFont="1" applyFill="1" applyAlignment="1">
      <alignment horizontal="center" vertical="center"/>
    </xf>
    <xf numFmtId="0" fontId="90" fillId="15" borderId="0" xfId="1" applyFont="1" applyFill="1" applyAlignment="1">
      <alignment vertical="center"/>
    </xf>
    <xf numFmtId="0" fontId="110" fillId="12" borderId="0" xfId="1" applyFont="1" applyFill="1" applyAlignment="1">
      <alignment vertical="center"/>
    </xf>
    <xf numFmtId="0" fontId="111" fillId="12" borderId="0" xfId="1" applyFont="1" applyFill="1" applyAlignment="1">
      <alignment vertical="center"/>
    </xf>
    <xf numFmtId="0" fontId="89" fillId="15" borderId="0" xfId="1" applyFont="1" applyFill="1" applyAlignment="1">
      <alignment vertical="center" wrapText="1"/>
    </xf>
    <xf numFmtId="0" fontId="112" fillId="12" borderId="0" xfId="0" applyFont="1" applyFill="1" applyAlignment="1">
      <alignment vertical="center"/>
    </xf>
    <xf numFmtId="0" fontId="113" fillId="12" borderId="0" xfId="1" applyFont="1" applyFill="1" applyAlignment="1">
      <alignment vertical="center"/>
    </xf>
    <xf numFmtId="0" fontId="104" fillId="12" borderId="0" xfId="1" applyFont="1" applyFill="1" applyAlignment="1">
      <alignment horizontal="center" vertical="center" wrapText="1"/>
    </xf>
    <xf numFmtId="0" fontId="114" fillId="12" borderId="0" xfId="1" applyFont="1" applyFill="1" applyAlignment="1">
      <alignment vertical="center" wrapText="1"/>
    </xf>
    <xf numFmtId="0" fontId="90" fillId="12" borderId="0" xfId="1" applyFont="1" applyFill="1" applyAlignment="1">
      <alignment vertical="center" wrapText="1"/>
    </xf>
    <xf numFmtId="0" fontId="112" fillId="12" borderId="0" xfId="0" applyFont="1" applyFill="1"/>
    <xf numFmtId="0" fontId="44" fillId="12" borderId="0" xfId="1" applyFont="1" applyFill="1" applyAlignment="1">
      <alignment vertical="center" wrapText="1"/>
    </xf>
    <xf numFmtId="0" fontId="29" fillId="12" borderId="0" xfId="0" applyFont="1" applyFill="1" applyAlignment="1">
      <alignment vertical="center" wrapText="1"/>
    </xf>
    <xf numFmtId="1" fontId="12" fillId="2" borderId="15" xfId="1" applyNumberFormat="1" applyFont="1" applyFill="1" applyBorder="1" applyAlignment="1">
      <alignment horizontal="center" vertical="center" wrapText="1"/>
    </xf>
    <xf numFmtId="0" fontId="86" fillId="12" borderId="72" xfId="5" applyFont="1" applyFill="1" applyBorder="1" applyAlignment="1" applyProtection="1">
      <alignment vertical="center"/>
      <protection hidden="1"/>
    </xf>
    <xf numFmtId="0" fontId="87" fillId="12" borderId="72" xfId="5" applyFont="1" applyFill="1" applyBorder="1" applyAlignment="1" applyProtection="1">
      <alignment vertical="center"/>
      <protection hidden="1"/>
    </xf>
    <xf numFmtId="0" fontId="93" fillId="12" borderId="72" xfId="5" applyFont="1" applyFill="1" applyBorder="1" applyAlignment="1" applyProtection="1">
      <alignment vertical="center"/>
      <protection hidden="1"/>
    </xf>
    <xf numFmtId="165" fontId="117" fillId="32" borderId="77" xfId="5" quotePrefix="1" applyNumberFormat="1" applyFont="1" applyFill="1" applyBorder="1" applyAlignment="1">
      <alignment horizontal="center" vertical="center" wrapText="1"/>
    </xf>
    <xf numFmtId="0" fontId="119" fillId="32" borderId="77" xfId="5" quotePrefix="1" applyFont="1" applyFill="1" applyBorder="1" applyAlignment="1">
      <alignment horizontal="center" vertical="center"/>
    </xf>
    <xf numFmtId="0" fontId="99" fillId="12" borderId="0" xfId="10" applyFont="1" applyFill="1" applyAlignment="1">
      <alignment vertical="center"/>
    </xf>
    <xf numFmtId="0" fontId="120" fillId="12" borderId="0" xfId="10" applyFont="1" applyFill="1" applyAlignment="1">
      <alignment vertical="center"/>
    </xf>
    <xf numFmtId="0" fontId="121" fillId="12" borderId="0" xfId="5" applyFont="1" applyFill="1" applyAlignment="1" applyProtection="1">
      <alignment vertical="center"/>
      <protection hidden="1"/>
    </xf>
    <xf numFmtId="0" fontId="63" fillId="39" borderId="59" xfId="10" applyFont="1" applyFill="1" applyBorder="1" applyAlignment="1" applyProtection="1">
      <alignment horizontal="center" vertical="center"/>
      <protection locked="0"/>
    </xf>
    <xf numFmtId="4" fontId="63" fillId="40" borderId="59" xfId="10" applyNumberFormat="1" applyFont="1" applyFill="1" applyBorder="1" applyAlignment="1" applyProtection="1">
      <alignment horizontal="center" vertical="center"/>
      <protection locked="0"/>
    </xf>
    <xf numFmtId="0" fontId="126" fillId="39" borderId="59" xfId="10" applyFont="1" applyFill="1" applyBorder="1" applyAlignment="1" applyProtection="1">
      <alignment horizontal="center" vertical="center"/>
      <protection locked="0"/>
    </xf>
    <xf numFmtId="1" fontId="63" fillId="39" borderId="59" xfId="10" applyNumberFormat="1" applyFont="1" applyFill="1" applyBorder="1" applyAlignment="1" applyProtection="1">
      <alignment horizontal="center" vertical="center"/>
      <protection locked="0"/>
    </xf>
    <xf numFmtId="166" fontId="63" fillId="40" borderId="59" xfId="10" applyNumberFormat="1" applyFont="1" applyFill="1" applyBorder="1" applyAlignment="1" applyProtection="1">
      <alignment horizontal="center" vertical="center"/>
      <protection locked="0"/>
    </xf>
    <xf numFmtId="0" fontId="63" fillId="39" borderId="59" xfId="10" applyFont="1" applyFill="1" applyBorder="1" applyAlignment="1" applyProtection="1">
      <alignment horizontal="center" vertical="center" wrapText="1"/>
      <protection locked="0"/>
    </xf>
    <xf numFmtId="4" fontId="63" fillId="40" borderId="59" xfId="10" applyNumberFormat="1" applyFont="1" applyFill="1" applyBorder="1" applyAlignment="1" applyProtection="1">
      <alignment horizontal="center" vertical="center" wrapText="1"/>
      <protection locked="0"/>
    </xf>
    <xf numFmtId="167" fontId="63" fillId="40" borderId="59" xfId="10" applyNumberFormat="1" applyFont="1" applyFill="1" applyBorder="1" applyAlignment="1" applyProtection="1">
      <alignment horizontal="center" vertical="center"/>
      <protection locked="0"/>
    </xf>
    <xf numFmtId="0" fontId="30" fillId="0" borderId="0" xfId="11" applyFont="1" applyAlignment="1">
      <alignment vertical="center"/>
    </xf>
    <xf numFmtId="0" fontId="137" fillId="0" borderId="0" xfId="11" applyFont="1" applyAlignment="1">
      <alignment horizontal="left" vertical="center"/>
    </xf>
    <xf numFmtId="0" fontId="30" fillId="0" borderId="0" xfId="11" applyFont="1" applyAlignment="1">
      <alignment horizontal="left" vertical="center"/>
    </xf>
    <xf numFmtId="0" fontId="30" fillId="0" borderId="0" xfId="11" applyFont="1"/>
    <xf numFmtId="0" fontId="138" fillId="0" borderId="0" xfId="11" applyFont="1" applyAlignment="1">
      <alignment horizontal="right" vertical="center"/>
    </xf>
    <xf numFmtId="0" fontId="139" fillId="29" borderId="82" xfId="11" applyFont="1" applyFill="1" applyBorder="1" applyAlignment="1">
      <alignment horizontal="center" vertical="center"/>
    </xf>
    <xf numFmtId="0" fontId="139" fillId="29" borderId="82" xfId="11" applyFont="1" applyFill="1" applyBorder="1" applyAlignment="1">
      <alignment horizontal="center" vertical="center" wrapText="1"/>
    </xf>
    <xf numFmtId="0" fontId="30" fillId="0" borderId="59" xfId="11" applyFont="1" applyBorder="1" applyAlignment="1">
      <alignment horizontal="left" vertical="center"/>
    </xf>
    <xf numFmtId="1" fontId="30" fillId="0" borderId="59" xfId="11" applyNumberFormat="1" applyFont="1" applyBorder="1" applyAlignment="1">
      <alignment horizontal="left" vertical="center"/>
    </xf>
    <xf numFmtId="2" fontId="30" fillId="0" borderId="84" xfId="11" applyNumberFormat="1" applyFont="1" applyBorder="1" applyAlignment="1">
      <alignment horizontal="left" vertical="center"/>
    </xf>
    <xf numFmtId="0" fontId="30" fillId="0" borderId="86" xfId="11" applyFont="1" applyBorder="1" applyAlignment="1">
      <alignment horizontal="left" vertical="center"/>
    </xf>
    <xf numFmtId="1" fontId="30" fillId="0" borderId="86" xfId="11" applyNumberFormat="1" applyFont="1" applyBorder="1" applyAlignment="1">
      <alignment horizontal="left" vertical="center"/>
    </xf>
    <xf numFmtId="2" fontId="30" fillId="0" borderId="87" xfId="11" applyNumberFormat="1" applyFont="1" applyBorder="1" applyAlignment="1">
      <alignment horizontal="left" vertical="center"/>
    </xf>
    <xf numFmtId="0" fontId="140" fillId="0" borderId="0" xfId="11" applyFont="1"/>
    <xf numFmtId="0" fontId="140" fillId="0" borderId="0" xfId="11" applyFont="1" applyAlignment="1">
      <alignment wrapText="1"/>
    </xf>
    <xf numFmtId="0" fontId="141" fillId="0" borderId="0" xfId="11" applyFont="1" applyAlignment="1">
      <alignment vertical="center"/>
    </xf>
    <xf numFmtId="0" fontId="62" fillId="0" borderId="0" xfId="11" applyFont="1" applyAlignment="1">
      <alignment vertical="center"/>
    </xf>
    <xf numFmtId="0" fontId="142" fillId="0" borderId="0" xfId="11" applyFont="1" applyAlignment="1">
      <alignment horizontal="right" vertical="center"/>
    </xf>
    <xf numFmtId="0" fontId="142" fillId="0" borderId="0" xfId="11" applyFont="1"/>
    <xf numFmtId="0" fontId="142" fillId="0" borderId="0" xfId="11" applyFont="1" applyAlignment="1">
      <alignment wrapText="1"/>
    </xf>
    <xf numFmtId="0" fontId="143" fillId="0" borderId="0" xfId="11" applyFont="1"/>
    <xf numFmtId="0" fontId="144" fillId="0" borderId="0" xfId="11" applyFont="1"/>
    <xf numFmtId="0" fontId="144" fillId="0" borderId="0" xfId="11" applyFont="1" applyAlignment="1">
      <alignment wrapText="1"/>
    </xf>
    <xf numFmtId="0" fontId="31" fillId="0" borderId="0" xfId="11" applyFont="1" applyAlignment="1">
      <alignment horizontal="right" vertical="center"/>
    </xf>
    <xf numFmtId="0" fontId="31" fillId="0" borderId="0" xfId="11" applyFont="1" applyAlignment="1">
      <alignment horizontal="left"/>
    </xf>
    <xf numFmtId="0" fontId="31" fillId="0" borderId="0" xfId="11" applyFont="1"/>
    <xf numFmtId="0" fontId="31" fillId="0" borderId="0" xfId="11" applyFont="1" applyAlignment="1">
      <alignment wrapText="1"/>
    </xf>
    <xf numFmtId="0" fontId="30" fillId="0" borderId="83" xfId="11" applyFont="1" applyBorder="1" applyAlignment="1">
      <alignment vertical="center"/>
    </xf>
    <xf numFmtId="0" fontId="30" fillId="0" borderId="59" xfId="11" applyFont="1" applyBorder="1" applyAlignment="1">
      <alignment horizontal="left" vertical="center" wrapText="1"/>
    </xf>
    <xf numFmtId="1" fontId="30" fillId="0" borderId="84" xfId="11" applyNumberFormat="1" applyFont="1" applyBorder="1" applyAlignment="1">
      <alignment horizontal="left" vertical="center"/>
    </xf>
    <xf numFmtId="2" fontId="30" fillId="0" borderId="59" xfId="11" applyNumberFormat="1" applyFont="1" applyBorder="1" applyAlignment="1">
      <alignment horizontal="left" vertical="center" wrapText="1"/>
    </xf>
    <xf numFmtId="0" fontId="30" fillId="0" borderId="86" xfId="11" applyFont="1" applyBorder="1" applyAlignment="1">
      <alignment horizontal="left" vertical="center" wrapText="1"/>
    </xf>
    <xf numFmtId="0" fontId="62" fillId="0" borderId="59" xfId="11" applyFont="1" applyBorder="1" applyAlignment="1">
      <alignment horizontal="left" vertical="center" wrapText="1"/>
    </xf>
    <xf numFmtId="2" fontId="30" fillId="0" borderId="0" xfId="11" applyNumberFormat="1" applyFont="1" applyAlignment="1">
      <alignment vertical="center"/>
    </xf>
    <xf numFmtId="0" fontId="62" fillId="0" borderId="59" xfId="11" applyFont="1" applyBorder="1" applyAlignment="1">
      <alignment wrapText="1"/>
    </xf>
    <xf numFmtId="0" fontId="62" fillId="0" borderId="86" xfId="11" applyFont="1" applyBorder="1" applyAlignment="1">
      <alignment wrapText="1"/>
    </xf>
    <xf numFmtId="0" fontId="137" fillId="0" borderId="0" xfId="11" applyFont="1" applyAlignment="1">
      <alignment vertical="center"/>
    </xf>
    <xf numFmtId="0" fontId="65" fillId="0" borderId="0" xfId="11" applyFont="1"/>
    <xf numFmtId="0" fontId="30" fillId="0" borderId="85" xfId="11" applyFont="1" applyBorder="1" applyAlignment="1">
      <alignment vertical="center"/>
    </xf>
    <xf numFmtId="2" fontId="30" fillId="0" borderId="86" xfId="11" applyNumberFormat="1" applyFont="1" applyBorder="1" applyAlignment="1">
      <alignment horizontal="left" vertical="center" wrapText="1"/>
    </xf>
    <xf numFmtId="1" fontId="30" fillId="0" borderId="0" xfId="11" applyNumberFormat="1" applyFont="1" applyAlignment="1">
      <alignment horizontal="left" vertical="center"/>
    </xf>
    <xf numFmtId="0" fontId="30" fillId="0" borderId="0" xfId="11" applyFont="1" applyAlignment="1">
      <alignment horizontal="left" vertical="center" wrapText="1"/>
    </xf>
    <xf numFmtId="2" fontId="30" fillId="0" borderId="0" xfId="11" applyNumberFormat="1" applyFont="1" applyAlignment="1">
      <alignment horizontal="left" vertical="center" wrapText="1"/>
    </xf>
    <xf numFmtId="2" fontId="30" fillId="0" borderId="0" xfId="11" applyNumberFormat="1" applyFont="1" applyAlignment="1">
      <alignment horizontal="left" vertical="center"/>
    </xf>
    <xf numFmtId="0" fontId="82" fillId="0" borderId="0" xfId="11" applyFont="1" applyAlignment="1">
      <alignment vertical="center"/>
    </xf>
    <xf numFmtId="0" fontId="30" fillId="0" borderId="0" xfId="11" applyFont="1" applyAlignment="1">
      <alignment horizontal="center" vertical="center"/>
    </xf>
    <xf numFmtId="0" fontId="63" fillId="0" borderId="0" xfId="10" applyFont="1" applyAlignment="1">
      <alignment horizontal="right" vertical="center" wrapText="1"/>
    </xf>
    <xf numFmtId="0" fontId="30" fillId="0" borderId="59" xfId="11" applyFont="1" applyBorder="1" applyAlignment="1">
      <alignment vertical="center"/>
    </xf>
    <xf numFmtId="2" fontId="30" fillId="0" borderId="59" xfId="11" applyNumberFormat="1" applyFont="1" applyBorder="1" applyAlignment="1">
      <alignment vertical="center"/>
    </xf>
    <xf numFmtId="0" fontId="130" fillId="0" borderId="0" xfId="11" applyFont="1" applyAlignment="1">
      <alignment vertical="center"/>
    </xf>
    <xf numFmtId="0" fontId="30" fillId="0" borderId="0" xfId="11" applyFont="1" applyAlignment="1">
      <alignment horizontal="right" vertical="center"/>
    </xf>
    <xf numFmtId="0" fontId="130" fillId="0" borderId="0" xfId="11" applyFont="1" applyAlignment="1">
      <alignment vertical="center" wrapText="1"/>
    </xf>
    <xf numFmtId="0" fontId="63" fillId="0" borderId="0" xfId="10" applyFont="1" applyAlignment="1">
      <alignment horizontal="right" vertical="center"/>
    </xf>
    <xf numFmtId="2" fontId="63" fillId="0" borderId="59" xfId="10" applyNumberFormat="1" applyFont="1" applyBorder="1" applyAlignment="1">
      <alignment horizontal="center" vertical="center"/>
    </xf>
    <xf numFmtId="0" fontId="145" fillId="0" borderId="0" xfId="11" applyFont="1" applyAlignment="1">
      <alignment horizontal="left" vertical="center"/>
    </xf>
    <xf numFmtId="0" fontId="133" fillId="0" borderId="0" xfId="10" applyFont="1" applyAlignment="1">
      <alignment horizontal="right" vertical="center"/>
    </xf>
    <xf numFmtId="0" fontId="82" fillId="0" borderId="0" xfId="10" applyFont="1" applyAlignment="1">
      <alignment vertical="center"/>
    </xf>
    <xf numFmtId="0" fontId="30" fillId="0" borderId="59" xfId="11" applyFont="1" applyBorder="1" applyAlignment="1">
      <alignment horizontal="center" vertical="center"/>
    </xf>
    <xf numFmtId="0" fontId="130" fillId="0" borderId="0" xfId="10" applyFont="1" applyAlignment="1">
      <alignment vertical="center"/>
    </xf>
    <xf numFmtId="0" fontId="30" fillId="0" borderId="89" xfId="11" applyFont="1" applyBorder="1"/>
    <xf numFmtId="0" fontId="30" fillId="0" borderId="90" xfId="11" applyFont="1" applyBorder="1"/>
    <xf numFmtId="0" fontId="30" fillId="0" borderId="91" xfId="11" applyFont="1" applyBorder="1"/>
    <xf numFmtId="0" fontId="30" fillId="0" borderId="0" xfId="11" applyFont="1" applyAlignment="1">
      <alignment horizontal="left"/>
    </xf>
    <xf numFmtId="0" fontId="63" fillId="12" borderId="90" xfId="10" applyFont="1" applyFill="1" applyBorder="1" applyAlignment="1">
      <alignment vertical="center"/>
    </xf>
    <xf numFmtId="0" fontId="30" fillId="0" borderId="90" xfId="11" applyFont="1" applyBorder="1" applyAlignment="1">
      <alignment horizontal="left"/>
    </xf>
    <xf numFmtId="0" fontId="30" fillId="0" borderId="92" xfId="11" applyFont="1" applyBorder="1"/>
    <xf numFmtId="0" fontId="63" fillId="12" borderId="92" xfId="10" applyFont="1" applyFill="1" applyBorder="1" applyAlignment="1">
      <alignment vertical="center"/>
    </xf>
    <xf numFmtId="0" fontId="30" fillId="0" borderId="93" xfId="11" applyFont="1" applyBorder="1" applyAlignment="1">
      <alignment horizontal="left"/>
    </xf>
    <xf numFmtId="0" fontId="63" fillId="12" borderId="92" xfId="10" applyFont="1" applyFill="1" applyBorder="1" applyAlignment="1">
      <alignment vertical="center" wrapText="1"/>
    </xf>
    <xf numFmtId="0" fontId="30" fillId="0" borderId="93" xfId="11" applyFont="1" applyBorder="1"/>
    <xf numFmtId="0" fontId="63" fillId="12" borderId="93" xfId="10" applyFont="1" applyFill="1" applyBorder="1" applyAlignment="1">
      <alignment vertical="center"/>
    </xf>
    <xf numFmtId="2" fontId="30" fillId="0" borderId="0" xfId="11" applyNumberFormat="1" applyFont="1"/>
    <xf numFmtId="0" fontId="30" fillId="42" borderId="0" xfId="11" applyFont="1" applyFill="1"/>
    <xf numFmtId="2" fontId="30" fillId="42" borderId="0" xfId="11" applyNumberFormat="1" applyFont="1" applyFill="1"/>
    <xf numFmtId="0" fontId="30" fillId="43" borderId="0" xfId="11" applyFont="1" applyFill="1"/>
    <xf numFmtId="2" fontId="30" fillId="43" borderId="0" xfId="11" applyNumberFormat="1" applyFont="1" applyFill="1"/>
    <xf numFmtId="0" fontId="80" fillId="12" borderId="0" xfId="5" applyFill="1" applyAlignment="1">
      <alignment vertical="center" wrapText="1"/>
    </xf>
    <xf numFmtId="0" fontId="146" fillId="32" borderId="76" xfId="7" applyFont="1" applyFill="1" applyBorder="1" applyAlignment="1" applyProtection="1">
      <alignment vertical="center"/>
    </xf>
    <xf numFmtId="0" fontId="96" fillId="12" borderId="76" xfId="7" applyFont="1" applyFill="1" applyBorder="1" applyAlignment="1" applyProtection="1">
      <alignment vertical="center"/>
    </xf>
    <xf numFmtId="0" fontId="146" fillId="32" borderId="62" xfId="7" applyFont="1" applyFill="1" applyBorder="1" applyAlignment="1" applyProtection="1">
      <alignment vertical="center"/>
    </xf>
    <xf numFmtId="0" fontId="96" fillId="12" borderId="62" xfId="7" applyFont="1" applyFill="1" applyBorder="1" applyAlignment="1" applyProtection="1">
      <alignment vertical="center"/>
    </xf>
    <xf numFmtId="0" fontId="63" fillId="12" borderId="0" xfId="10" applyFont="1" applyFill="1" applyAlignment="1">
      <alignment vertical="center"/>
    </xf>
    <xf numFmtId="0" fontId="63" fillId="12" borderId="0" xfId="10" applyFont="1" applyFill="1" applyAlignment="1">
      <alignment horizontal="right" vertical="center"/>
    </xf>
    <xf numFmtId="0" fontId="122" fillId="12" borderId="0" xfId="10" applyFont="1" applyFill="1" applyAlignment="1">
      <alignment vertical="center" wrapText="1"/>
    </xf>
    <xf numFmtId="0" fontId="63" fillId="12" borderId="0" xfId="10" applyFont="1" applyFill="1" applyAlignment="1">
      <alignment vertical="center" wrapText="1"/>
    </xf>
    <xf numFmtId="0" fontId="63" fillId="12" borderId="0" xfId="10" applyFont="1" applyFill="1" applyAlignment="1">
      <alignment horizontal="left" vertical="center"/>
    </xf>
    <xf numFmtId="0" fontId="123" fillId="12" borderId="0" xfId="10" applyFont="1" applyFill="1" applyAlignment="1">
      <alignment horizontal="left" vertical="center"/>
    </xf>
    <xf numFmtId="0" fontId="124" fillId="12" borderId="0" xfId="10" applyFont="1" applyFill="1" applyAlignment="1">
      <alignment horizontal="right" vertical="center"/>
    </xf>
    <xf numFmtId="0" fontId="124" fillId="12" borderId="0" xfId="10" applyFont="1" applyFill="1" applyAlignment="1">
      <alignment vertical="center" wrapText="1"/>
    </xf>
    <xf numFmtId="0" fontId="125" fillId="12" borderId="0" xfId="10" applyFont="1" applyFill="1" applyAlignment="1">
      <alignment horizontal="right" vertical="center"/>
    </xf>
    <xf numFmtId="0" fontId="126" fillId="12" borderId="0" xfId="10" applyFont="1" applyFill="1" applyAlignment="1">
      <alignment vertical="center"/>
    </xf>
    <xf numFmtId="0" fontId="126" fillId="12" borderId="0" xfId="10" applyFont="1" applyFill="1" applyAlignment="1">
      <alignment vertical="center" wrapText="1"/>
    </xf>
    <xf numFmtId="16" fontId="127" fillId="38" borderId="0" xfId="11" applyNumberFormat="1" applyFont="1" applyFill="1" applyAlignment="1">
      <alignment horizontal="right" vertical="center"/>
    </xf>
    <xf numFmtId="16" fontId="63" fillId="38" borderId="0" xfId="11" applyNumberFormat="1" applyFont="1" applyFill="1" applyAlignment="1">
      <alignment horizontal="right" vertical="center"/>
    </xf>
    <xf numFmtId="0" fontId="63" fillId="12" borderId="0" xfId="10" applyFont="1" applyFill="1" applyAlignment="1">
      <alignment horizontal="right" vertical="center" wrapText="1"/>
    </xf>
    <xf numFmtId="0" fontId="63" fillId="12" borderId="59" xfId="10" applyFont="1" applyFill="1" applyBorder="1" applyAlignment="1">
      <alignment horizontal="center" vertical="center"/>
    </xf>
    <xf numFmtId="0" fontId="128" fillId="12" borderId="81" xfId="10" applyFont="1" applyFill="1" applyBorder="1" applyAlignment="1">
      <alignment vertical="center" wrapText="1"/>
    </xf>
    <xf numFmtId="0" fontId="129" fillId="12" borderId="81" xfId="10" applyFont="1" applyFill="1" applyBorder="1" applyAlignment="1">
      <alignment vertical="center" wrapText="1"/>
    </xf>
    <xf numFmtId="166" fontId="63" fillId="12" borderId="59" xfId="10" applyNumberFormat="1" applyFont="1" applyFill="1" applyBorder="1" applyAlignment="1">
      <alignment horizontal="center" vertical="center"/>
    </xf>
    <xf numFmtId="0" fontId="129" fillId="12" borderId="0" xfId="10" applyFont="1" applyFill="1" applyAlignment="1">
      <alignment vertical="center" wrapText="1"/>
    </xf>
    <xf numFmtId="0" fontId="63" fillId="12" borderId="0" xfId="10" applyFont="1" applyFill="1" applyAlignment="1">
      <alignment horizontal="center" vertical="center"/>
    </xf>
    <xf numFmtId="0" fontId="128" fillId="12" borderId="0" xfId="10" applyFont="1" applyFill="1" applyAlignment="1">
      <alignment vertical="center" wrapText="1"/>
    </xf>
    <xf numFmtId="0" fontId="103" fillId="12" borderId="0" xfId="10" applyFont="1" applyFill="1" applyAlignment="1">
      <alignment vertical="center" wrapText="1"/>
    </xf>
    <xf numFmtId="0" fontId="124" fillId="12" borderId="0" xfId="10" quotePrefix="1" applyFont="1" applyFill="1" applyAlignment="1">
      <alignment horizontal="right" vertical="center"/>
    </xf>
    <xf numFmtId="0" fontId="125" fillId="12" borderId="0" xfId="10" applyFont="1" applyFill="1" applyAlignment="1">
      <alignment vertical="center" wrapText="1"/>
    </xf>
    <xf numFmtId="0" fontId="63" fillId="0" borderId="59" xfId="10" applyFont="1" applyBorder="1" applyAlignment="1">
      <alignment horizontal="center" vertical="center"/>
    </xf>
    <xf numFmtId="0" fontId="82" fillId="12" borderId="0" xfId="10" applyFont="1" applyFill="1" applyAlignment="1">
      <alignment horizontal="right" vertical="center" wrapText="1"/>
    </xf>
    <xf numFmtId="0" fontId="82" fillId="12" borderId="0" xfId="10" applyFont="1" applyFill="1" applyAlignment="1">
      <alignment vertical="center" wrapText="1"/>
    </xf>
    <xf numFmtId="0" fontId="34" fillId="12" borderId="0" xfId="10" applyFont="1" applyFill="1" applyAlignment="1">
      <alignment horizontal="right" vertical="center" wrapText="1"/>
    </xf>
    <xf numFmtId="0" fontId="130" fillId="12" borderId="0" xfId="10" applyFont="1" applyFill="1" applyAlignment="1">
      <alignment vertical="center" wrapText="1"/>
    </xf>
    <xf numFmtId="0" fontId="126" fillId="12" borderId="0" xfId="10" applyFont="1" applyFill="1" applyAlignment="1">
      <alignment horizontal="right" vertical="center"/>
    </xf>
    <xf numFmtId="0" fontId="63" fillId="38" borderId="0" xfId="11" applyFont="1" applyFill="1" applyAlignment="1">
      <alignment horizontal="right" vertical="center" wrapText="1"/>
    </xf>
    <xf numFmtId="166" fontId="126" fillId="12" borderId="59" xfId="10" applyNumberFormat="1" applyFont="1" applyFill="1" applyBorder="1" applyAlignment="1">
      <alignment horizontal="center" vertical="center"/>
    </xf>
    <xf numFmtId="2" fontId="126" fillId="12" borderId="59" xfId="10" applyNumberFormat="1" applyFont="1" applyFill="1" applyBorder="1" applyAlignment="1">
      <alignment horizontal="center" vertical="center"/>
    </xf>
    <xf numFmtId="166" fontId="63" fillId="0" borderId="59" xfId="10" applyNumberFormat="1" applyFont="1" applyBorder="1" applyAlignment="1">
      <alignment horizontal="center" vertical="center"/>
    </xf>
    <xf numFmtId="0" fontId="126" fillId="12" borderId="59" xfId="10" applyFont="1" applyFill="1" applyBorder="1" applyAlignment="1">
      <alignment horizontal="center" vertical="center"/>
    </xf>
    <xf numFmtId="0" fontId="131" fillId="12" borderId="81" xfId="10" applyFont="1" applyFill="1" applyBorder="1" applyAlignment="1">
      <alignment vertical="center" wrapText="1"/>
    </xf>
    <xf numFmtId="0" fontId="102" fillId="12" borderId="81" xfId="10" applyFont="1" applyFill="1" applyBorder="1" applyAlignment="1">
      <alignment vertical="center"/>
    </xf>
    <xf numFmtId="2" fontId="63" fillId="12" borderId="59" xfId="10" applyNumberFormat="1" applyFont="1" applyFill="1" applyBorder="1" applyAlignment="1">
      <alignment horizontal="center" vertical="center"/>
    </xf>
    <xf numFmtId="0" fontId="132" fillId="12" borderId="0" xfId="10" applyFont="1" applyFill="1" applyAlignment="1">
      <alignment horizontal="right" vertical="center" wrapText="1"/>
    </xf>
    <xf numFmtId="0" fontId="82" fillId="12" borderId="0" xfId="10" applyFont="1" applyFill="1" applyAlignment="1">
      <alignment horizontal="left" vertical="center" wrapText="1"/>
    </xf>
    <xf numFmtId="0" fontId="133" fillId="12" borderId="0" xfId="10" applyFont="1" applyFill="1" applyAlignment="1">
      <alignment horizontal="left" vertical="center" wrapText="1"/>
    </xf>
    <xf numFmtId="0" fontId="125" fillId="12" borderId="0" xfId="10" applyFont="1" applyFill="1" applyAlignment="1">
      <alignment horizontal="right" vertical="center" wrapText="1"/>
    </xf>
    <xf numFmtId="0" fontId="126" fillId="12" borderId="0" xfId="10" applyFont="1" applyFill="1" applyAlignment="1">
      <alignment horizontal="left" vertical="center" wrapText="1"/>
    </xf>
    <xf numFmtId="0" fontId="126" fillId="12" borderId="0" xfId="10" applyFont="1" applyFill="1" applyAlignment="1">
      <alignment horizontal="center" vertical="center"/>
    </xf>
    <xf numFmtId="0" fontId="126" fillId="12" borderId="0" xfId="10" applyFont="1" applyFill="1" applyAlignment="1">
      <alignment horizontal="center" vertical="center" wrapText="1"/>
    </xf>
    <xf numFmtId="0" fontId="34" fillId="12" borderId="0" xfId="10" applyFont="1" applyFill="1" applyAlignment="1">
      <alignment horizontal="left" vertical="center" wrapText="1"/>
    </xf>
    <xf numFmtId="0" fontId="128" fillId="12" borderId="0" xfId="10" applyFont="1" applyFill="1" applyAlignment="1">
      <alignment horizontal="left" vertical="center" wrapText="1"/>
    </xf>
    <xf numFmtId="4" fontId="63" fillId="12" borderId="59" xfId="10" applyNumberFormat="1" applyFont="1" applyFill="1" applyBorder="1" applyAlignment="1">
      <alignment horizontal="center" vertical="center"/>
    </xf>
    <xf numFmtId="167" fontId="63" fillId="12" borderId="59" xfId="10" applyNumberFormat="1" applyFont="1" applyFill="1" applyBorder="1" applyAlignment="1">
      <alignment horizontal="center" vertical="center"/>
    </xf>
    <xf numFmtId="167" fontId="126" fillId="12" borderId="59" xfId="10" applyNumberFormat="1" applyFont="1" applyFill="1" applyBorder="1" applyAlignment="1">
      <alignment horizontal="center" vertical="center"/>
    </xf>
    <xf numFmtId="0" fontId="129" fillId="12" borderId="0" xfId="10" applyFont="1" applyFill="1" applyAlignment="1">
      <alignment horizontal="left" vertical="center" wrapText="1"/>
    </xf>
    <xf numFmtId="0" fontId="133" fillId="12" borderId="0" xfId="10" applyFont="1" applyFill="1" applyAlignment="1">
      <alignment horizontal="right" vertical="center" wrapText="1"/>
    </xf>
    <xf numFmtId="4" fontId="63" fillId="0" borderId="59" xfId="10" applyNumberFormat="1" applyFont="1" applyBorder="1" applyAlignment="1">
      <alignment horizontal="center" vertical="center"/>
    </xf>
    <xf numFmtId="0" fontId="122" fillId="12" borderId="0" xfId="10" applyFont="1" applyFill="1" applyAlignment="1">
      <alignment horizontal="right" vertical="center" wrapText="1"/>
    </xf>
    <xf numFmtId="0" fontId="134" fillId="12" borderId="0" xfId="10" applyFont="1" applyFill="1" applyAlignment="1">
      <alignment horizontal="right" vertical="center"/>
    </xf>
    <xf numFmtId="16" fontId="127" fillId="12" borderId="0" xfId="10" applyNumberFormat="1" applyFont="1" applyFill="1" applyAlignment="1">
      <alignment horizontal="right" vertical="center"/>
    </xf>
    <xf numFmtId="0" fontId="126" fillId="12" borderId="0" xfId="10" applyFont="1" applyFill="1" applyAlignment="1">
      <alignment horizontal="right" vertical="center" wrapText="1"/>
    </xf>
    <xf numFmtId="0" fontId="131" fillId="12" borderId="0" xfId="10" applyFont="1" applyFill="1" applyAlignment="1">
      <alignment vertical="center" wrapText="1"/>
    </xf>
    <xf numFmtId="0" fontId="125" fillId="12" borderId="0" xfId="10" applyFont="1" applyFill="1" applyAlignment="1" applyProtection="1">
      <alignment horizontal="right" vertical="center" wrapText="1"/>
      <protection hidden="1"/>
    </xf>
    <xf numFmtId="0" fontId="125" fillId="12" borderId="0" xfId="10" applyFont="1" applyFill="1" applyAlignment="1" applyProtection="1">
      <alignment vertical="center" wrapText="1"/>
      <protection hidden="1"/>
    </xf>
    <xf numFmtId="0" fontId="126" fillId="12" borderId="0" xfId="10" applyFont="1" applyFill="1" applyAlignment="1" applyProtection="1">
      <alignment vertical="center"/>
      <protection hidden="1"/>
    </xf>
    <xf numFmtId="0" fontId="126" fillId="12" borderId="0" xfId="10" applyFont="1" applyFill="1" applyAlignment="1" applyProtection="1">
      <alignment vertical="center" wrapText="1"/>
      <protection hidden="1"/>
    </xf>
    <xf numFmtId="0" fontId="126" fillId="12" borderId="0" xfId="10" applyFont="1" applyFill="1" applyAlignment="1" applyProtection="1">
      <alignment horizontal="right" vertical="center"/>
      <protection hidden="1"/>
    </xf>
    <xf numFmtId="0" fontId="130" fillId="12" borderId="0" xfId="10" applyFont="1" applyFill="1" applyAlignment="1" applyProtection="1">
      <alignment horizontal="left" vertical="center"/>
      <protection hidden="1"/>
    </xf>
    <xf numFmtId="0" fontId="63" fillId="12" borderId="0" xfId="10" applyFont="1" applyFill="1" applyAlignment="1" applyProtection="1">
      <alignment vertical="center"/>
      <protection hidden="1"/>
    </xf>
    <xf numFmtId="0" fontId="125" fillId="12" borderId="0" xfId="10" applyFont="1" applyFill="1" applyAlignment="1" applyProtection="1">
      <alignment horizontal="left" vertical="center"/>
      <protection hidden="1"/>
    </xf>
    <xf numFmtId="0" fontId="135" fillId="12" borderId="0" xfId="10" applyFont="1" applyFill="1" applyAlignment="1" applyProtection="1">
      <alignment horizontal="center" vertical="center"/>
      <protection hidden="1"/>
    </xf>
    <xf numFmtId="0" fontId="63" fillId="12" borderId="0" xfId="10" applyFont="1" applyFill="1" applyAlignment="1" applyProtection="1">
      <alignment horizontal="right" vertical="center"/>
      <protection hidden="1"/>
    </xf>
    <xf numFmtId="0" fontId="63" fillId="12" borderId="0" xfId="10" applyFont="1" applyFill="1" applyAlignment="1" applyProtection="1">
      <alignment horizontal="right" vertical="center" wrapText="1"/>
      <protection hidden="1"/>
    </xf>
    <xf numFmtId="0" fontId="63" fillId="12" borderId="59" xfId="10" applyFont="1" applyFill="1" applyBorder="1" applyAlignment="1" applyProtection="1">
      <alignment horizontal="center" vertical="center"/>
      <protection hidden="1"/>
    </xf>
    <xf numFmtId="0" fontId="128" fillId="12" borderId="0" xfId="10" applyFont="1" applyFill="1" applyAlignment="1" applyProtection="1">
      <alignment vertical="center" wrapText="1"/>
      <protection hidden="1"/>
    </xf>
    <xf numFmtId="0" fontId="128" fillId="12" borderId="81" xfId="10" applyFont="1" applyFill="1" applyBorder="1" applyAlignment="1" applyProtection="1">
      <alignment vertical="center" wrapText="1"/>
      <protection hidden="1"/>
    </xf>
    <xf numFmtId="0" fontId="63" fillId="39" borderId="59" xfId="10" applyFont="1" applyFill="1" applyBorder="1" applyAlignment="1" applyProtection="1">
      <alignment horizontal="center" vertical="center"/>
      <protection hidden="1"/>
    </xf>
    <xf numFmtId="2" fontId="63" fillId="40" borderId="59" xfId="10" applyNumberFormat="1" applyFont="1" applyFill="1" applyBorder="1" applyAlignment="1" applyProtection="1">
      <alignment horizontal="center" vertical="center"/>
      <protection hidden="1"/>
    </xf>
    <xf numFmtId="2" fontId="63" fillId="12" borderId="59" xfId="10" applyNumberFormat="1" applyFont="1" applyFill="1" applyBorder="1" applyAlignment="1" applyProtection="1">
      <alignment horizontal="center" vertical="center"/>
      <protection hidden="1"/>
    </xf>
    <xf numFmtId="0" fontId="129" fillId="12" borderId="81" xfId="10" applyFont="1" applyFill="1" applyBorder="1" applyAlignment="1" applyProtection="1">
      <alignment vertical="center" wrapText="1"/>
      <protection hidden="1"/>
    </xf>
    <xf numFmtId="0" fontId="63" fillId="38" borderId="0" xfId="11" applyFont="1" applyFill="1" applyAlignment="1" applyProtection="1">
      <alignment horizontal="right" vertical="center" wrapText="1"/>
      <protection hidden="1"/>
    </xf>
    <xf numFmtId="0" fontId="129" fillId="12" borderId="0" xfId="10" applyFont="1" applyFill="1" applyAlignment="1" applyProtection="1">
      <alignment vertical="center" wrapText="1"/>
      <protection hidden="1"/>
    </xf>
    <xf numFmtId="0" fontId="63" fillId="12" borderId="0" xfId="10" applyFont="1" applyFill="1" applyAlignment="1" applyProtection="1">
      <alignment horizontal="center" vertical="center"/>
      <protection hidden="1"/>
    </xf>
    <xf numFmtId="0" fontId="63" fillId="12" borderId="0" xfId="10" applyFont="1" applyFill="1" applyAlignment="1" applyProtection="1">
      <alignment horizontal="center" vertical="center" wrapText="1"/>
      <protection hidden="1"/>
    </xf>
    <xf numFmtId="0" fontId="126" fillId="12" borderId="0" xfId="10" applyFont="1" applyFill="1" applyAlignment="1" applyProtection="1">
      <alignment horizontal="right" vertical="center" wrapText="1"/>
      <protection hidden="1"/>
    </xf>
    <xf numFmtId="0" fontId="126" fillId="12" borderId="0" xfId="10" applyFont="1" applyFill="1" applyAlignment="1" applyProtection="1">
      <alignment horizontal="center" vertical="center"/>
      <protection hidden="1"/>
    </xf>
    <xf numFmtId="0" fontId="126" fillId="12" borderId="0" xfId="10" applyFont="1" applyFill="1" applyAlignment="1" applyProtection="1">
      <alignment horizontal="center" vertical="center" wrapText="1"/>
      <protection hidden="1"/>
    </xf>
    <xf numFmtId="1" fontId="63" fillId="12" borderId="59" xfId="10" applyNumberFormat="1" applyFont="1" applyFill="1" applyBorder="1" applyAlignment="1" applyProtection="1">
      <alignment horizontal="center" vertical="center"/>
      <protection hidden="1"/>
    </xf>
    <xf numFmtId="0" fontId="136" fillId="12" borderId="0" xfId="10" applyFont="1" applyFill="1" applyAlignment="1" applyProtection="1">
      <alignment horizontal="center" vertical="center"/>
      <protection hidden="1"/>
    </xf>
    <xf numFmtId="0" fontId="63" fillId="12" borderId="0" xfId="10" applyFont="1" applyFill="1" applyAlignment="1" applyProtection="1">
      <alignment horizontal="right" vertical="center"/>
      <protection locked="0"/>
    </xf>
    <xf numFmtId="0" fontId="82" fillId="12" borderId="0" xfId="10" applyFont="1" applyFill="1" applyAlignment="1" applyProtection="1">
      <alignment horizontal="right" vertical="center" wrapText="1"/>
      <protection locked="0"/>
    </xf>
    <xf numFmtId="0" fontId="30" fillId="0" borderId="0" xfId="11" applyFont="1" applyAlignment="1" applyProtection="1">
      <alignment vertical="center"/>
      <protection locked="0"/>
    </xf>
    <xf numFmtId="0" fontId="12" fillId="17" borderId="51" xfId="1" applyFont="1" applyFill="1" applyBorder="1" applyAlignment="1" applyProtection="1">
      <alignment horizontal="center" vertical="center" wrapText="1"/>
      <protection locked="0"/>
    </xf>
    <xf numFmtId="0" fontId="12" fillId="15" borderId="0" xfId="1" applyFont="1" applyFill="1" applyAlignment="1">
      <alignment horizontal="center" vertical="center" wrapText="1"/>
    </xf>
    <xf numFmtId="49" fontId="12" fillId="15" borderId="0" xfId="1" applyNumberFormat="1" applyFont="1" applyFill="1" applyAlignment="1">
      <alignment horizontal="center" vertical="center" wrapText="1"/>
    </xf>
    <xf numFmtId="1" fontId="12" fillId="15" borderId="0" xfId="1" applyNumberFormat="1" applyFont="1" applyFill="1" applyAlignment="1">
      <alignment horizontal="center" vertical="center" wrapText="1"/>
    </xf>
    <xf numFmtId="0" fontId="30" fillId="11" borderId="0" xfId="3" applyNumberFormat="1" applyFont="1" applyFill="1" applyBorder="1" applyAlignment="1" applyProtection="1">
      <alignment horizontal="center" vertical="center" wrapText="1"/>
    </xf>
    <xf numFmtId="4" fontId="30" fillId="11" borderId="0" xfId="1" applyNumberFormat="1" applyFont="1" applyFill="1" applyAlignment="1">
      <alignment horizontal="center" vertical="center" wrapText="1"/>
    </xf>
    <xf numFmtId="10" fontId="30" fillId="11" borderId="0" xfId="2" applyNumberFormat="1" applyFont="1" applyFill="1" applyBorder="1" applyAlignment="1" applyProtection="1">
      <alignment horizontal="center" vertical="center" wrapText="1"/>
    </xf>
    <xf numFmtId="10" fontId="12" fillId="12" borderId="0" xfId="2" applyNumberFormat="1" applyFont="1" applyFill="1" applyBorder="1" applyAlignment="1" applyProtection="1">
      <alignment horizontal="center" vertical="center" wrapText="1"/>
    </xf>
    <xf numFmtId="0" fontId="37" fillId="12" borderId="0" xfId="1" applyFont="1" applyFill="1" applyAlignment="1">
      <alignment vertical="center"/>
    </xf>
    <xf numFmtId="0" fontId="89" fillId="12" borderId="0" xfId="1" applyFont="1" applyFill="1" applyAlignment="1">
      <alignment horizontal="center" vertical="center" wrapText="1"/>
    </xf>
    <xf numFmtId="0" fontId="12" fillId="2" borderId="3" xfId="1" applyFont="1" applyFill="1" applyBorder="1" applyAlignment="1">
      <alignment horizontal="center" vertical="center" wrapText="1"/>
    </xf>
    <xf numFmtId="10" fontId="12" fillId="2" borderId="3" xfId="1" applyNumberFormat="1" applyFont="1" applyFill="1" applyBorder="1" applyAlignment="1">
      <alignment horizontal="center" vertical="center" wrapText="1"/>
    </xf>
    <xf numFmtId="10" fontId="12" fillId="15" borderId="3" xfId="1" applyNumberFormat="1" applyFont="1" applyFill="1" applyBorder="1" applyAlignment="1">
      <alignment horizontal="center" vertical="center" wrapText="1"/>
    </xf>
    <xf numFmtId="0" fontId="12" fillId="15" borderId="4" xfId="1" applyFont="1" applyFill="1" applyBorder="1" applyAlignment="1">
      <alignment horizontal="center" vertical="center" wrapText="1"/>
    </xf>
    <xf numFmtId="10" fontId="12" fillId="15" borderId="4" xfId="1" applyNumberFormat="1" applyFont="1" applyFill="1" applyBorder="1" applyAlignment="1">
      <alignment horizontal="center" vertical="center" wrapText="1"/>
    </xf>
    <xf numFmtId="10" fontId="12" fillId="15" borderId="0" xfId="1" applyNumberFormat="1" applyFont="1" applyFill="1" applyAlignment="1">
      <alignment horizontal="center" vertical="center" wrapText="1"/>
    </xf>
    <xf numFmtId="0" fontId="29" fillId="0" borderId="40" xfId="1" applyFont="1" applyBorder="1" applyAlignment="1">
      <alignment horizontal="center" vertical="center" wrapText="1"/>
    </xf>
    <xf numFmtId="0" fontId="29" fillId="0" borderId="40" xfId="0" applyFont="1" applyBorder="1" applyAlignment="1">
      <alignment horizontal="center" vertical="center" wrapText="1"/>
    </xf>
    <xf numFmtId="0" fontId="12" fillId="15" borderId="47" xfId="1" applyFont="1" applyFill="1" applyBorder="1" applyAlignment="1">
      <alignment vertical="center" wrapText="1"/>
    </xf>
    <xf numFmtId="0" fontId="12" fillId="15" borderId="15" xfId="1" applyFont="1" applyFill="1" applyBorder="1" applyAlignment="1">
      <alignment vertical="center" wrapText="1"/>
    </xf>
    <xf numFmtId="4" fontId="12" fillId="7" borderId="2" xfId="1" applyNumberFormat="1" applyFont="1" applyFill="1" applyBorder="1" applyAlignment="1" applyProtection="1">
      <alignment horizontal="center" vertical="center" wrapText="1"/>
      <protection locked="0"/>
    </xf>
    <xf numFmtId="4" fontId="12" fillId="11" borderId="2" xfId="1" applyNumberFormat="1" applyFont="1" applyFill="1" applyBorder="1" applyAlignment="1">
      <alignment horizontal="center" vertical="center" wrapText="1"/>
    </xf>
    <xf numFmtId="10" fontId="12" fillId="11" borderId="2" xfId="2" applyNumberFormat="1" applyFont="1" applyFill="1" applyBorder="1" applyAlignment="1" applyProtection="1">
      <alignment horizontal="center" vertical="center" wrapText="1"/>
    </xf>
    <xf numFmtId="10" fontId="12" fillId="7" borderId="2" xfId="2" applyNumberFormat="1" applyFont="1" applyFill="1" applyBorder="1" applyAlignment="1" applyProtection="1">
      <alignment horizontal="center" vertical="center" wrapText="1"/>
      <protection locked="0"/>
    </xf>
    <xf numFmtId="0" fontId="12" fillId="0" borderId="2" xfId="1" applyFont="1" applyBorder="1" applyAlignment="1">
      <alignment horizontal="center" vertical="center" wrapText="1"/>
    </xf>
    <xf numFmtId="0" fontId="5" fillId="12" borderId="15" xfId="1" applyFont="1" applyFill="1" applyBorder="1" applyAlignment="1">
      <alignment vertical="center"/>
    </xf>
    <xf numFmtId="0" fontId="40" fillId="12" borderId="15" xfId="1" applyFont="1" applyFill="1" applyBorder="1" applyAlignment="1">
      <alignment vertical="center" wrapText="1"/>
    </xf>
    <xf numFmtId="0" fontId="12" fillId="15" borderId="3" xfId="1" applyFont="1" applyFill="1" applyBorder="1" applyAlignment="1">
      <alignment horizontal="center" vertical="center" wrapText="1"/>
    </xf>
    <xf numFmtId="4" fontId="30" fillId="9" borderId="15" xfId="1" applyNumberFormat="1" applyFont="1" applyFill="1" applyBorder="1" applyAlignment="1">
      <alignment horizontal="center" vertical="center" wrapText="1"/>
    </xf>
    <xf numFmtId="0" fontId="29" fillId="12" borderId="40" xfId="1" applyFont="1" applyFill="1" applyBorder="1" applyAlignment="1">
      <alignment vertical="center" wrapText="1"/>
    </xf>
    <xf numFmtId="0" fontId="16" fillId="14" borderId="0" xfId="1" applyFont="1" applyFill="1" applyAlignment="1">
      <alignment vertical="center" wrapText="1"/>
    </xf>
    <xf numFmtId="0" fontId="16" fillId="14" borderId="0" xfId="1" applyFont="1" applyFill="1" applyAlignment="1">
      <alignment horizontal="center" vertical="center" wrapText="1"/>
    </xf>
    <xf numFmtId="0" fontId="16" fillId="12" borderId="0" xfId="1" applyFont="1" applyFill="1" applyAlignment="1">
      <alignment vertical="center" wrapText="1"/>
    </xf>
    <xf numFmtId="0" fontId="6" fillId="12" borderId="0" xfId="1" applyFill="1" applyAlignment="1">
      <alignment wrapText="1"/>
    </xf>
    <xf numFmtId="0" fontId="104" fillId="12" borderId="0" xfId="1" applyFont="1" applyFill="1" applyAlignment="1">
      <alignment wrapText="1"/>
    </xf>
    <xf numFmtId="0" fontId="20" fillId="6" borderId="0" xfId="1" applyFont="1" applyFill="1" applyAlignment="1">
      <alignment vertical="center" wrapText="1"/>
    </xf>
    <xf numFmtId="0" fontId="6" fillId="14" borderId="0" xfId="1" applyFill="1" applyAlignment="1">
      <alignment horizontal="center" wrapText="1"/>
    </xf>
    <xf numFmtId="0" fontId="6" fillId="14" borderId="0" xfId="1" applyFill="1" applyAlignment="1">
      <alignment wrapText="1"/>
    </xf>
    <xf numFmtId="0" fontId="18" fillId="6" borderId="0" xfId="1" applyFont="1" applyFill="1" applyAlignment="1">
      <alignment horizontal="center" vertical="center" wrapText="1"/>
    </xf>
    <xf numFmtId="0" fontId="6" fillId="12" borderId="0" xfId="1" applyFill="1" applyAlignment="1">
      <alignment vertical="center" wrapText="1"/>
    </xf>
    <xf numFmtId="10" fontId="17" fillId="11" borderId="0" xfId="1" applyNumberFormat="1" applyFont="1" applyFill="1" applyAlignment="1">
      <alignment horizontal="center" vertical="center" wrapText="1"/>
    </xf>
    <xf numFmtId="0" fontId="6" fillId="12" borderId="0" xfId="1" applyFill="1" applyAlignment="1">
      <alignment horizontal="left" wrapText="1"/>
    </xf>
    <xf numFmtId="0" fontId="104" fillId="12" borderId="0" xfId="1" applyFont="1" applyFill="1" applyAlignment="1">
      <alignment horizontal="left" wrapText="1"/>
    </xf>
    <xf numFmtId="0" fontId="26" fillId="12" borderId="0" xfId="1" applyFont="1" applyFill="1" applyAlignment="1">
      <alignment horizontal="left" vertical="top" wrapText="1"/>
    </xf>
    <xf numFmtId="0" fontId="6" fillId="12" borderId="32" xfId="1" applyFill="1" applyBorder="1" applyAlignment="1">
      <alignment vertical="center" wrapText="1"/>
    </xf>
    <xf numFmtId="0" fontId="57" fillId="12" borderId="0" xfId="1" applyFont="1" applyFill="1" applyAlignment="1">
      <alignment horizontal="left" vertical="top" wrapText="1"/>
    </xf>
    <xf numFmtId="0" fontId="26" fillId="12" borderId="0" xfId="1" applyFont="1" applyFill="1" applyAlignment="1">
      <alignment vertical="top" wrapText="1"/>
    </xf>
    <xf numFmtId="0" fontId="29" fillId="12" borderId="29" xfId="1" applyFont="1" applyFill="1" applyBorder="1" applyAlignment="1">
      <alignment horizontal="center" vertical="center" wrapText="1"/>
    </xf>
    <xf numFmtId="164" fontId="30" fillId="12" borderId="29" xfId="1" applyNumberFormat="1" applyFont="1" applyFill="1" applyBorder="1" applyAlignment="1">
      <alignment horizontal="center" vertical="center" wrapText="1"/>
    </xf>
    <xf numFmtId="164" fontId="30" fillId="12" borderId="0" xfId="1" applyNumberFormat="1" applyFont="1" applyFill="1" applyAlignment="1">
      <alignment horizontal="center" vertical="center" wrapText="1"/>
    </xf>
    <xf numFmtId="4" fontId="30" fillId="11" borderId="15" xfId="1" applyNumberFormat="1" applyFont="1" applyFill="1" applyBorder="1" applyAlignment="1">
      <alignment vertical="center" wrapText="1"/>
    </xf>
    <xf numFmtId="164" fontId="30" fillId="11" borderId="15" xfId="1" applyNumberFormat="1" applyFont="1" applyFill="1" applyBorder="1" applyAlignment="1">
      <alignment horizontal="center" vertical="center" wrapText="1"/>
    </xf>
    <xf numFmtId="4" fontId="65" fillId="11" borderId="15" xfId="1" applyNumberFormat="1" applyFont="1" applyFill="1" applyBorder="1" applyAlignment="1">
      <alignment horizontal="center" vertical="center" wrapText="1"/>
    </xf>
    <xf numFmtId="164" fontId="30" fillId="11" borderId="29" xfId="1" applyNumberFormat="1" applyFont="1" applyFill="1" applyBorder="1" applyAlignment="1">
      <alignment horizontal="center" vertical="center" wrapText="1"/>
    </xf>
    <xf numFmtId="164" fontId="30" fillId="11" borderId="0" xfId="1" applyNumberFormat="1" applyFont="1" applyFill="1" applyAlignment="1">
      <alignment horizontal="center" vertical="center" wrapText="1"/>
    </xf>
    <xf numFmtId="0" fontId="6" fillId="0" borderId="0" xfId="1" applyAlignment="1">
      <alignment horizontal="left" wrapText="1"/>
    </xf>
    <xf numFmtId="0" fontId="24" fillId="14" borderId="15" xfId="1" applyFont="1" applyFill="1" applyBorder="1" applyAlignment="1">
      <alignment horizontal="center" vertical="center" wrapText="1"/>
    </xf>
    <xf numFmtId="0" fontId="24" fillId="14" borderId="0" xfId="1" applyFont="1" applyFill="1" applyAlignment="1">
      <alignment horizontal="center" vertical="center" wrapText="1"/>
    </xf>
    <xf numFmtId="10" fontId="30" fillId="11" borderId="12" xfId="1" applyNumberFormat="1" applyFont="1" applyFill="1" applyBorder="1" applyAlignment="1">
      <alignment horizontal="center" vertical="center" wrapText="1"/>
    </xf>
    <xf numFmtId="10" fontId="30" fillId="11" borderId="9" xfId="1" applyNumberFormat="1" applyFont="1" applyFill="1" applyBorder="1" applyAlignment="1">
      <alignment horizontal="center" vertical="center" wrapText="1"/>
    </xf>
    <xf numFmtId="164" fontId="31" fillId="11" borderId="0" xfId="1" applyNumberFormat="1" applyFont="1" applyFill="1" applyAlignment="1">
      <alignment horizontal="center" vertical="center" wrapText="1"/>
    </xf>
    <xf numFmtId="10" fontId="31" fillId="11" borderId="10" xfId="1" applyNumberFormat="1" applyFont="1" applyFill="1" applyBorder="1" applyAlignment="1">
      <alignment horizontal="center" vertical="center" wrapText="1"/>
    </xf>
    <xf numFmtId="4" fontId="31" fillId="11" borderId="15" xfId="1" applyNumberFormat="1" applyFont="1" applyFill="1" applyBorder="1" applyAlignment="1">
      <alignment horizontal="center" vertical="center" wrapText="1"/>
    </xf>
    <xf numFmtId="164" fontId="31" fillId="11" borderId="17" xfId="1" applyNumberFormat="1" applyFont="1" applyFill="1" applyBorder="1" applyAlignment="1">
      <alignment horizontal="center" vertical="center" wrapText="1"/>
    </xf>
    <xf numFmtId="164" fontId="31" fillId="12" borderId="0" xfId="1" applyNumberFormat="1" applyFont="1" applyFill="1" applyAlignment="1">
      <alignment horizontal="left" vertical="center" wrapText="1"/>
    </xf>
    <xf numFmtId="164" fontId="31" fillId="12" borderId="25" xfId="1" applyNumberFormat="1" applyFont="1" applyFill="1" applyBorder="1" applyAlignment="1">
      <alignment horizontal="left" vertical="center" wrapText="1"/>
    </xf>
    <xf numFmtId="10" fontId="30" fillId="11" borderId="9" xfId="1" applyNumberFormat="1" applyFont="1" applyFill="1" applyBorder="1" applyAlignment="1">
      <alignment vertical="center" wrapText="1"/>
    </xf>
    <xf numFmtId="0" fontId="30" fillId="11" borderId="9" xfId="1" applyFont="1" applyFill="1" applyBorder="1" applyAlignment="1">
      <alignment horizontal="center" vertical="center" wrapText="1"/>
    </xf>
    <xf numFmtId="0" fontId="30" fillId="11" borderId="9" xfId="1" applyFont="1" applyFill="1" applyBorder="1" applyAlignment="1">
      <alignment vertical="center" wrapText="1"/>
    </xf>
    <xf numFmtId="0" fontId="30" fillId="11" borderId="0" xfId="1" applyFont="1" applyFill="1" applyAlignment="1">
      <alignment horizontal="center" vertical="center" wrapText="1"/>
    </xf>
    <xf numFmtId="0" fontId="30" fillId="11" borderId="32" xfId="1" applyFont="1" applyFill="1" applyBorder="1" applyAlignment="1">
      <alignment vertical="center" wrapText="1"/>
    </xf>
    <xf numFmtId="0" fontId="6" fillId="12" borderId="0" xfId="1" applyFill="1" applyAlignment="1">
      <alignment horizontal="left" vertical="center" wrapText="1"/>
    </xf>
    <xf numFmtId="0" fontId="103" fillId="12" borderId="0" xfId="1" applyFont="1" applyFill="1" applyAlignment="1">
      <alignment wrapText="1"/>
    </xf>
    <xf numFmtId="0" fontId="103" fillId="12" borderId="0" xfId="1" applyFont="1" applyFill="1" applyAlignment="1">
      <alignment horizontal="center" wrapText="1"/>
    </xf>
    <xf numFmtId="164" fontId="30" fillId="11" borderId="15" xfId="2" applyNumberFormat="1" applyFont="1" applyFill="1" applyBorder="1" applyAlignment="1" applyProtection="1">
      <alignment horizontal="center" vertical="center" wrapText="1"/>
    </xf>
    <xf numFmtId="0" fontId="65" fillId="12" borderId="23" xfId="0" applyFont="1" applyFill="1" applyBorder="1" applyAlignment="1">
      <alignment horizontal="center" vertical="center" wrapText="1"/>
    </xf>
    <xf numFmtId="4" fontId="30" fillId="11" borderId="29" xfId="1" applyNumberFormat="1" applyFont="1" applyFill="1" applyBorder="1" applyAlignment="1">
      <alignment horizontal="right" vertical="center" wrapText="1"/>
    </xf>
    <xf numFmtId="0" fontId="103" fillId="12" borderId="0" xfId="1" applyFont="1" applyFill="1" applyAlignment="1">
      <alignment horizontal="left" wrapText="1"/>
    </xf>
    <xf numFmtId="4" fontId="30" fillId="12" borderId="29" xfId="1" applyNumberFormat="1" applyFont="1" applyFill="1" applyBorder="1" applyAlignment="1">
      <alignment horizontal="right" vertical="center" wrapText="1"/>
    </xf>
    <xf numFmtId="4" fontId="30" fillId="11" borderId="36" xfId="1" applyNumberFormat="1" applyFont="1" applyFill="1" applyBorder="1" applyAlignment="1">
      <alignment horizontal="center" vertical="center" wrapText="1"/>
    </xf>
    <xf numFmtId="4" fontId="30" fillId="0" borderId="15" xfId="1" applyNumberFormat="1" applyFont="1" applyBorder="1" applyAlignment="1">
      <alignment vertical="center" wrapText="1"/>
    </xf>
    <xf numFmtId="4" fontId="30" fillId="11" borderId="0" xfId="1" applyNumberFormat="1" applyFont="1" applyFill="1" applyAlignment="1">
      <alignment horizontal="right" vertical="center" wrapText="1"/>
    </xf>
    <xf numFmtId="164" fontId="62" fillId="11" borderId="0" xfId="1" applyNumberFormat="1" applyFont="1" applyFill="1" applyAlignment="1">
      <alignment horizontal="center" vertical="center" wrapText="1"/>
    </xf>
    <xf numFmtId="0" fontId="62" fillId="12" borderId="25" xfId="1" applyFont="1" applyFill="1" applyBorder="1" applyAlignment="1">
      <alignment horizontal="center" vertical="center" wrapText="1"/>
    </xf>
    <xf numFmtId="0" fontId="62" fillId="12" borderId="0" xfId="0" applyFont="1" applyFill="1" applyAlignment="1">
      <alignment vertical="center" wrapText="1"/>
    </xf>
    <xf numFmtId="0" fontId="6" fillId="12" borderId="0" xfId="1" applyFill="1" applyAlignment="1">
      <alignment horizontal="center" wrapText="1"/>
    </xf>
    <xf numFmtId="0" fontId="6" fillId="12" borderId="9" xfId="1" applyFill="1" applyBorder="1" applyAlignment="1">
      <alignment wrapText="1"/>
    </xf>
    <xf numFmtId="0" fontId="65" fillId="18" borderId="23"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0" fillId="13" borderId="23" xfId="0" applyFont="1" applyFill="1" applyBorder="1" applyAlignment="1" applyProtection="1">
      <alignment horizontal="center" vertical="center" wrapText="1"/>
      <protection locked="0"/>
    </xf>
    <xf numFmtId="0" fontId="16" fillId="12" borderId="18" xfId="1" applyFont="1" applyFill="1" applyBorder="1" applyAlignment="1">
      <alignment vertical="center" wrapText="1"/>
    </xf>
    <xf numFmtId="0" fontId="16" fillId="12" borderId="15" xfId="1" applyFont="1" applyFill="1" applyBorder="1" applyAlignment="1">
      <alignment vertical="center" wrapText="1"/>
    </xf>
    <xf numFmtId="0" fontId="104" fillId="12" borderId="9" xfId="1" applyFont="1" applyFill="1" applyBorder="1" applyAlignment="1">
      <alignment horizontal="left" wrapText="1"/>
    </xf>
    <xf numFmtId="10" fontId="30" fillId="11" borderId="13" xfId="1" applyNumberFormat="1" applyFont="1" applyFill="1" applyBorder="1" applyAlignment="1">
      <alignment horizontal="center" vertical="center" wrapText="1"/>
    </xf>
    <xf numFmtId="10" fontId="30" fillId="11" borderId="27" xfId="1" applyNumberFormat="1" applyFont="1" applyFill="1" applyBorder="1" applyAlignment="1">
      <alignment horizontal="center" vertical="center" wrapText="1"/>
    </xf>
    <xf numFmtId="0" fontId="103" fillId="12" borderId="9" xfId="1" applyFont="1" applyFill="1" applyBorder="1" applyAlignment="1">
      <alignment wrapText="1"/>
    </xf>
    <xf numFmtId="0" fontId="103" fillId="12" borderId="9" xfId="1" applyFont="1" applyFill="1" applyBorder="1" applyAlignment="1">
      <alignment horizontal="center" wrapText="1"/>
    </xf>
    <xf numFmtId="0" fontId="103" fillId="12" borderId="29" xfId="1" applyFont="1" applyFill="1" applyBorder="1" applyAlignment="1">
      <alignment horizontal="center" wrapText="1"/>
    </xf>
    <xf numFmtId="0" fontId="103" fillId="12" borderId="9" xfId="1" applyFont="1" applyFill="1" applyBorder="1" applyAlignment="1">
      <alignment horizontal="left" wrapText="1"/>
    </xf>
    <xf numFmtId="0" fontId="89" fillId="12" borderId="9" xfId="1" applyFont="1" applyFill="1" applyBorder="1" applyAlignment="1">
      <alignment wrapText="1"/>
    </xf>
    <xf numFmtId="0" fontId="105" fillId="12" borderId="9" xfId="1" applyFont="1" applyFill="1" applyBorder="1" applyAlignment="1">
      <alignment wrapText="1"/>
    </xf>
    <xf numFmtId="0" fontId="41" fillId="12" borderId="0" xfId="1" applyFont="1" applyFill="1" applyAlignment="1">
      <alignment horizontal="left" vertical="top" wrapText="1"/>
    </xf>
    <xf numFmtId="0" fontId="42" fillId="12" borderId="0" xfId="1" applyFont="1" applyFill="1" applyAlignment="1">
      <alignment horizontal="left" vertical="top" wrapText="1"/>
    </xf>
    <xf numFmtId="0" fontId="6" fillId="12" borderId="10" xfId="1" applyFill="1" applyBorder="1" applyAlignment="1">
      <alignment horizontal="left" wrapText="1"/>
    </xf>
    <xf numFmtId="0" fontId="104" fillId="12" borderId="12" xfId="1" applyFont="1" applyFill="1" applyBorder="1" applyAlignment="1">
      <alignment horizontal="left" wrapText="1"/>
    </xf>
    <xf numFmtId="0" fontId="60" fillId="12" borderId="0" xfId="0" applyFont="1" applyFill="1" applyAlignment="1">
      <alignment wrapText="1"/>
    </xf>
    <xf numFmtId="0" fontId="57" fillId="0" borderId="0" xfId="1" applyFont="1" applyAlignment="1">
      <alignment vertical="top" wrapText="1"/>
    </xf>
    <xf numFmtId="0" fontId="57" fillId="12" borderId="0" xfId="1" applyFont="1" applyFill="1" applyAlignment="1">
      <alignment vertical="top" wrapText="1"/>
    </xf>
    <xf numFmtId="0" fontId="103" fillId="12" borderId="12" xfId="1" applyFont="1" applyFill="1" applyBorder="1" applyAlignment="1">
      <alignment wrapText="1"/>
    </xf>
    <xf numFmtId="0" fontId="11" fillId="12" borderId="25" xfId="1" applyFont="1" applyFill="1" applyBorder="1" applyAlignment="1">
      <alignment horizontal="center" vertical="center" wrapText="1"/>
    </xf>
    <xf numFmtId="0" fontId="0" fillId="12" borderId="0" xfId="0" applyFill="1" applyAlignment="1">
      <alignment vertical="center" wrapText="1"/>
    </xf>
    <xf numFmtId="0" fontId="11" fillId="12" borderId="9" xfId="1" applyFont="1" applyFill="1" applyBorder="1" applyAlignment="1">
      <alignment horizontal="center" vertical="center" wrapText="1"/>
    </xf>
    <xf numFmtId="164" fontId="11" fillId="12" borderId="9" xfId="1" applyNumberFormat="1" applyFont="1" applyFill="1" applyBorder="1" applyAlignment="1">
      <alignment horizontal="center" vertical="center" wrapText="1"/>
    </xf>
    <xf numFmtId="0" fontId="11" fillId="12" borderId="16" xfId="1" applyFont="1" applyFill="1" applyBorder="1" applyAlignment="1">
      <alignment horizontal="center" vertical="center" wrapText="1"/>
    </xf>
    <xf numFmtId="0" fontId="11" fillId="12" borderId="29" xfId="1" applyFont="1" applyFill="1" applyBorder="1" applyAlignment="1">
      <alignment horizontal="center" vertical="center" wrapText="1"/>
    </xf>
    <xf numFmtId="0" fontId="12" fillId="12" borderId="9" xfId="1" applyFont="1" applyFill="1" applyBorder="1" applyAlignment="1">
      <alignment wrapText="1"/>
    </xf>
    <xf numFmtId="0" fontId="35" fillId="0" borderId="9" xfId="1" applyFont="1" applyBorder="1" applyAlignment="1">
      <alignment horizontal="center" wrapText="1"/>
    </xf>
    <xf numFmtId="0" fontId="35" fillId="0" borderId="9" xfId="1" applyFont="1" applyBorder="1" applyAlignment="1">
      <alignment wrapText="1"/>
    </xf>
    <xf numFmtId="0" fontId="35" fillId="0" borderId="16" xfId="1" applyFont="1" applyBorder="1" applyAlignment="1">
      <alignment horizontal="center" wrapText="1"/>
    </xf>
    <xf numFmtId="0" fontId="35" fillId="12" borderId="9" xfId="1" applyFont="1" applyFill="1" applyBorder="1" applyAlignment="1">
      <alignment wrapText="1"/>
    </xf>
    <xf numFmtId="0" fontId="6" fillId="12" borderId="0" xfId="1" applyFill="1"/>
    <xf numFmtId="0" fontId="6" fillId="0" borderId="9" xfId="1" applyBorder="1"/>
    <xf numFmtId="0" fontId="6" fillId="0" borderId="0" xfId="1"/>
    <xf numFmtId="0" fontId="27" fillId="12" borderId="14" xfId="1" applyFont="1" applyFill="1" applyBorder="1" applyAlignment="1">
      <alignment horizontal="center" vertical="center" wrapText="1"/>
    </xf>
    <xf numFmtId="0" fontId="27" fillId="12" borderId="0" xfId="1" applyFont="1" applyFill="1" applyAlignment="1">
      <alignment horizontal="center" vertical="center" wrapText="1"/>
    </xf>
    <xf numFmtId="0" fontId="27" fillId="12" borderId="0" xfId="1" applyFont="1" applyFill="1" applyAlignment="1">
      <alignment vertical="center" wrapText="1"/>
    </xf>
    <xf numFmtId="0" fontId="7" fillId="12" borderId="31" xfId="1" applyFont="1" applyFill="1" applyBorder="1" applyAlignment="1">
      <alignment vertical="center" wrapText="1"/>
    </xf>
    <xf numFmtId="0" fontId="6" fillId="0" borderId="9" xfId="1" applyBorder="1" applyAlignment="1">
      <alignment vertical="center" wrapText="1"/>
    </xf>
    <xf numFmtId="0" fontId="9" fillId="0" borderId="29" xfId="1" applyFont="1" applyBorder="1" applyAlignment="1">
      <alignment vertical="center" wrapText="1"/>
    </xf>
    <xf numFmtId="0" fontId="6" fillId="12" borderId="9" xfId="1" applyFill="1" applyBorder="1" applyAlignment="1">
      <alignment vertical="center" wrapText="1"/>
    </xf>
    <xf numFmtId="0" fontId="19" fillId="0" borderId="15" xfId="1" applyFont="1" applyBorder="1" applyAlignment="1">
      <alignment horizontal="center" vertical="center" wrapText="1"/>
    </xf>
    <xf numFmtId="0" fontId="19" fillId="12" borderId="15" xfId="1" applyFont="1" applyFill="1" applyBorder="1" applyAlignment="1">
      <alignment horizontal="center" vertical="center" wrapText="1"/>
    </xf>
    <xf numFmtId="0" fontId="6" fillId="0" borderId="29" xfId="1" applyBorder="1"/>
    <xf numFmtId="0" fontId="10" fillId="12" borderId="17" xfId="1" applyFont="1" applyFill="1" applyBorder="1" applyAlignment="1">
      <alignment horizontal="center" vertical="center" wrapText="1"/>
    </xf>
    <xf numFmtId="0" fontId="9" fillId="12" borderId="15" xfId="1" applyFont="1" applyFill="1" applyBorder="1" applyAlignment="1">
      <alignment horizontal="center" vertical="center" wrapText="1"/>
    </xf>
    <xf numFmtId="0" fontId="15" fillId="2" borderId="15" xfId="1" applyFont="1" applyFill="1" applyBorder="1" applyAlignment="1">
      <alignment horizontal="center" vertical="center" wrapText="1"/>
    </xf>
    <xf numFmtId="0" fontId="13" fillId="2" borderId="15" xfId="1" applyFont="1" applyFill="1" applyBorder="1" applyAlignment="1">
      <alignment horizontal="center" vertical="center" wrapText="1"/>
    </xf>
    <xf numFmtId="0" fontId="13" fillId="5" borderId="15" xfId="1" applyFont="1" applyFill="1" applyBorder="1" applyAlignment="1">
      <alignment horizontal="center" vertical="center" wrapText="1"/>
    </xf>
    <xf numFmtId="0" fontId="9" fillId="12" borderId="17" xfId="1" applyFont="1" applyFill="1" applyBorder="1" applyAlignment="1">
      <alignment horizontal="center" vertical="center" wrapText="1"/>
    </xf>
    <xf numFmtId="0" fontId="10" fillId="12" borderId="15" xfId="1" applyFont="1" applyFill="1" applyBorder="1" applyAlignment="1">
      <alignment horizontal="center" vertical="center" wrapText="1"/>
    </xf>
    <xf numFmtId="39" fontId="15" fillId="12" borderId="15" xfId="3" applyNumberFormat="1" applyFont="1" applyFill="1" applyBorder="1" applyAlignment="1" applyProtection="1">
      <alignment horizontal="center" vertical="center" wrapText="1"/>
    </xf>
    <xf numFmtId="0" fontId="6" fillId="12" borderId="9" xfId="1" applyFill="1" applyBorder="1" applyAlignment="1">
      <alignment vertical="center"/>
    </xf>
    <xf numFmtId="0" fontId="15" fillId="12" borderId="15" xfId="1" applyFont="1" applyFill="1" applyBorder="1" applyAlignment="1">
      <alignment horizontal="center" vertical="center" wrapText="1"/>
    </xf>
    <xf numFmtId="0" fontId="6" fillId="12" borderId="9" xfId="1" applyFill="1" applyBorder="1"/>
    <xf numFmtId="0" fontId="6" fillId="0" borderId="9" xfId="1" applyBorder="1" applyAlignment="1">
      <alignment vertical="center"/>
    </xf>
    <xf numFmtId="3" fontId="30" fillId="9" borderId="15" xfId="1" applyNumberFormat="1" applyFont="1" applyFill="1" applyBorder="1" applyAlignment="1" applyProtection="1">
      <alignment horizontal="center" vertical="center" wrapText="1"/>
      <protection locked="0"/>
    </xf>
    <xf numFmtId="3" fontId="30" fillId="7" borderId="15" xfId="1" applyNumberFormat="1" applyFont="1" applyFill="1" applyBorder="1" applyAlignment="1" applyProtection="1">
      <alignment horizontal="center" vertical="center" wrapText="1"/>
      <protection locked="0"/>
    </xf>
    <xf numFmtId="3" fontId="30" fillId="11" borderId="15" xfId="1" applyNumberFormat="1" applyFont="1" applyFill="1" applyBorder="1" applyAlignment="1">
      <alignment horizontal="center" vertical="center" wrapText="1"/>
    </xf>
    <xf numFmtId="3" fontId="31" fillId="11" borderId="15" xfId="1" applyNumberFormat="1" applyFont="1" applyFill="1" applyBorder="1" applyAlignment="1">
      <alignment horizontal="center" vertical="center" wrapText="1"/>
    </xf>
    <xf numFmtId="9" fontId="30" fillId="7" borderId="15" xfId="2" applyFont="1" applyFill="1" applyBorder="1" applyAlignment="1" applyProtection="1">
      <alignment horizontal="center" vertical="center" wrapText="1"/>
      <protection locked="0"/>
    </xf>
    <xf numFmtId="0" fontId="26" fillId="12" borderId="0" xfId="1" applyFont="1" applyFill="1" applyAlignment="1" applyProtection="1">
      <alignment horizontal="left" vertical="center" wrapText="1"/>
      <protection locked="0"/>
    </xf>
    <xf numFmtId="0" fontId="30" fillId="0" borderId="0" xfId="11" applyFont="1" applyAlignment="1">
      <alignment wrapText="1"/>
    </xf>
    <xf numFmtId="0" fontId="139" fillId="29" borderId="66" xfId="11" applyFont="1" applyFill="1" applyBorder="1" applyAlignment="1">
      <alignment horizontal="center" vertical="center"/>
    </xf>
    <xf numFmtId="0" fontId="139" fillId="29" borderId="66" xfId="11" applyFont="1" applyFill="1" applyBorder="1" applyAlignment="1">
      <alignment horizontal="center" vertical="center" wrapText="1"/>
    </xf>
    <xf numFmtId="0" fontId="139" fillId="29" borderId="66" xfId="11" quotePrefix="1" applyFont="1" applyFill="1" applyBorder="1" applyAlignment="1">
      <alignment horizontal="center" vertical="center" wrapText="1"/>
    </xf>
    <xf numFmtId="0" fontId="63" fillId="38" borderId="0" xfId="0" applyFont="1" applyFill="1" applyAlignment="1">
      <alignment vertical="center"/>
    </xf>
    <xf numFmtId="0" fontId="63" fillId="38" borderId="0" xfId="0" applyFont="1" applyFill="1" applyAlignment="1">
      <alignment vertical="center" wrapText="1"/>
    </xf>
    <xf numFmtId="0" fontId="63" fillId="38" borderId="0" xfId="0" applyFont="1" applyFill="1" applyAlignment="1">
      <alignment horizontal="right" vertical="center" wrapText="1"/>
    </xf>
    <xf numFmtId="0" fontId="63" fillId="38" borderId="59" xfId="0" applyFont="1" applyFill="1" applyBorder="1" applyAlignment="1">
      <alignment horizontal="center" vertical="center"/>
    </xf>
    <xf numFmtId="0" fontId="63" fillId="38" borderId="95" xfId="0" applyFont="1" applyFill="1" applyBorder="1" applyAlignment="1">
      <alignment horizontal="center" vertical="center"/>
    </xf>
    <xf numFmtId="0" fontId="63" fillId="45" borderId="95" xfId="0" applyFont="1" applyFill="1" applyBorder="1" applyAlignment="1" applyProtection="1">
      <alignment horizontal="center" vertical="center"/>
      <protection locked="0"/>
    </xf>
    <xf numFmtId="0" fontId="63" fillId="45" borderId="59" xfId="0" applyFont="1" applyFill="1" applyBorder="1" applyAlignment="1" applyProtection="1">
      <alignment horizontal="center" vertical="center"/>
      <protection locked="0"/>
    </xf>
    <xf numFmtId="4" fontId="63" fillId="46" borderId="95" xfId="0" applyNumberFormat="1" applyFont="1" applyFill="1" applyBorder="1" applyAlignment="1" applyProtection="1">
      <alignment horizontal="center" vertical="center"/>
      <protection locked="0"/>
    </xf>
    <xf numFmtId="9" fontId="30" fillId="0" borderId="94" xfId="11" applyNumberFormat="1" applyFont="1" applyBorder="1"/>
    <xf numFmtId="9" fontId="63" fillId="38" borderId="95" xfId="2" applyFont="1" applyFill="1" applyBorder="1" applyAlignment="1">
      <alignment horizontal="center" vertical="center"/>
    </xf>
    <xf numFmtId="0" fontId="63" fillId="38" borderId="0" xfId="0" applyFont="1" applyFill="1" applyAlignment="1">
      <alignment horizontal="center" vertical="center"/>
    </xf>
    <xf numFmtId="0" fontId="63" fillId="12" borderId="96" xfId="10" applyFont="1" applyFill="1" applyBorder="1" applyAlignment="1">
      <alignment horizontal="center" vertical="center"/>
    </xf>
    <xf numFmtId="0" fontId="63" fillId="12" borderId="95" xfId="10" applyFont="1" applyFill="1" applyBorder="1" applyAlignment="1">
      <alignment horizontal="center" vertical="center"/>
    </xf>
    <xf numFmtId="4" fontId="63" fillId="47" borderId="95" xfId="0" applyNumberFormat="1" applyFont="1" applyFill="1" applyBorder="1" applyAlignment="1" applyProtection="1">
      <alignment horizontal="center" vertical="center"/>
      <protection locked="0"/>
    </xf>
    <xf numFmtId="9" fontId="63" fillId="46" borderId="95" xfId="2" applyFont="1" applyFill="1" applyBorder="1" applyAlignment="1" applyProtection="1">
      <alignment horizontal="center" vertical="center"/>
      <protection locked="0"/>
    </xf>
    <xf numFmtId="0" fontId="63" fillId="38" borderId="0" xfId="0" applyFont="1" applyFill="1" applyAlignment="1">
      <alignment horizontal="right" vertical="center"/>
    </xf>
    <xf numFmtId="0" fontId="147" fillId="38" borderId="0" xfId="0" applyFont="1" applyFill="1" applyAlignment="1">
      <alignment vertical="center" wrapText="1"/>
    </xf>
    <xf numFmtId="0" fontId="148" fillId="38" borderId="0" xfId="0" applyFont="1" applyFill="1" applyAlignment="1">
      <alignment vertical="center" wrapText="1"/>
    </xf>
    <xf numFmtId="4" fontId="63" fillId="48" borderId="95" xfId="0" applyNumberFormat="1" applyFont="1" applyFill="1" applyBorder="1" applyAlignment="1" applyProtection="1">
      <alignment horizontal="center" vertical="center"/>
      <protection locked="0"/>
    </xf>
    <xf numFmtId="0" fontId="63" fillId="0" borderId="95" xfId="0" applyFont="1" applyBorder="1" applyAlignment="1">
      <alignment horizontal="center" vertical="center"/>
    </xf>
    <xf numFmtId="4" fontId="63" fillId="46" borderId="95" xfId="3" applyNumberFormat="1" applyFont="1" applyFill="1" applyBorder="1" applyAlignment="1" applyProtection="1">
      <alignment horizontal="center" vertical="center"/>
      <protection locked="0"/>
    </xf>
    <xf numFmtId="39" fontId="63" fillId="46" borderId="95" xfId="3" applyNumberFormat="1" applyFont="1" applyFill="1" applyBorder="1" applyAlignment="1" applyProtection="1">
      <alignment horizontal="center" vertical="center"/>
      <protection locked="0"/>
    </xf>
    <xf numFmtId="9" fontId="63" fillId="12" borderId="59" xfId="2" applyFont="1" applyFill="1" applyBorder="1" applyAlignment="1">
      <alignment horizontal="center" vertical="center"/>
    </xf>
    <xf numFmtId="9" fontId="63" fillId="40" borderId="59" xfId="2" applyFont="1" applyFill="1" applyBorder="1" applyAlignment="1" applyProtection="1">
      <alignment horizontal="center" vertical="center"/>
      <protection locked="0"/>
    </xf>
    <xf numFmtId="4" fontId="63" fillId="0" borderId="95" xfId="0" applyNumberFormat="1" applyFont="1" applyBorder="1" applyAlignment="1" applyProtection="1">
      <alignment horizontal="center" vertical="center"/>
      <protection locked="0"/>
    </xf>
    <xf numFmtId="0" fontId="103" fillId="12" borderId="81" xfId="10" applyFont="1" applyFill="1" applyBorder="1" applyAlignment="1">
      <alignment vertical="center" wrapText="1"/>
    </xf>
    <xf numFmtId="0" fontId="103" fillId="38" borderId="0" xfId="0" applyFont="1" applyFill="1" applyAlignment="1">
      <alignment vertical="center" wrapText="1"/>
    </xf>
    <xf numFmtId="0" fontId="103" fillId="41" borderId="59" xfId="10" applyFont="1" applyFill="1" applyBorder="1" applyAlignment="1" applyProtection="1">
      <alignment horizontal="center" vertical="center"/>
      <protection locked="0"/>
    </xf>
    <xf numFmtId="0" fontId="149" fillId="0" borderId="59" xfId="11" applyFont="1" applyBorder="1" applyAlignment="1">
      <alignment horizontal="left" vertical="center"/>
    </xf>
    <xf numFmtId="1" fontId="149" fillId="0" borderId="59" xfId="11" applyNumberFormat="1" applyFont="1" applyBorder="1" applyAlignment="1">
      <alignment horizontal="left" vertical="center"/>
    </xf>
    <xf numFmtId="43" fontId="149" fillId="0" borderId="59" xfId="3" applyFont="1" applyBorder="1" applyAlignment="1">
      <alignment horizontal="left" vertical="center"/>
    </xf>
    <xf numFmtId="9" fontId="149" fillId="0" borderId="59" xfId="2" applyFont="1" applyBorder="1" applyAlignment="1">
      <alignment horizontal="left" vertical="center"/>
    </xf>
    <xf numFmtId="0" fontId="150" fillId="0" borderId="59" xfId="0" applyFont="1" applyBorder="1" applyAlignment="1">
      <alignment horizontal="left" vertical="center"/>
    </xf>
    <xf numFmtId="43" fontId="150" fillId="0" borderId="59" xfId="0" applyNumberFormat="1" applyFont="1" applyBorder="1" applyAlignment="1">
      <alignment horizontal="left" vertical="center"/>
    </xf>
    <xf numFmtId="1" fontId="150" fillId="0" borderId="59" xfId="0" applyNumberFormat="1" applyFont="1" applyBorder="1" applyAlignment="1">
      <alignment horizontal="left" vertical="center"/>
    </xf>
    <xf numFmtId="9" fontId="150" fillId="0" borderId="59" xfId="2" applyFont="1" applyBorder="1" applyAlignment="1">
      <alignment horizontal="left" vertical="center"/>
    </xf>
    <xf numFmtId="9" fontId="150" fillId="0" borderId="59" xfId="0" applyNumberFormat="1" applyFont="1" applyBorder="1" applyAlignment="1">
      <alignment horizontal="left" vertical="center"/>
    </xf>
    <xf numFmtId="4" fontId="150" fillId="0" borderId="59" xfId="0" applyNumberFormat="1" applyFont="1" applyBorder="1" applyAlignment="1">
      <alignment horizontal="left" vertical="center"/>
    </xf>
    <xf numFmtId="0" fontId="149" fillId="0" borderId="97" xfId="11" applyFont="1" applyBorder="1" applyAlignment="1">
      <alignment horizontal="left" vertical="center"/>
    </xf>
    <xf numFmtId="0" fontId="149" fillId="0" borderId="98" xfId="11" applyFont="1" applyBorder="1" applyAlignment="1">
      <alignment horizontal="left" vertical="center"/>
    </xf>
    <xf numFmtId="1" fontId="149" fillId="0" borderId="98" xfId="11" applyNumberFormat="1" applyFont="1" applyBorder="1" applyAlignment="1">
      <alignment horizontal="left" vertical="center"/>
    </xf>
    <xf numFmtId="43" fontId="149" fillId="0" borderId="98" xfId="3" applyFont="1" applyBorder="1" applyAlignment="1">
      <alignment horizontal="left" vertical="center"/>
    </xf>
    <xf numFmtId="9" fontId="149" fillId="0" borderId="98" xfId="2" applyFont="1" applyBorder="1" applyAlignment="1">
      <alignment horizontal="left" vertical="center"/>
    </xf>
    <xf numFmtId="2" fontId="149" fillId="0" borderId="99" xfId="11" applyNumberFormat="1" applyFont="1" applyBorder="1" applyAlignment="1">
      <alignment horizontal="left" vertical="center"/>
    </xf>
    <xf numFmtId="0" fontId="149" fillId="0" borderId="83" xfId="11" applyFont="1" applyBorder="1" applyAlignment="1">
      <alignment horizontal="left" vertical="center"/>
    </xf>
    <xf numFmtId="2" fontId="149" fillId="0" borderId="84" xfId="11" applyNumberFormat="1" applyFont="1" applyBorder="1" applyAlignment="1">
      <alignment horizontal="left" vertical="center"/>
    </xf>
    <xf numFmtId="0" fontId="150" fillId="0" borderId="83" xfId="0" applyFont="1" applyBorder="1" applyAlignment="1">
      <alignment horizontal="left" vertical="center"/>
    </xf>
    <xf numFmtId="2" fontId="150" fillId="0" borderId="84" xfId="0" applyNumberFormat="1" applyFont="1" applyBorder="1" applyAlignment="1">
      <alignment horizontal="left" vertical="center"/>
    </xf>
    <xf numFmtId="0" fontId="150" fillId="0" borderId="85" xfId="0" applyFont="1" applyBorder="1" applyAlignment="1">
      <alignment horizontal="left" vertical="center"/>
    </xf>
    <xf numFmtId="0" fontId="150" fillId="0" borderId="86" xfId="0" applyFont="1" applyBorder="1" applyAlignment="1">
      <alignment horizontal="left" vertical="center"/>
    </xf>
    <xf numFmtId="0" fontId="149" fillId="0" borderId="86" xfId="11" applyFont="1" applyBorder="1" applyAlignment="1">
      <alignment horizontal="left" vertical="center"/>
    </xf>
    <xf numFmtId="1" fontId="149" fillId="0" borderId="86" xfId="11" applyNumberFormat="1" applyFont="1" applyBorder="1" applyAlignment="1">
      <alignment horizontal="left" vertical="center"/>
    </xf>
    <xf numFmtId="43" fontId="150" fillId="0" borderId="86" xfId="0" applyNumberFormat="1" applyFont="1" applyBorder="1" applyAlignment="1">
      <alignment horizontal="left" vertical="center"/>
    </xf>
    <xf numFmtId="1" fontId="150" fillId="0" borderId="86" xfId="0" applyNumberFormat="1" applyFont="1" applyBorder="1" applyAlignment="1">
      <alignment horizontal="left" vertical="center"/>
    </xf>
    <xf numFmtId="9" fontId="150" fillId="0" borderId="86" xfId="2" applyFont="1" applyBorder="1" applyAlignment="1">
      <alignment horizontal="left" vertical="center"/>
    </xf>
    <xf numFmtId="9" fontId="150" fillId="0" borderId="86" xfId="0" applyNumberFormat="1" applyFont="1" applyBorder="1" applyAlignment="1">
      <alignment horizontal="left" vertical="center"/>
    </xf>
    <xf numFmtId="4" fontId="150" fillId="0" borderId="86" xfId="0" applyNumberFormat="1" applyFont="1" applyBorder="1" applyAlignment="1">
      <alignment horizontal="left" vertical="center"/>
    </xf>
    <xf numFmtId="2" fontId="150" fillId="0" borderId="87" xfId="0" applyNumberFormat="1" applyFont="1" applyBorder="1" applyAlignment="1">
      <alignment horizontal="left" vertical="center"/>
    </xf>
    <xf numFmtId="2" fontId="63" fillId="12" borderId="0" xfId="10" applyNumberFormat="1" applyFont="1" applyFill="1" applyAlignment="1">
      <alignment vertical="center"/>
    </xf>
    <xf numFmtId="9" fontId="63" fillId="12" borderId="0" xfId="10" applyNumberFormat="1" applyFont="1" applyFill="1" applyAlignment="1">
      <alignment vertical="center"/>
    </xf>
    <xf numFmtId="10" fontId="63" fillId="12" borderId="0" xfId="10" applyNumberFormat="1" applyFont="1" applyFill="1" applyAlignment="1">
      <alignment vertical="center"/>
    </xf>
    <xf numFmtId="0" fontId="63" fillId="0" borderId="0" xfId="0" applyFont="1" applyAlignment="1">
      <alignment horizontal="right" vertical="center" wrapText="1"/>
    </xf>
    <xf numFmtId="0" fontId="63" fillId="12" borderId="59" xfId="10" applyFont="1" applyFill="1" applyBorder="1" applyAlignment="1">
      <alignment horizontal="center" vertical="center" wrapText="1"/>
    </xf>
    <xf numFmtId="0" fontId="129" fillId="0" borderId="81" xfId="10" applyFont="1" applyBorder="1" applyAlignment="1">
      <alignment vertical="center" wrapText="1"/>
    </xf>
    <xf numFmtId="0" fontId="128" fillId="0" borderId="81" xfId="10" applyFont="1" applyBorder="1" applyAlignment="1">
      <alignment vertical="center" wrapText="1"/>
    </xf>
    <xf numFmtId="0" fontId="1" fillId="43" borderId="0" xfId="11" applyFont="1" applyFill="1"/>
    <xf numFmtId="166" fontId="103" fillId="12" borderId="0" xfId="10" applyNumberFormat="1" applyFont="1" applyFill="1" applyAlignment="1">
      <alignment vertical="center"/>
    </xf>
    <xf numFmtId="164" fontId="103" fillId="12" borderId="0" xfId="2" applyNumberFormat="1" applyFont="1" applyFill="1" applyAlignment="1">
      <alignment vertical="center"/>
    </xf>
    <xf numFmtId="0" fontId="117" fillId="32" borderId="80" xfId="5" applyFont="1" applyFill="1" applyBorder="1" applyAlignment="1">
      <alignment horizontal="left" vertical="center" indent="2"/>
    </xf>
    <xf numFmtId="0" fontId="117" fillId="32" borderId="63" xfId="5" applyFont="1" applyFill="1" applyBorder="1" applyAlignment="1">
      <alignment horizontal="left" vertical="center" indent="2"/>
    </xf>
    <xf numFmtId="0" fontId="119" fillId="32" borderId="74" xfId="5" applyFont="1" applyFill="1" applyBorder="1" applyAlignment="1">
      <alignment horizontal="center" vertical="center"/>
    </xf>
    <xf numFmtId="4" fontId="30" fillId="9" borderId="23" xfId="1" applyNumberFormat="1" applyFont="1" applyFill="1" applyBorder="1" applyAlignment="1" applyProtection="1">
      <alignment horizontal="center" vertical="center" wrapText="1"/>
      <protection locked="0"/>
    </xf>
    <xf numFmtId="4" fontId="30" fillId="11" borderId="23" xfId="1" applyNumberFormat="1" applyFont="1" applyFill="1" applyBorder="1" applyAlignment="1">
      <alignment horizontal="center" vertical="center" wrapText="1"/>
    </xf>
    <xf numFmtId="0" fontId="30" fillId="12" borderId="19" xfId="0" applyFont="1" applyFill="1" applyBorder="1" applyAlignment="1">
      <alignment horizontal="center" vertical="center" wrapText="1"/>
    </xf>
    <xf numFmtId="0" fontId="30" fillId="12" borderId="34" xfId="0" applyFont="1" applyFill="1" applyBorder="1" applyAlignment="1">
      <alignment horizontal="center" vertical="center" wrapText="1"/>
    </xf>
    <xf numFmtId="4" fontId="30" fillId="11" borderId="23" xfId="1" applyNumberFormat="1" applyFont="1" applyFill="1" applyBorder="1" applyAlignment="1" applyProtection="1">
      <alignment horizontal="center" vertical="center" wrapText="1"/>
      <protection locked="0"/>
    </xf>
    <xf numFmtId="4" fontId="65" fillId="7" borderId="23" xfId="1"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0" fillId="12" borderId="23" xfId="0" applyFont="1" applyFill="1" applyBorder="1" applyAlignment="1">
      <alignment horizontal="center" vertical="center" wrapText="1"/>
    </xf>
    <xf numFmtId="0" fontId="29" fillId="12" borderId="15" xfId="1" applyFont="1" applyFill="1" applyBorder="1" applyAlignment="1">
      <alignment horizontal="center" vertical="center" wrapText="1"/>
    </xf>
    <xf numFmtId="0" fontId="26" fillId="19" borderId="0" xfId="1" applyFont="1" applyFill="1" applyAlignment="1">
      <alignment horizontal="left" vertical="center" wrapText="1"/>
    </xf>
    <xf numFmtId="0" fontId="56" fillId="6" borderId="0" xfId="1" applyFont="1" applyFill="1" applyAlignment="1">
      <alignment horizontal="left" vertical="center" wrapText="1"/>
    </xf>
    <xf numFmtId="0" fontId="22" fillId="6" borderId="0" xfId="1" applyFont="1" applyFill="1" applyAlignment="1">
      <alignment horizontal="left" vertical="center" wrapText="1"/>
    </xf>
    <xf numFmtId="3" fontId="30" fillId="9" borderId="23" xfId="1" applyNumberFormat="1" applyFont="1" applyFill="1" applyBorder="1" applyAlignment="1" applyProtection="1">
      <alignment horizontal="center" vertical="center" wrapText="1"/>
      <protection locked="0"/>
    </xf>
    <xf numFmtId="164" fontId="30" fillId="11" borderId="23" xfId="2" applyNumberFormat="1" applyFont="1" applyFill="1" applyBorder="1" applyAlignment="1" applyProtection="1">
      <alignment horizontal="center" vertical="center" wrapText="1"/>
    </xf>
    <xf numFmtId="0" fontId="18" fillId="6" borderId="0" xfId="1" applyFont="1" applyFill="1" applyAlignment="1">
      <alignment horizontal="left" vertical="center" wrapText="1"/>
    </xf>
    <xf numFmtId="0" fontId="26" fillId="19" borderId="0" xfId="1" applyFont="1" applyFill="1" applyAlignment="1">
      <alignment horizontal="left" vertical="top" wrapText="1"/>
    </xf>
    <xf numFmtId="0" fontId="29" fillId="0" borderId="15" xfId="1" applyFont="1" applyBorder="1" applyAlignment="1">
      <alignment horizontal="center" vertical="center" wrapText="1"/>
    </xf>
    <xf numFmtId="0" fontId="26" fillId="12" borderId="0" xfId="1" applyFont="1" applyFill="1" applyAlignment="1">
      <alignment horizontal="center" vertical="center" wrapText="1"/>
    </xf>
    <xf numFmtId="0" fontId="18" fillId="25" borderId="0" xfId="1" applyFont="1" applyFill="1" applyAlignment="1">
      <alignment horizontal="left" vertical="center" wrapText="1"/>
    </xf>
    <xf numFmtId="4" fontId="30" fillId="11" borderId="15" xfId="1" applyNumberFormat="1" applyFont="1" applyFill="1" applyBorder="1" applyAlignment="1">
      <alignment horizontal="center" vertical="center" wrapText="1"/>
    </xf>
    <xf numFmtId="0" fontId="29" fillId="0" borderId="15" xfId="0" applyFont="1" applyBorder="1" applyAlignment="1">
      <alignment horizontal="center" vertical="center" wrapText="1"/>
    </xf>
    <xf numFmtId="0" fontId="29" fillId="0" borderId="1" xfId="1" applyFont="1" applyBorder="1" applyAlignment="1">
      <alignment horizontal="center" vertical="center" wrapText="1"/>
    </xf>
    <xf numFmtId="0" fontId="12" fillId="0" borderId="15" xfId="1" applyFont="1" applyBorder="1" applyAlignment="1">
      <alignment horizontal="center" vertical="center" wrapText="1"/>
    </xf>
    <xf numFmtId="0" fontId="26" fillId="12" borderId="0" xfId="1" applyFont="1" applyFill="1" applyAlignment="1">
      <alignment horizontal="left" vertical="center" wrapText="1"/>
    </xf>
    <xf numFmtId="10" fontId="30" fillId="11" borderId="15" xfId="2" applyNumberFormat="1" applyFont="1" applyFill="1" applyBorder="1" applyAlignment="1" applyProtection="1">
      <alignment horizontal="center" vertical="center" wrapText="1"/>
    </xf>
    <xf numFmtId="10" fontId="30" fillId="7" borderId="15" xfId="2" applyNumberFormat="1" applyFont="1" applyFill="1" applyBorder="1" applyAlignment="1" applyProtection="1">
      <alignment horizontal="center" vertical="center" wrapText="1"/>
      <protection locked="0"/>
    </xf>
    <xf numFmtId="0" fontId="63" fillId="12" borderId="0" xfId="10" applyFont="1" applyFill="1" applyAlignment="1">
      <alignment horizontal="center" vertical="center" wrapText="1"/>
    </xf>
    <xf numFmtId="0" fontId="138" fillId="0" borderId="0" xfId="11" applyFont="1"/>
    <xf numFmtId="0" fontId="30" fillId="0" borderId="83" xfId="11" applyFont="1" applyBorder="1" applyAlignment="1">
      <alignment horizontal="left" vertical="center"/>
    </xf>
    <xf numFmtId="0" fontId="30" fillId="0" borderId="85" xfId="11" applyFont="1" applyBorder="1" applyAlignment="1">
      <alignment horizontal="left" vertical="center"/>
    </xf>
    <xf numFmtId="2" fontId="30" fillId="0" borderId="59" xfId="11" applyNumberFormat="1" applyFont="1" applyBorder="1" applyAlignment="1">
      <alignment horizontal="left" vertical="center"/>
    </xf>
    <xf numFmtId="2" fontId="30" fillId="0" borderId="86" xfId="11" applyNumberFormat="1" applyFont="1" applyBorder="1" applyAlignment="1">
      <alignment horizontal="left" vertical="center"/>
    </xf>
    <xf numFmtId="0" fontId="31" fillId="0" borderId="100" xfId="11" applyFont="1" applyBorder="1"/>
    <xf numFmtId="0" fontId="30" fillId="0" borderId="100" xfId="11" applyFont="1" applyBorder="1"/>
    <xf numFmtId="0" fontId="1" fillId="12" borderId="29" xfId="1" applyFont="1" applyFill="1" applyBorder="1" applyAlignment="1">
      <alignment wrapText="1"/>
    </xf>
    <xf numFmtId="0" fontId="1" fillId="12" borderId="29" xfId="1" applyFont="1" applyFill="1" applyBorder="1" applyAlignment="1">
      <alignment horizontal="center" wrapText="1"/>
    </xf>
    <xf numFmtId="0" fontId="1" fillId="12" borderId="29" xfId="1" applyFont="1" applyFill="1" applyBorder="1" applyAlignment="1">
      <alignment horizontal="left" wrapText="1"/>
    </xf>
    <xf numFmtId="0" fontId="1" fillId="12" borderId="0" xfId="1" applyFont="1" applyFill="1" applyAlignment="1">
      <alignment horizontal="center" vertical="center" wrapText="1"/>
    </xf>
    <xf numFmtId="0" fontId="1" fillId="12" borderId="26" xfId="1" applyFont="1" applyFill="1" applyBorder="1" applyAlignment="1">
      <alignment horizontal="center" vertical="center" wrapText="1"/>
    </xf>
    <xf numFmtId="0" fontId="1" fillId="12" borderId="14" xfId="1" applyFont="1" applyFill="1" applyBorder="1" applyAlignment="1">
      <alignment horizontal="center" vertical="center" wrapText="1"/>
    </xf>
    <xf numFmtId="0" fontId="1" fillId="0" borderId="9" xfId="1" applyFont="1" applyBorder="1" applyAlignment="1">
      <alignment vertical="center" wrapText="1"/>
    </xf>
    <xf numFmtId="0" fontId="1" fillId="0" borderId="26" xfId="1" applyFont="1" applyBorder="1" applyAlignment="1">
      <alignment horizontal="center" vertical="center" wrapText="1"/>
    </xf>
    <xf numFmtId="0" fontId="1" fillId="0" borderId="13" xfId="1" applyFont="1" applyBorder="1" applyAlignment="1">
      <alignment vertical="center" wrapText="1"/>
    </xf>
    <xf numFmtId="0" fontId="1" fillId="12" borderId="13" xfId="1" applyFont="1" applyFill="1" applyBorder="1" applyAlignment="1">
      <alignment horizontal="center" vertical="center" wrapText="1"/>
    </xf>
    <xf numFmtId="0" fontId="1" fillId="12" borderId="9" xfId="1" applyFont="1" applyFill="1" applyBorder="1" applyAlignment="1">
      <alignment vertical="center" wrapText="1"/>
    </xf>
    <xf numFmtId="0" fontId="1" fillId="12" borderId="13" xfId="1" applyFont="1" applyFill="1" applyBorder="1" applyAlignment="1">
      <alignment vertical="center" wrapText="1"/>
    </xf>
    <xf numFmtId="0" fontId="1" fillId="12" borderId="10" xfId="1" applyFont="1" applyFill="1" applyBorder="1" applyAlignment="1">
      <alignment horizontal="center" vertical="center" wrapText="1"/>
    </xf>
    <xf numFmtId="0" fontId="1" fillId="12" borderId="0" xfId="1" applyFont="1" applyFill="1" applyAlignment="1">
      <alignment vertical="center" wrapText="1"/>
    </xf>
    <xf numFmtId="0" fontId="1" fillId="12" borderId="10" xfId="1" applyFont="1" applyFill="1" applyBorder="1" applyAlignment="1">
      <alignment wrapText="1"/>
    </xf>
    <xf numFmtId="0" fontId="1" fillId="12" borderId="10" xfId="1" applyFont="1" applyFill="1" applyBorder="1" applyAlignment="1">
      <alignment horizontal="center" wrapText="1"/>
    </xf>
    <xf numFmtId="0" fontId="1" fillId="12" borderId="0" xfId="1" applyFont="1" applyFill="1" applyAlignment="1">
      <alignment horizontal="center" wrapText="1"/>
    </xf>
    <xf numFmtId="0" fontId="1" fillId="12" borderId="0" xfId="1" applyFont="1" applyFill="1" applyAlignment="1">
      <alignment horizontal="left" wrapText="1"/>
    </xf>
    <xf numFmtId="0" fontId="1" fillId="12" borderId="10" xfId="1" applyFont="1" applyFill="1" applyBorder="1" applyAlignment="1">
      <alignment horizontal="left" wrapText="1"/>
    </xf>
    <xf numFmtId="0" fontId="1" fillId="0" borderId="14" xfId="1" applyFont="1" applyBorder="1" applyAlignment="1">
      <alignment horizontal="center" vertical="center" wrapText="1"/>
    </xf>
    <xf numFmtId="0" fontId="1" fillId="12" borderId="27" xfId="1" applyFont="1" applyFill="1" applyBorder="1" applyAlignment="1">
      <alignment horizontal="center" vertical="center" wrapText="1"/>
    </xf>
    <xf numFmtId="0" fontId="1" fillId="12" borderId="32" xfId="1" applyFont="1" applyFill="1" applyBorder="1" applyAlignment="1">
      <alignment horizontal="center" vertical="center" wrapText="1"/>
    </xf>
    <xf numFmtId="0" fontId="1" fillId="12" borderId="32" xfId="1" applyFont="1" applyFill="1" applyBorder="1" applyAlignment="1">
      <alignment vertical="center" wrapText="1"/>
    </xf>
    <xf numFmtId="0" fontId="1" fillId="12" borderId="9" xfId="1" applyFont="1" applyFill="1" applyBorder="1" applyAlignment="1">
      <alignment horizontal="left" wrapText="1"/>
    </xf>
    <xf numFmtId="0" fontId="1" fillId="12" borderId="16" xfId="1" applyFont="1" applyFill="1" applyBorder="1" applyAlignment="1">
      <alignment horizontal="center" vertical="center" wrapText="1"/>
    </xf>
    <xf numFmtId="0" fontId="1" fillId="12" borderId="29" xfId="1" applyFont="1" applyFill="1" applyBorder="1" applyAlignment="1">
      <alignment horizontal="center" vertical="center" wrapText="1"/>
    </xf>
    <xf numFmtId="0" fontId="1" fillId="12" borderId="29" xfId="1" applyFont="1" applyFill="1" applyBorder="1" applyAlignment="1">
      <alignment vertical="center" wrapText="1"/>
    </xf>
    <xf numFmtId="0" fontId="1" fillId="12" borderId="9" xfId="1" applyFont="1" applyFill="1" applyBorder="1" applyAlignment="1">
      <alignment wrapText="1"/>
    </xf>
    <xf numFmtId="0" fontId="1" fillId="12" borderId="0" xfId="1" applyFont="1" applyFill="1" applyAlignment="1">
      <alignment wrapText="1"/>
    </xf>
    <xf numFmtId="0" fontId="1" fillId="0" borderId="10" xfId="1" applyFont="1" applyBorder="1" applyAlignment="1">
      <alignment wrapText="1"/>
    </xf>
    <xf numFmtId="0" fontId="1" fillId="0" borderId="9" xfId="1" applyFont="1" applyBorder="1" applyAlignment="1">
      <alignment horizontal="center" wrapText="1"/>
    </xf>
    <xf numFmtId="0" fontId="1" fillId="0" borderId="9" xfId="1" applyFont="1" applyBorder="1" applyAlignment="1">
      <alignment wrapText="1"/>
    </xf>
    <xf numFmtId="0" fontId="3" fillId="0" borderId="0" xfId="1" applyFont="1" applyAlignment="1">
      <alignment horizontal="center" vertical="center" wrapText="1"/>
    </xf>
    <xf numFmtId="0" fontId="1" fillId="0" borderId="0" xfId="1" applyFont="1" applyAlignment="1">
      <alignment horizontal="left" wrapText="1"/>
    </xf>
    <xf numFmtId="0" fontId="1" fillId="12" borderId="16" xfId="1" applyFont="1" applyFill="1" applyBorder="1" applyAlignment="1">
      <alignment horizontal="left" wrapText="1"/>
    </xf>
    <xf numFmtId="0" fontId="1" fillId="12" borderId="16" xfId="1" applyFont="1" applyFill="1" applyBorder="1" applyAlignment="1">
      <alignment wrapText="1"/>
    </xf>
    <xf numFmtId="0" fontId="3" fillId="12" borderId="0" xfId="1" quotePrefix="1" applyFont="1" applyFill="1" applyAlignment="1">
      <alignment vertical="center" wrapText="1"/>
    </xf>
    <xf numFmtId="0" fontId="3" fillId="12" borderId="0" xfId="1" applyFont="1" applyFill="1" applyAlignment="1">
      <alignment vertical="center"/>
    </xf>
    <xf numFmtId="0" fontId="1" fillId="12" borderId="81" xfId="10" applyFont="1" applyFill="1" applyBorder="1" applyAlignment="1">
      <alignment vertical="center" wrapText="1"/>
    </xf>
    <xf numFmtId="0" fontId="1" fillId="12" borderId="59" xfId="10" applyFont="1" applyFill="1" applyBorder="1" applyAlignment="1">
      <alignment horizontal="center" vertical="center"/>
    </xf>
    <xf numFmtId="0" fontId="1" fillId="0" borderId="59" xfId="11" applyFont="1" applyBorder="1" applyAlignment="1">
      <alignment horizontal="center" vertical="center" wrapText="1"/>
    </xf>
    <xf numFmtId="0" fontId="1" fillId="0" borderId="0" xfId="11" applyFont="1"/>
    <xf numFmtId="0" fontId="1" fillId="0" borderId="0" xfId="11" applyFont="1" applyAlignment="1">
      <alignment horizontal="right" vertical="center"/>
    </xf>
    <xf numFmtId="1" fontId="1" fillId="0" borderId="59" xfId="11" applyNumberFormat="1" applyFont="1" applyBorder="1" applyAlignment="1">
      <alignment horizontal="center" vertical="center" wrapText="1"/>
    </xf>
    <xf numFmtId="1" fontId="1" fillId="0" borderId="59" xfId="11" applyNumberFormat="1" applyFont="1" applyBorder="1" applyAlignment="1">
      <alignment horizontal="center" vertical="center"/>
    </xf>
    <xf numFmtId="0" fontId="1" fillId="0" borderId="0" xfId="11" applyFont="1" applyAlignment="1">
      <alignment horizontal="right" vertical="center" wrapText="1"/>
    </xf>
    <xf numFmtId="2" fontId="1" fillId="0" borderId="59" xfId="11" applyNumberFormat="1" applyFont="1" applyBorder="1" applyAlignment="1">
      <alignment horizontal="center" vertical="center"/>
    </xf>
    <xf numFmtId="0" fontId="1" fillId="0" borderId="59" xfId="11" applyFont="1" applyBorder="1" applyAlignment="1">
      <alignment horizontal="center" vertical="center"/>
    </xf>
    <xf numFmtId="0" fontId="1" fillId="0" borderId="0" xfId="11" applyFont="1" applyAlignment="1">
      <alignment horizontal="center" vertical="center"/>
    </xf>
    <xf numFmtId="9" fontId="1" fillId="0" borderId="59" xfId="2" applyFont="1" applyBorder="1" applyAlignment="1">
      <alignment horizontal="center" vertical="center"/>
    </xf>
    <xf numFmtId="1" fontId="1" fillId="0" borderId="0" xfId="11" applyNumberFormat="1" applyFont="1"/>
    <xf numFmtId="0" fontId="1" fillId="42" borderId="0" xfId="11" applyFont="1" applyFill="1"/>
    <xf numFmtId="4" fontId="1" fillId="44" borderId="0" xfId="11" applyNumberFormat="1" applyFont="1" applyFill="1"/>
    <xf numFmtId="168" fontId="1" fillId="43" borderId="0" xfId="11" applyNumberFormat="1" applyFont="1" applyFill="1"/>
    <xf numFmtId="2" fontId="1" fillId="43" borderId="0" xfId="11" applyNumberFormat="1" applyFont="1" applyFill="1"/>
    <xf numFmtId="0" fontId="151" fillId="12" borderId="0" xfId="0" applyFont="1" applyFill="1"/>
    <xf numFmtId="0" fontId="151" fillId="36" borderId="0" xfId="0" applyFont="1" applyFill="1"/>
    <xf numFmtId="0" fontId="66" fillId="29" borderId="82" xfId="0" applyFont="1" applyFill="1" applyBorder="1" applyAlignment="1">
      <alignment horizontal="center" vertical="center" wrapText="1"/>
    </xf>
    <xf numFmtId="0" fontId="29" fillId="12" borderId="102" xfId="1" applyFont="1" applyFill="1" applyBorder="1" applyAlignment="1">
      <alignment vertical="center" wrapText="1"/>
    </xf>
    <xf numFmtId="0" fontId="0" fillId="12" borderId="15" xfId="0" applyFill="1" applyBorder="1" applyAlignment="1">
      <alignment wrapText="1"/>
    </xf>
    <xf numFmtId="0" fontId="23" fillId="12" borderId="15" xfId="0" applyFont="1" applyFill="1" applyBorder="1" applyAlignment="1">
      <alignment wrapText="1"/>
    </xf>
    <xf numFmtId="0" fontId="0" fillId="12" borderId="23" xfId="0" applyFill="1" applyBorder="1" applyAlignment="1">
      <alignment wrapText="1"/>
    </xf>
    <xf numFmtId="0" fontId="23" fillId="12" borderId="23" xfId="0" applyFont="1" applyFill="1" applyBorder="1" applyAlignment="1">
      <alignment wrapText="1"/>
    </xf>
    <xf numFmtId="0" fontId="76" fillId="22" borderId="0" xfId="0" applyFont="1" applyFill="1" applyAlignment="1">
      <alignment vertical="center" wrapText="1"/>
    </xf>
    <xf numFmtId="0" fontId="145" fillId="12" borderId="0" xfId="0" applyFont="1" applyFill="1"/>
    <xf numFmtId="0" fontId="0" fillId="12" borderId="100" xfId="0" applyFill="1" applyBorder="1"/>
    <xf numFmtId="0" fontId="0" fillId="12" borderId="100" xfId="0" applyFill="1" applyBorder="1" applyAlignment="1">
      <alignment wrapText="1"/>
    </xf>
    <xf numFmtId="0" fontId="151" fillId="12" borderId="100" xfId="0" applyFont="1" applyFill="1" applyBorder="1"/>
    <xf numFmtId="0" fontId="112" fillId="12" borderId="100" xfId="0" applyFont="1" applyFill="1" applyBorder="1"/>
    <xf numFmtId="9" fontId="153" fillId="0" borderId="15" xfId="2" applyFont="1" applyBorder="1"/>
    <xf numFmtId="0" fontId="0" fillId="0" borderId="15" xfId="0" applyBorder="1" applyAlignment="1">
      <alignment horizontal="right"/>
    </xf>
    <xf numFmtId="10" fontId="0" fillId="0" borderId="15" xfId="2" applyNumberFormat="1" applyFont="1" applyBorder="1" applyAlignment="1">
      <alignment horizontal="right"/>
    </xf>
    <xf numFmtId="0" fontId="151" fillId="12" borderId="0" xfId="0" applyFont="1" applyFill="1" applyAlignment="1">
      <alignment horizontal="right"/>
    </xf>
    <xf numFmtId="0" fontId="112" fillId="12" borderId="0" xfId="0" applyFont="1" applyFill="1" applyAlignment="1">
      <alignment horizontal="right"/>
    </xf>
    <xf numFmtId="0" fontId="43" fillId="12" borderId="0" xfId="1" applyFont="1" applyFill="1" applyAlignment="1">
      <alignment horizontal="right" vertical="center" wrapText="1"/>
    </xf>
    <xf numFmtId="0" fontId="117" fillId="32" borderId="75" xfId="5" applyFont="1" applyFill="1" applyBorder="1" applyAlignment="1">
      <alignment horizontal="left" vertical="center" indent="2"/>
    </xf>
    <xf numFmtId="0" fontId="117" fillId="32" borderId="76" xfId="5" applyFont="1" applyFill="1" applyBorder="1" applyAlignment="1">
      <alignment horizontal="left" vertical="center" indent="2"/>
    </xf>
    <xf numFmtId="0" fontId="117" fillId="32" borderId="80" xfId="5" applyFont="1" applyFill="1" applyBorder="1" applyAlignment="1">
      <alignment horizontal="left" vertical="center" indent="2"/>
    </xf>
    <xf numFmtId="0" fontId="117" fillId="32" borderId="63" xfId="5" applyFont="1" applyFill="1" applyBorder="1" applyAlignment="1">
      <alignment horizontal="left" vertical="center" indent="2"/>
    </xf>
    <xf numFmtId="0" fontId="119" fillId="32" borderId="75" xfId="5" applyFont="1" applyFill="1" applyBorder="1" applyAlignment="1">
      <alignment horizontal="center" vertical="center"/>
    </xf>
    <xf numFmtId="0" fontId="119" fillId="32" borderId="74" xfId="5" applyFont="1" applyFill="1" applyBorder="1" applyAlignment="1">
      <alignment horizontal="center" vertical="center"/>
    </xf>
    <xf numFmtId="0" fontId="119" fillId="32" borderId="76" xfId="5" applyFont="1" applyFill="1" applyBorder="1" applyAlignment="1">
      <alignment horizontal="center" vertical="center"/>
    </xf>
    <xf numFmtId="49" fontId="117" fillId="32" borderId="78" xfId="5" quotePrefix="1" applyNumberFormat="1" applyFont="1" applyFill="1" applyBorder="1" applyAlignment="1">
      <alignment horizontal="center" vertical="center"/>
    </xf>
    <xf numFmtId="49" fontId="117" fillId="32" borderId="77" xfId="5" quotePrefix="1" applyNumberFormat="1" applyFont="1" applyFill="1" applyBorder="1" applyAlignment="1">
      <alignment horizontal="center" vertical="center"/>
    </xf>
    <xf numFmtId="0" fontId="117" fillId="32" borderId="79" xfId="5" applyFont="1" applyFill="1" applyBorder="1" applyAlignment="1">
      <alignment horizontal="left" vertical="center" wrapText="1" indent="2"/>
    </xf>
    <xf numFmtId="0" fontId="117" fillId="32" borderId="78" xfId="5" applyFont="1" applyFill="1" applyBorder="1" applyAlignment="1">
      <alignment horizontal="left" vertical="center" wrapText="1" indent="2"/>
    </xf>
    <xf numFmtId="0" fontId="80" fillId="12" borderId="0" xfId="5" applyFill="1" applyAlignment="1">
      <alignment horizontal="left" vertical="center" wrapText="1" indent="28"/>
    </xf>
    <xf numFmtId="0" fontId="115" fillId="12" borderId="0" xfId="9" applyFont="1" applyFill="1" applyAlignment="1">
      <alignment horizontal="left" vertical="top" wrapText="1"/>
    </xf>
    <xf numFmtId="0" fontId="117" fillId="32" borderId="73" xfId="5" applyFont="1" applyFill="1" applyBorder="1" applyAlignment="1">
      <alignment horizontal="left" vertical="center" wrapText="1"/>
    </xf>
    <xf numFmtId="0" fontId="90" fillId="32" borderId="73" xfId="5" applyFont="1" applyFill="1" applyBorder="1" applyAlignment="1">
      <alignment horizontal="left" vertical="center" wrapText="1"/>
    </xf>
    <xf numFmtId="0" fontId="90" fillId="32" borderId="0" xfId="5" applyFont="1" applyFill="1" applyAlignment="1">
      <alignment horizontal="left" vertical="center" wrapText="1"/>
    </xf>
    <xf numFmtId="0" fontId="117" fillId="32" borderId="0" xfId="5" applyFont="1" applyFill="1" applyAlignment="1">
      <alignment horizontal="left" vertical="center" wrapText="1"/>
    </xf>
    <xf numFmtId="0" fontId="118" fillId="32" borderId="0" xfId="7" applyFont="1" applyFill="1" applyBorder="1" applyAlignment="1" applyProtection="1">
      <alignment horizontal="left" vertical="center" wrapText="1" indent="2"/>
      <protection hidden="1"/>
    </xf>
    <xf numFmtId="0" fontId="96" fillId="35" borderId="63" xfId="7" applyFont="1" applyFill="1" applyBorder="1" applyAlignment="1" applyProtection="1">
      <alignment horizontal="left" vertical="center" indent="9"/>
    </xf>
    <xf numFmtId="0" fontId="96" fillId="35" borderId="62" xfId="7" applyFont="1" applyFill="1" applyBorder="1" applyAlignment="1" applyProtection="1">
      <alignment horizontal="left" vertical="center" indent="9"/>
    </xf>
    <xf numFmtId="0" fontId="95" fillId="35" borderId="62" xfId="8" applyFont="1" applyFill="1" applyBorder="1" applyAlignment="1" applyProtection="1">
      <alignment horizontal="left" vertical="center" indent="9"/>
    </xf>
    <xf numFmtId="0" fontId="88" fillId="37" borderId="0" xfId="5" applyFont="1" applyFill="1" applyAlignment="1">
      <alignment horizontal="center" vertical="top" wrapText="1"/>
    </xf>
    <xf numFmtId="0" fontId="88" fillId="14" borderId="0" xfId="5" applyFont="1" applyFill="1" applyAlignment="1">
      <alignment horizontal="center" vertical="top" wrapText="1"/>
    </xf>
    <xf numFmtId="0" fontId="88" fillId="30" borderId="0" xfId="5" applyFont="1" applyFill="1" applyAlignment="1">
      <alignment horizontal="center" vertical="top" wrapText="1"/>
    </xf>
    <xf numFmtId="0" fontId="89" fillId="32" borderId="0" xfId="5" applyFont="1" applyFill="1" applyAlignment="1">
      <alignment horizontal="left" vertical="top" wrapText="1"/>
    </xf>
    <xf numFmtId="0" fontId="89" fillId="30" borderId="0" xfId="5" applyFont="1" applyFill="1" applyAlignment="1">
      <alignment horizontal="left" vertical="top" wrapText="1"/>
    </xf>
    <xf numFmtId="0" fontId="90" fillId="34" borderId="0" xfId="5" applyFont="1" applyFill="1" applyAlignment="1">
      <alignment horizontal="center" vertical="top" wrapText="1"/>
    </xf>
    <xf numFmtId="0" fontId="89" fillId="14" borderId="0" xfId="5" applyFont="1" applyFill="1" applyAlignment="1">
      <alignment horizontal="left" vertical="top" wrapText="1"/>
    </xf>
    <xf numFmtId="0" fontId="90" fillId="37" borderId="0" xfId="5" applyFont="1" applyFill="1" applyAlignment="1">
      <alignment horizontal="center" vertical="top" wrapText="1"/>
    </xf>
    <xf numFmtId="0" fontId="90" fillId="14" borderId="0" xfId="5" applyFont="1" applyFill="1" applyAlignment="1">
      <alignment horizontal="center" vertical="top" wrapText="1"/>
    </xf>
    <xf numFmtId="0" fontId="90" fillId="30" borderId="0" xfId="5" applyFont="1" applyFill="1" applyAlignment="1">
      <alignment horizontal="left" vertical="top" wrapText="1"/>
    </xf>
    <xf numFmtId="0" fontId="90" fillId="31" borderId="0" xfId="5" applyFont="1" applyFill="1" applyAlignment="1">
      <alignment horizontal="left" vertical="top" wrapText="1"/>
    </xf>
    <xf numFmtId="0" fontId="90" fillId="32" borderId="0" xfId="5" applyFont="1" applyFill="1" applyAlignment="1">
      <alignment horizontal="center" vertical="top" wrapText="1"/>
    </xf>
    <xf numFmtId="0" fontId="90" fillId="33" borderId="0" xfId="5" applyFont="1" applyFill="1" applyAlignment="1">
      <alignment horizontal="center" vertical="top" wrapText="1"/>
    </xf>
    <xf numFmtId="0" fontId="88" fillId="31" borderId="0" xfId="5" applyFont="1" applyFill="1" applyAlignment="1">
      <alignment horizontal="center" vertical="top" wrapText="1"/>
    </xf>
    <xf numFmtId="0" fontId="88" fillId="32" borderId="0" xfId="5" applyFont="1" applyFill="1" applyAlignment="1">
      <alignment horizontal="center" vertical="top" wrapText="1"/>
    </xf>
    <xf numFmtId="0" fontId="88" fillId="33" borderId="0" xfId="5" applyFont="1" applyFill="1" applyAlignment="1">
      <alignment horizontal="center" vertical="top" wrapText="1"/>
    </xf>
    <xf numFmtId="0" fontId="88" fillId="34" borderId="0" xfId="5" applyFont="1" applyFill="1" applyAlignment="1">
      <alignment horizontal="center" vertical="top" wrapText="1"/>
    </xf>
    <xf numFmtId="0" fontId="80" fillId="12" borderId="0" xfId="5" applyFill="1" applyAlignment="1">
      <alignment horizontal="left" vertical="center" wrapText="1"/>
    </xf>
    <xf numFmtId="0" fontId="12" fillId="4" borderId="17" xfId="1" applyFont="1" applyFill="1" applyBorder="1" applyAlignment="1" applyProtection="1">
      <alignment horizontal="center" vertical="center" wrapText="1"/>
      <protection locked="0"/>
    </xf>
    <xf numFmtId="0" fontId="12" fillId="4" borderId="33" xfId="1" applyFont="1" applyFill="1" applyBorder="1" applyAlignment="1" applyProtection="1">
      <alignment horizontal="center" vertical="center" wrapText="1"/>
      <protection locked="0"/>
    </xf>
    <xf numFmtId="0" fontId="12" fillId="4" borderId="18" xfId="1" applyFont="1" applyFill="1" applyBorder="1" applyAlignment="1" applyProtection="1">
      <alignment horizontal="center" vertical="center" wrapText="1"/>
      <protection locked="0"/>
    </xf>
    <xf numFmtId="0" fontId="11" fillId="7" borderId="17" xfId="1" applyFont="1" applyFill="1" applyBorder="1" applyAlignment="1" applyProtection="1">
      <alignment horizontal="center" vertical="center" wrapText="1"/>
      <protection locked="0"/>
    </xf>
    <xf numFmtId="0" fontId="11" fillId="7" borderId="33" xfId="1" applyFont="1" applyFill="1" applyBorder="1" applyAlignment="1" applyProtection="1">
      <alignment horizontal="center" vertical="center" wrapText="1"/>
      <protection locked="0"/>
    </xf>
    <xf numFmtId="0" fontId="11" fillId="7" borderId="18" xfId="1" applyFont="1" applyFill="1" applyBorder="1" applyAlignment="1" applyProtection="1">
      <alignment horizontal="center" vertical="center" wrapText="1"/>
      <protection locked="0"/>
    </xf>
    <xf numFmtId="0" fontId="22" fillId="14" borderId="0" xfId="1" applyFont="1" applyFill="1" applyAlignment="1">
      <alignment horizontal="left" vertical="center" wrapText="1"/>
    </xf>
    <xf numFmtId="0" fontId="22" fillId="14" borderId="25" xfId="1" applyFont="1" applyFill="1" applyBorder="1" applyAlignment="1">
      <alignment horizontal="left" vertical="center" wrapText="1"/>
    </xf>
    <xf numFmtId="0" fontId="9" fillId="0" borderId="17" xfId="1" applyFont="1" applyBorder="1" applyAlignment="1">
      <alignment horizontal="center" vertical="center" wrapText="1"/>
    </xf>
    <xf numFmtId="0" fontId="9" fillId="0" borderId="33" xfId="1" applyFont="1" applyBorder="1" applyAlignment="1">
      <alignment horizontal="center" vertical="center" wrapText="1"/>
    </xf>
    <xf numFmtId="0" fontId="9" fillId="12" borderId="19" xfId="1" applyFont="1" applyFill="1" applyBorder="1" applyAlignment="1">
      <alignment horizontal="center" vertical="center" wrapText="1"/>
    </xf>
    <xf numFmtId="0" fontId="9" fillId="12" borderId="21" xfId="1" applyFont="1" applyFill="1" applyBorder="1" applyAlignment="1">
      <alignment horizontal="center" vertical="center" wrapText="1"/>
    </xf>
    <xf numFmtId="0" fontId="19" fillId="12" borderId="23" xfId="1" applyFont="1" applyFill="1" applyBorder="1" applyAlignment="1">
      <alignment horizontal="center" vertical="center" wrapText="1"/>
    </xf>
    <xf numFmtId="0" fontId="19" fillId="12" borderId="24" xfId="1" applyFont="1" applyFill="1" applyBorder="1" applyAlignment="1">
      <alignment horizontal="center" vertical="center" wrapText="1"/>
    </xf>
    <xf numFmtId="0" fontId="55" fillId="12" borderId="17" xfId="1" applyFont="1" applyFill="1" applyBorder="1" applyAlignment="1">
      <alignment horizontal="center" vertical="center" wrapText="1"/>
    </xf>
    <xf numFmtId="0" fontId="55" fillId="12" borderId="33" xfId="1" applyFont="1" applyFill="1" applyBorder="1" applyAlignment="1">
      <alignment horizontal="center" vertical="center" wrapText="1"/>
    </xf>
    <xf numFmtId="0" fontId="55" fillId="12" borderId="18" xfId="1" applyFont="1" applyFill="1" applyBorder="1" applyAlignment="1">
      <alignment horizontal="center" vertical="center" wrapText="1"/>
    </xf>
    <xf numFmtId="0" fontId="28" fillId="19" borderId="14" xfId="1" applyFont="1" applyFill="1" applyBorder="1" applyAlignment="1">
      <alignment horizontal="left" vertical="center" wrapText="1"/>
    </xf>
    <xf numFmtId="0" fontId="28" fillId="19" borderId="0" xfId="1" applyFont="1" applyFill="1" applyAlignment="1">
      <alignment horizontal="left" vertical="center" wrapText="1"/>
    </xf>
    <xf numFmtId="0" fontId="28" fillId="19" borderId="25" xfId="1" applyFont="1" applyFill="1" applyBorder="1" applyAlignment="1">
      <alignment horizontal="left" vertical="center" wrapText="1"/>
    </xf>
    <xf numFmtId="0" fontId="57" fillId="19" borderId="0" xfId="1" applyFont="1" applyFill="1" applyAlignment="1">
      <alignment horizontal="center" vertical="center" wrapText="1"/>
    </xf>
    <xf numFmtId="4" fontId="30" fillId="11" borderId="23" xfId="1" applyNumberFormat="1" applyFont="1" applyFill="1" applyBorder="1" applyAlignment="1" applyProtection="1">
      <alignment horizontal="center" vertical="center" wrapText="1"/>
      <protection locked="0"/>
    </xf>
    <xf numFmtId="4" fontId="30" fillId="11" borderId="24" xfId="1" applyNumberFormat="1" applyFont="1" applyFill="1" applyBorder="1" applyAlignment="1" applyProtection="1">
      <alignment horizontal="center" vertical="center" wrapText="1"/>
      <protection locked="0"/>
    </xf>
    <xf numFmtId="0" fontId="57" fillId="19" borderId="0" xfId="1" quotePrefix="1" applyFont="1" applyFill="1" applyAlignment="1">
      <alignment horizontal="center" vertical="center" wrapText="1"/>
    </xf>
    <xf numFmtId="4" fontId="30" fillId="9" borderId="23" xfId="1" applyNumberFormat="1" applyFont="1" applyFill="1" applyBorder="1" applyAlignment="1" applyProtection="1">
      <alignment horizontal="center" vertical="center" wrapText="1"/>
      <protection locked="0"/>
    </xf>
    <xf numFmtId="4" fontId="30" fillId="9" borderId="24" xfId="1" applyNumberFormat="1" applyFont="1" applyFill="1" applyBorder="1" applyAlignment="1" applyProtection="1">
      <alignment horizontal="center" vertical="center" wrapText="1"/>
      <protection locked="0"/>
    </xf>
    <xf numFmtId="4" fontId="30" fillId="11" borderId="23" xfId="1" applyNumberFormat="1" applyFont="1" applyFill="1" applyBorder="1" applyAlignment="1">
      <alignment horizontal="center" vertical="center" wrapText="1"/>
    </xf>
    <xf numFmtId="4" fontId="30" fillId="11" borderId="24" xfId="1" applyNumberFormat="1" applyFont="1" applyFill="1" applyBorder="1" applyAlignment="1">
      <alignment horizontal="center" vertical="center" wrapText="1"/>
    </xf>
    <xf numFmtId="0" fontId="29" fillId="12" borderId="17" xfId="1" applyFont="1" applyFill="1" applyBorder="1" applyAlignment="1">
      <alignment horizontal="center" vertical="center" wrapText="1"/>
    </xf>
    <xf numFmtId="0" fontId="29" fillId="12" borderId="18" xfId="1" applyFont="1" applyFill="1" applyBorder="1" applyAlignment="1">
      <alignment horizontal="center" vertical="center" wrapText="1"/>
    </xf>
    <xf numFmtId="0" fontId="29" fillId="12" borderId="23" xfId="1" applyFont="1" applyFill="1" applyBorder="1" applyAlignment="1">
      <alignment horizontal="center" vertical="center" wrapText="1"/>
    </xf>
    <xf numFmtId="0" fontId="29" fillId="12" borderId="24" xfId="1" applyFont="1" applyFill="1" applyBorder="1" applyAlignment="1">
      <alignment horizontal="center" vertical="center" wrapText="1"/>
    </xf>
    <xf numFmtId="0" fontId="29" fillId="12" borderId="33" xfId="1" applyFont="1" applyFill="1" applyBorder="1" applyAlignment="1">
      <alignment horizontal="center" vertical="center" wrapText="1"/>
    </xf>
    <xf numFmtId="0" fontId="29" fillId="18" borderId="17" xfId="1" applyFont="1" applyFill="1" applyBorder="1" applyAlignment="1" applyProtection="1">
      <alignment horizontal="center" vertical="center" wrapText="1"/>
      <protection locked="0"/>
    </xf>
    <xf numFmtId="0" fontId="29" fillId="18" borderId="18" xfId="1" applyFont="1" applyFill="1" applyBorder="1" applyAlignment="1" applyProtection="1">
      <alignment horizontal="center" vertical="center" wrapText="1"/>
      <protection locked="0"/>
    </xf>
    <xf numFmtId="0" fontId="25" fillId="12" borderId="48" xfId="1" applyFont="1" applyFill="1" applyBorder="1" applyAlignment="1">
      <alignment horizontal="center" vertical="center" wrapText="1"/>
    </xf>
    <xf numFmtId="0" fontId="25" fillId="12" borderId="35" xfId="1" applyFont="1" applyFill="1" applyBorder="1" applyAlignment="1">
      <alignment horizontal="center" vertical="center" wrapText="1"/>
    </xf>
    <xf numFmtId="0" fontId="25" fillId="12" borderId="49" xfId="1" applyFont="1" applyFill="1" applyBorder="1" applyAlignment="1">
      <alignment horizontal="center" vertical="center" wrapText="1"/>
    </xf>
    <xf numFmtId="0" fontId="31" fillId="19" borderId="17" xfId="0" applyFont="1" applyFill="1" applyBorder="1" applyAlignment="1">
      <alignment horizontal="center" vertical="center" wrapText="1"/>
    </xf>
    <xf numFmtId="0" fontId="31" fillId="19" borderId="33" xfId="0" applyFont="1" applyFill="1" applyBorder="1" applyAlignment="1">
      <alignment horizontal="center" vertical="center" wrapText="1"/>
    </xf>
    <xf numFmtId="0" fontId="31" fillId="19" borderId="18" xfId="0" applyFont="1" applyFill="1" applyBorder="1" applyAlignment="1">
      <alignment horizontal="center" vertical="center" wrapText="1"/>
    </xf>
    <xf numFmtId="0" fontId="31" fillId="12" borderId="19" xfId="0" applyFont="1" applyFill="1" applyBorder="1" applyAlignment="1">
      <alignment horizontal="center" vertical="center" wrapText="1"/>
    </xf>
    <xf numFmtId="0" fontId="31" fillId="12" borderId="20" xfId="0" applyFont="1" applyFill="1" applyBorder="1" applyAlignment="1">
      <alignment horizontal="center" vertical="center" wrapText="1"/>
    </xf>
    <xf numFmtId="0" fontId="31" fillId="12" borderId="21" xfId="0" applyFont="1" applyFill="1" applyBorder="1" applyAlignment="1">
      <alignment horizontal="center" vertical="center" wrapText="1"/>
    </xf>
    <xf numFmtId="0" fontId="31" fillId="12" borderId="22" xfId="0" applyFont="1" applyFill="1" applyBorder="1" applyAlignment="1">
      <alignment horizontal="center" vertical="center" wrapText="1"/>
    </xf>
    <xf numFmtId="0" fontId="26" fillId="19" borderId="0" xfId="1" applyFont="1" applyFill="1" applyAlignment="1">
      <alignment horizontal="left" vertical="center" wrapText="1"/>
    </xf>
    <xf numFmtId="0" fontId="31" fillId="12" borderId="23" xfId="0" applyFont="1" applyFill="1" applyBorder="1" applyAlignment="1">
      <alignment horizontal="center" vertical="center" wrapText="1"/>
    </xf>
    <xf numFmtId="0" fontId="31" fillId="12" borderId="36" xfId="0" applyFont="1" applyFill="1" applyBorder="1" applyAlignment="1">
      <alignment horizontal="center" vertical="center" wrapText="1"/>
    </xf>
    <xf numFmtId="0" fontId="30" fillId="0" borderId="23"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24" xfId="0" applyFont="1" applyBorder="1" applyAlignment="1">
      <alignment horizontal="center" vertical="center" wrapText="1"/>
    </xf>
    <xf numFmtId="0" fontId="30" fillId="19" borderId="17" xfId="0" applyFont="1" applyFill="1" applyBorder="1" applyAlignment="1">
      <alignment horizontal="center" vertical="center" wrapText="1"/>
    </xf>
    <xf numFmtId="0" fontId="30" fillId="19" borderId="33" xfId="0" applyFont="1" applyFill="1" applyBorder="1" applyAlignment="1">
      <alignment horizontal="center" vertical="center" wrapText="1"/>
    </xf>
    <xf numFmtId="0" fontId="30" fillId="19" borderId="18" xfId="0" applyFont="1" applyFill="1" applyBorder="1" applyAlignment="1">
      <alignment horizontal="center" vertical="center" wrapText="1"/>
    </xf>
    <xf numFmtId="0" fontId="30" fillId="19" borderId="19" xfId="0" applyFont="1" applyFill="1" applyBorder="1" applyAlignment="1">
      <alignment horizontal="center" vertical="center" wrapText="1"/>
    </xf>
    <xf numFmtId="0" fontId="30" fillId="19" borderId="30" xfId="0" applyFont="1" applyFill="1" applyBorder="1" applyAlignment="1">
      <alignment horizontal="center" vertical="center" wrapText="1"/>
    </xf>
    <xf numFmtId="0" fontId="30" fillId="19" borderId="20" xfId="0" applyFont="1" applyFill="1" applyBorder="1" applyAlignment="1">
      <alignment horizontal="center" vertical="center" wrapText="1"/>
    </xf>
    <xf numFmtId="0" fontId="30" fillId="19" borderId="21" xfId="0" applyFont="1" applyFill="1" applyBorder="1" applyAlignment="1">
      <alignment horizontal="center" vertical="center" wrapText="1"/>
    </xf>
    <xf numFmtId="0" fontId="30" fillId="19" borderId="28" xfId="0" applyFont="1" applyFill="1" applyBorder="1" applyAlignment="1">
      <alignment horizontal="center" vertical="center" wrapText="1"/>
    </xf>
    <xf numFmtId="0" fontId="30" fillId="19" borderId="22" xfId="0" applyFont="1" applyFill="1" applyBorder="1" applyAlignment="1">
      <alignment horizontal="center" vertical="center" wrapText="1"/>
    </xf>
    <xf numFmtId="164" fontId="31" fillId="20" borderId="19" xfId="1" applyNumberFormat="1" applyFont="1" applyFill="1" applyBorder="1" applyAlignment="1">
      <alignment horizontal="center" vertical="center" wrapText="1"/>
    </xf>
    <xf numFmtId="164" fontId="31" fillId="20" borderId="20" xfId="1" applyNumberFormat="1" applyFont="1" applyFill="1" applyBorder="1" applyAlignment="1">
      <alignment horizontal="center" vertical="center" wrapText="1"/>
    </xf>
    <xf numFmtId="164" fontId="31" fillId="20" borderId="21" xfId="1" applyNumberFormat="1" applyFont="1" applyFill="1" applyBorder="1" applyAlignment="1">
      <alignment horizontal="center" vertical="center" wrapText="1"/>
    </xf>
    <xf numFmtId="164" fontId="31" fillId="20" borderId="22" xfId="1" applyNumberFormat="1" applyFont="1" applyFill="1" applyBorder="1" applyAlignment="1">
      <alignment horizontal="center" vertical="center" wrapText="1"/>
    </xf>
    <xf numFmtId="164" fontId="30" fillId="11" borderId="17" xfId="1" applyNumberFormat="1" applyFont="1" applyFill="1" applyBorder="1" applyAlignment="1">
      <alignment horizontal="center" vertical="center" wrapText="1"/>
    </xf>
    <xf numFmtId="164" fontId="30" fillId="11" borderId="18" xfId="1" applyNumberFormat="1" applyFont="1" applyFill="1" applyBorder="1" applyAlignment="1">
      <alignment horizontal="center" vertical="center" wrapText="1"/>
    </xf>
    <xf numFmtId="0" fontId="1" fillId="12" borderId="48" xfId="1" applyFont="1" applyFill="1" applyBorder="1" applyAlignment="1">
      <alignment horizontal="center" vertical="center" wrapText="1"/>
    </xf>
    <xf numFmtId="0" fontId="1" fillId="12" borderId="35" xfId="1" applyFont="1" applyFill="1" applyBorder="1" applyAlignment="1">
      <alignment horizontal="center" vertical="center" wrapText="1"/>
    </xf>
    <xf numFmtId="0" fontId="63" fillId="12" borderId="17" xfId="1" applyFont="1" applyFill="1" applyBorder="1" applyAlignment="1">
      <alignment horizontal="right" vertical="center" wrapText="1"/>
    </xf>
    <xf numFmtId="0" fontId="63" fillId="12" borderId="33" xfId="1" applyFont="1" applyFill="1" applyBorder="1" applyAlignment="1">
      <alignment horizontal="right" vertical="center" wrapText="1"/>
    </xf>
    <xf numFmtId="0" fontId="31" fillId="19" borderId="19" xfId="0" applyFont="1" applyFill="1" applyBorder="1" applyAlignment="1">
      <alignment horizontal="center" vertical="center" wrapText="1"/>
    </xf>
    <xf numFmtId="0" fontId="31" fillId="19" borderId="20" xfId="0" applyFont="1" applyFill="1" applyBorder="1" applyAlignment="1">
      <alignment horizontal="center" vertical="center" wrapText="1"/>
    </xf>
    <xf numFmtId="0" fontId="31" fillId="19" borderId="34" xfId="0" applyFont="1" applyFill="1" applyBorder="1" applyAlignment="1">
      <alignment horizontal="center" vertical="center" wrapText="1"/>
    </xf>
    <xf numFmtId="0" fontId="31" fillId="19" borderId="35" xfId="0" applyFont="1" applyFill="1" applyBorder="1" applyAlignment="1">
      <alignment horizontal="center" vertical="center" wrapText="1"/>
    </xf>
    <xf numFmtId="0" fontId="31" fillId="19" borderId="21" xfId="0" applyFont="1" applyFill="1" applyBorder="1" applyAlignment="1">
      <alignment horizontal="center" vertical="center" wrapText="1"/>
    </xf>
    <xf numFmtId="0" fontId="31" fillId="19" borderId="22" xfId="0" applyFont="1" applyFill="1" applyBorder="1" applyAlignment="1">
      <alignment horizontal="center" vertical="center" wrapText="1"/>
    </xf>
    <xf numFmtId="0" fontId="30" fillId="12" borderId="17" xfId="0" applyFont="1" applyFill="1" applyBorder="1" applyAlignment="1">
      <alignment horizontal="center" vertical="center" wrapText="1"/>
    </xf>
    <xf numFmtId="0" fontId="30" fillId="12" borderId="18" xfId="0" applyFont="1" applyFill="1" applyBorder="1" applyAlignment="1">
      <alignment horizontal="center" vertical="center" wrapText="1"/>
    </xf>
    <xf numFmtId="0" fontId="30" fillId="12" borderId="19" xfId="0" applyFont="1" applyFill="1" applyBorder="1" applyAlignment="1">
      <alignment horizontal="center" vertical="center" wrapText="1"/>
    </xf>
    <xf numFmtId="0" fontId="30" fillId="12" borderId="20" xfId="0" applyFont="1" applyFill="1" applyBorder="1" applyAlignment="1">
      <alignment horizontal="center" vertical="center" wrapText="1"/>
    </xf>
    <xf numFmtId="0" fontId="30" fillId="12" borderId="21" xfId="0" applyFont="1" applyFill="1" applyBorder="1" applyAlignment="1">
      <alignment horizontal="center" vertical="center" wrapText="1"/>
    </xf>
    <xf numFmtId="0" fontId="30" fillId="12" borderId="22" xfId="0" applyFont="1" applyFill="1" applyBorder="1" applyAlignment="1">
      <alignment horizontal="center" vertical="center" wrapText="1"/>
    </xf>
    <xf numFmtId="0" fontId="30" fillId="0" borderId="30"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2" xfId="0" applyFont="1" applyBorder="1" applyAlignment="1">
      <alignment horizontal="center" vertical="center" wrapText="1"/>
    </xf>
    <xf numFmtId="0" fontId="31" fillId="0" borderId="19"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21" xfId="0" applyFont="1" applyBorder="1" applyAlignment="1">
      <alignment horizontal="center" vertical="center" wrapText="1"/>
    </xf>
    <xf numFmtId="0" fontId="31" fillId="0" borderId="22" xfId="0" applyFont="1" applyBorder="1" applyAlignment="1">
      <alignment horizontal="center" vertical="center" wrapText="1"/>
    </xf>
    <xf numFmtId="164" fontId="31" fillId="0" borderId="19" xfId="1" applyNumberFormat="1" applyFont="1" applyBorder="1" applyAlignment="1">
      <alignment horizontal="center" vertical="center" wrapText="1"/>
    </xf>
    <xf numFmtId="164" fontId="31" fillId="0" borderId="20" xfId="1" applyNumberFormat="1" applyFont="1" applyBorder="1" applyAlignment="1">
      <alignment horizontal="center" vertical="center" wrapText="1"/>
    </xf>
    <xf numFmtId="164" fontId="31" fillId="0" borderId="21" xfId="1" applyNumberFormat="1" applyFont="1" applyBorder="1" applyAlignment="1">
      <alignment horizontal="center" vertical="center" wrapText="1"/>
    </xf>
    <xf numFmtId="164" fontId="31" fillId="0" borderId="22" xfId="1" applyNumberFormat="1" applyFont="1" applyBorder="1" applyAlignment="1">
      <alignment horizontal="center" vertical="center" wrapText="1"/>
    </xf>
    <xf numFmtId="0" fontId="30" fillId="12" borderId="30" xfId="0" applyFont="1" applyFill="1" applyBorder="1" applyAlignment="1">
      <alignment horizontal="center" vertical="center" wrapText="1"/>
    </xf>
    <xf numFmtId="0" fontId="30" fillId="12" borderId="28" xfId="0" applyFont="1" applyFill="1" applyBorder="1" applyAlignment="1">
      <alignment horizontal="center" vertical="center" wrapText="1"/>
    </xf>
    <xf numFmtId="0" fontId="30" fillId="12" borderId="23" xfId="0" applyFont="1" applyFill="1" applyBorder="1" applyAlignment="1">
      <alignment horizontal="center" vertical="center" wrapText="1"/>
    </xf>
    <xf numFmtId="0" fontId="30" fillId="12" borderId="36" xfId="0" applyFont="1" applyFill="1" applyBorder="1" applyAlignment="1">
      <alignment horizontal="center" vertical="center" wrapText="1"/>
    </xf>
    <xf numFmtId="0" fontId="30" fillId="12" borderId="24" xfId="0" applyFont="1" applyFill="1" applyBorder="1" applyAlignment="1">
      <alignment horizontal="center" vertical="center" wrapText="1"/>
    </xf>
    <xf numFmtId="0" fontId="30" fillId="12" borderId="34" xfId="0" applyFont="1" applyFill="1" applyBorder="1" applyAlignment="1">
      <alignment horizontal="center" vertical="center" wrapText="1"/>
    </xf>
    <xf numFmtId="0" fontId="31" fillId="12" borderId="24" xfId="0" applyFont="1" applyFill="1" applyBorder="1" applyAlignment="1">
      <alignment horizontal="center" vertical="center" wrapText="1"/>
    </xf>
    <xf numFmtId="0" fontId="34" fillId="0" borderId="17" xfId="1" applyFont="1" applyBorder="1" applyAlignment="1">
      <alignment horizontal="right" vertical="center" wrapText="1"/>
    </xf>
    <xf numFmtId="0" fontId="34" fillId="0" borderId="33" xfId="1" applyFont="1" applyBorder="1" applyAlignment="1">
      <alignment horizontal="right" vertical="center" wrapText="1"/>
    </xf>
    <xf numFmtId="0" fontId="34" fillId="12" borderId="17" xfId="1" applyFont="1" applyFill="1" applyBorder="1" applyAlignment="1">
      <alignment horizontal="right" vertical="center" wrapText="1"/>
    </xf>
    <xf numFmtId="0" fontId="34" fillId="12" borderId="33" xfId="1" applyFont="1" applyFill="1" applyBorder="1" applyAlignment="1">
      <alignment horizontal="right" vertical="center" wrapText="1"/>
    </xf>
    <xf numFmtId="0" fontId="56" fillId="6" borderId="0" xfId="1" applyFont="1" applyFill="1" applyAlignment="1">
      <alignment horizontal="left" vertical="center" wrapText="1"/>
    </xf>
    <xf numFmtId="0" fontId="57" fillId="19" borderId="0" xfId="1" applyFont="1" applyFill="1" applyAlignment="1">
      <alignment horizontal="left" vertical="center" wrapText="1"/>
    </xf>
    <xf numFmtId="0" fontId="22" fillId="6" borderId="0" xfId="1" applyFont="1" applyFill="1" applyAlignment="1">
      <alignment horizontal="left" vertical="center" wrapText="1"/>
    </xf>
    <xf numFmtId="4" fontId="65" fillId="11" borderId="23" xfId="1" applyNumberFormat="1" applyFont="1" applyFill="1" applyBorder="1" applyAlignment="1">
      <alignment horizontal="center" vertical="center" wrapText="1"/>
    </xf>
    <xf numFmtId="4" fontId="65" fillId="11" borderId="24" xfId="1" applyNumberFormat="1" applyFont="1" applyFill="1" applyBorder="1" applyAlignment="1">
      <alignment horizontal="center" vertical="center" wrapText="1"/>
    </xf>
    <xf numFmtId="0" fontId="29" fillId="12" borderId="15" xfId="1" applyFont="1" applyFill="1" applyBorder="1" applyAlignment="1">
      <alignment horizontal="center" vertical="center" wrapText="1"/>
    </xf>
    <xf numFmtId="164" fontId="30" fillId="11" borderId="23" xfId="1" applyNumberFormat="1" applyFont="1" applyFill="1" applyBorder="1" applyAlignment="1">
      <alignment horizontal="center" vertical="center" wrapText="1"/>
    </xf>
    <xf numFmtId="164" fontId="30" fillId="11" borderId="24" xfId="1" applyNumberFormat="1" applyFont="1" applyFill="1" applyBorder="1" applyAlignment="1">
      <alignment horizontal="center" vertical="center" wrapText="1"/>
    </xf>
    <xf numFmtId="164" fontId="30" fillId="11" borderId="19" xfId="1" applyNumberFormat="1" applyFont="1" applyFill="1" applyBorder="1" applyAlignment="1">
      <alignment horizontal="center" vertical="center" wrapText="1"/>
    </xf>
    <xf numFmtId="164" fontId="30" fillId="11" borderId="20" xfId="1" applyNumberFormat="1" applyFont="1" applyFill="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18" xfId="0" applyFont="1" applyBorder="1" applyAlignment="1">
      <alignment horizontal="center" vertical="center" wrapText="1"/>
    </xf>
    <xf numFmtId="4" fontId="65" fillId="7" borderId="23" xfId="1"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4" fontId="65" fillId="7" borderId="24" xfId="1"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0" fillId="0" borderId="19" xfId="0" applyFont="1" applyBorder="1" applyAlignment="1">
      <alignment horizontal="center" vertical="center" wrapText="1"/>
    </xf>
    <xf numFmtId="0" fontId="30" fillId="0" borderId="21" xfId="0" applyFont="1" applyBorder="1" applyAlignment="1">
      <alignment horizontal="center" vertical="center" wrapText="1"/>
    </xf>
    <xf numFmtId="0" fontId="63" fillId="0" borderId="17" xfId="1" applyFont="1" applyBorder="1" applyAlignment="1">
      <alignment horizontal="right" vertical="center" wrapText="1"/>
    </xf>
    <xf numFmtId="0" fontId="63" fillId="0" borderId="33" xfId="1" applyFont="1" applyBorder="1" applyAlignment="1">
      <alignment horizontal="right" vertical="center" wrapText="1"/>
    </xf>
    <xf numFmtId="0" fontId="31" fillId="0" borderId="23" xfId="0" applyFont="1" applyBorder="1" applyAlignment="1">
      <alignment horizontal="center" vertical="center" wrapText="1"/>
    </xf>
    <xf numFmtId="0" fontId="31" fillId="0" borderId="36" xfId="0" applyFont="1" applyBorder="1" applyAlignment="1">
      <alignment horizontal="center" vertical="center" wrapText="1"/>
    </xf>
    <xf numFmtId="0" fontId="31" fillId="0" borderId="24" xfId="0" applyFont="1" applyBorder="1" applyAlignment="1">
      <alignment horizontal="center" vertical="center" wrapText="1"/>
    </xf>
    <xf numFmtId="0" fontId="30" fillId="0" borderId="33" xfId="0" applyFont="1" applyBorder="1" applyAlignment="1">
      <alignment horizontal="center" vertical="center" wrapText="1"/>
    </xf>
    <xf numFmtId="0" fontId="30" fillId="18" borderId="17" xfId="0" applyFont="1" applyFill="1" applyBorder="1" applyAlignment="1" applyProtection="1">
      <alignment horizontal="center" vertical="center" wrapText="1"/>
      <protection locked="0"/>
    </xf>
    <xf numFmtId="0" fontId="30" fillId="18" borderId="33" xfId="0" applyFont="1" applyFill="1" applyBorder="1" applyAlignment="1" applyProtection="1">
      <alignment horizontal="center" vertical="center" wrapText="1"/>
      <protection locked="0"/>
    </xf>
    <xf numFmtId="0" fontId="31" fillId="19" borderId="30" xfId="0" applyFont="1" applyFill="1" applyBorder="1" applyAlignment="1">
      <alignment horizontal="center" vertical="center" wrapText="1"/>
    </xf>
    <xf numFmtId="0" fontId="31" fillId="19" borderId="28" xfId="0" applyFont="1" applyFill="1" applyBorder="1" applyAlignment="1">
      <alignment horizontal="center" vertical="center" wrapText="1"/>
    </xf>
    <xf numFmtId="0" fontId="31" fillId="12" borderId="34" xfId="0" applyFont="1" applyFill="1" applyBorder="1" applyAlignment="1">
      <alignment horizontal="center" vertical="center" wrapText="1"/>
    </xf>
    <xf numFmtId="0" fontId="31" fillId="12" borderId="35" xfId="0" applyFont="1" applyFill="1" applyBorder="1" applyAlignment="1">
      <alignment horizontal="center" vertical="center" wrapText="1"/>
    </xf>
    <xf numFmtId="0" fontId="72" fillId="19" borderId="0" xfId="1" quotePrefix="1" applyFont="1" applyFill="1" applyAlignment="1">
      <alignment horizontal="center" vertical="center" wrapText="1"/>
    </xf>
    <xf numFmtId="0" fontId="42" fillId="19" borderId="0" xfId="1" quotePrefix="1" applyFont="1" applyFill="1" applyAlignment="1">
      <alignment horizontal="center" vertical="center" wrapText="1"/>
    </xf>
    <xf numFmtId="0" fontId="30" fillId="0" borderId="34" xfId="0" applyFont="1" applyBorder="1" applyAlignment="1">
      <alignment horizontal="center" vertical="center" wrapText="1"/>
    </xf>
    <xf numFmtId="0" fontId="1" fillId="24" borderId="59" xfId="1" applyFont="1" applyFill="1" applyBorder="1" applyAlignment="1">
      <alignment horizontal="center" vertical="center" wrapText="1"/>
    </xf>
    <xf numFmtId="164" fontId="30" fillId="11" borderId="59" xfId="1" applyNumberFormat="1" applyFont="1" applyFill="1" applyBorder="1" applyAlignment="1">
      <alignment horizontal="center" vertical="center" wrapText="1"/>
    </xf>
    <xf numFmtId="0" fontId="30" fillId="12" borderId="59" xfId="0" applyFont="1" applyFill="1" applyBorder="1" applyAlignment="1">
      <alignment horizontal="center" vertical="center" wrapText="1"/>
    </xf>
    <xf numFmtId="164" fontId="31" fillId="20" borderId="34" xfId="1" applyNumberFormat="1" applyFont="1" applyFill="1" applyBorder="1" applyAlignment="1">
      <alignment horizontal="center" vertical="center" wrapText="1"/>
    </xf>
    <xf numFmtId="164" fontId="31" fillId="20" borderId="35" xfId="1" applyNumberFormat="1" applyFont="1" applyFill="1" applyBorder="1" applyAlignment="1">
      <alignment horizontal="center" vertical="center" wrapText="1"/>
    </xf>
    <xf numFmtId="0" fontId="30" fillId="12" borderId="33" xfId="0" applyFont="1" applyFill="1" applyBorder="1" applyAlignment="1">
      <alignment horizontal="center" vertical="center" wrapText="1"/>
    </xf>
    <xf numFmtId="0" fontId="76" fillId="21" borderId="0" xfId="0" applyFont="1" applyFill="1" applyAlignment="1">
      <alignment horizontal="left" vertical="center" wrapText="1"/>
    </xf>
    <xf numFmtId="0" fontId="29" fillId="0" borderId="17" xfId="1" applyFont="1" applyBorder="1" applyAlignment="1">
      <alignment horizontal="center" vertical="center" wrapText="1"/>
    </xf>
    <xf numFmtId="0" fontId="29" fillId="0" borderId="18" xfId="1" applyFont="1" applyBorder="1" applyAlignment="1">
      <alignment horizontal="center" vertical="center" wrapText="1"/>
    </xf>
    <xf numFmtId="3" fontId="30" fillId="9" borderId="23" xfId="1" applyNumberFormat="1" applyFont="1" applyFill="1" applyBorder="1" applyAlignment="1" applyProtection="1">
      <alignment horizontal="center" vertical="center" wrapText="1"/>
      <protection locked="0"/>
    </xf>
    <xf numFmtId="3" fontId="30" fillId="9" borderId="24" xfId="1" applyNumberFormat="1" applyFont="1" applyFill="1" applyBorder="1" applyAlignment="1" applyProtection="1">
      <alignment horizontal="center" vertical="center" wrapText="1"/>
      <protection locked="0"/>
    </xf>
    <xf numFmtId="164" fontId="30" fillId="11" borderId="23" xfId="2" applyNumberFormat="1" applyFont="1" applyFill="1" applyBorder="1" applyAlignment="1" applyProtection="1">
      <alignment horizontal="center" vertical="center" wrapText="1"/>
    </xf>
    <xf numFmtId="164" fontId="30" fillId="11" borderId="24" xfId="2" applyNumberFormat="1" applyFont="1" applyFill="1" applyBorder="1" applyAlignment="1" applyProtection="1">
      <alignment horizontal="center" vertical="center" wrapText="1"/>
    </xf>
    <xf numFmtId="0" fontId="30" fillId="21" borderId="19" xfId="0" applyFont="1" applyFill="1" applyBorder="1" applyAlignment="1">
      <alignment horizontal="center" vertical="center" wrapText="1"/>
    </xf>
    <xf numFmtId="0" fontId="30" fillId="21" borderId="30" xfId="0" applyFont="1" applyFill="1" applyBorder="1" applyAlignment="1">
      <alignment horizontal="center" vertical="center" wrapText="1"/>
    </xf>
    <xf numFmtId="0" fontId="30" fillId="21" borderId="20" xfId="0" applyFont="1" applyFill="1" applyBorder="1" applyAlignment="1">
      <alignment horizontal="center" vertical="center" wrapText="1"/>
    </xf>
    <xf numFmtId="0" fontId="30" fillId="21" borderId="21" xfId="0" applyFont="1" applyFill="1" applyBorder="1" applyAlignment="1">
      <alignment horizontal="center" vertical="center" wrapText="1"/>
    </xf>
    <xf numFmtId="0" fontId="30" fillId="21" borderId="28" xfId="0" applyFont="1" applyFill="1" applyBorder="1" applyAlignment="1">
      <alignment horizontal="center" vertical="center" wrapText="1"/>
    </xf>
    <xf numFmtId="0" fontId="30" fillId="21" borderId="22" xfId="0" applyFont="1" applyFill="1" applyBorder="1" applyAlignment="1">
      <alignment horizontal="center" vertical="center" wrapText="1"/>
    </xf>
    <xf numFmtId="164" fontId="30" fillId="11" borderId="34" xfId="1" applyNumberFormat="1" applyFont="1" applyFill="1" applyBorder="1" applyAlignment="1">
      <alignment horizontal="center" vertical="center" wrapText="1"/>
    </xf>
    <xf numFmtId="164" fontId="30" fillId="11" borderId="21" xfId="1" applyNumberFormat="1" applyFont="1" applyFill="1" applyBorder="1" applyAlignment="1">
      <alignment horizontal="center" vertical="center" wrapText="1"/>
    </xf>
    <xf numFmtId="0" fontId="61" fillId="24" borderId="59" xfId="1" applyFont="1" applyFill="1" applyBorder="1" applyAlignment="1">
      <alignment horizontal="center" vertical="center" wrapText="1"/>
    </xf>
    <xf numFmtId="164" fontId="62" fillId="11" borderId="59" xfId="1" applyNumberFormat="1" applyFont="1" applyFill="1" applyBorder="1" applyAlignment="1">
      <alignment horizontal="center" vertical="center" wrapText="1"/>
    </xf>
    <xf numFmtId="4" fontId="65" fillId="11" borderId="23" xfId="1" applyNumberFormat="1" applyFont="1" applyFill="1" applyBorder="1" applyAlignment="1" applyProtection="1">
      <alignment horizontal="center" vertical="center" wrapText="1"/>
      <protection locked="0"/>
    </xf>
    <xf numFmtId="4" fontId="65" fillId="11" borderId="24" xfId="1" applyNumberFormat="1" applyFont="1" applyFill="1" applyBorder="1" applyAlignment="1" applyProtection="1">
      <alignment horizontal="center" vertical="center" wrapText="1"/>
      <protection locked="0"/>
    </xf>
    <xf numFmtId="0" fontId="18" fillId="6" borderId="0" xfId="1" applyFont="1" applyFill="1" applyAlignment="1">
      <alignment horizontal="left" vertical="center" wrapText="1"/>
    </xf>
    <xf numFmtId="0" fontId="30" fillId="22" borderId="17" xfId="0" applyFont="1" applyFill="1" applyBorder="1" applyAlignment="1">
      <alignment horizontal="center" vertical="center" wrapText="1"/>
    </xf>
    <xf numFmtId="0" fontId="30" fillId="22" borderId="33" xfId="0" applyFont="1" applyFill="1" applyBorder="1" applyAlignment="1">
      <alignment horizontal="center" vertical="center" wrapText="1"/>
    </xf>
    <xf numFmtId="0" fontId="30" fillId="22" borderId="18" xfId="0" applyFont="1" applyFill="1" applyBorder="1" applyAlignment="1">
      <alignment horizontal="center" vertical="center" wrapText="1"/>
    </xf>
    <xf numFmtId="0" fontId="57" fillId="19" borderId="0" xfId="1" applyFont="1" applyFill="1" applyAlignment="1">
      <alignment horizontal="left" vertical="top" wrapText="1"/>
    </xf>
    <xf numFmtId="0" fontId="26" fillId="19" borderId="0" xfId="1" applyFont="1" applyFill="1" applyAlignment="1">
      <alignment horizontal="left" vertical="top" wrapText="1"/>
    </xf>
    <xf numFmtId="0" fontId="42" fillId="23" borderId="0" xfId="1" applyFont="1" applyFill="1" applyAlignment="1">
      <alignment horizontal="left" vertical="center" wrapText="1"/>
    </xf>
    <xf numFmtId="0" fontId="42" fillId="13" borderId="0" xfId="1" applyFont="1" applyFill="1" applyAlignment="1">
      <alignment horizontal="center" vertical="center" wrapText="1"/>
    </xf>
    <xf numFmtId="0" fontId="26" fillId="13" borderId="0" xfId="1" applyFont="1" applyFill="1" applyAlignment="1">
      <alignment horizontal="left" vertical="center" wrapText="1"/>
    </xf>
    <xf numFmtId="0" fontId="36" fillId="6" borderId="0" xfId="1" applyFont="1" applyFill="1" applyAlignment="1">
      <alignment horizontal="left" vertical="center"/>
    </xf>
    <xf numFmtId="0" fontId="18" fillId="28" borderId="0" xfId="1" applyFont="1" applyFill="1" applyAlignment="1">
      <alignment horizontal="left" vertical="center" wrapText="1"/>
    </xf>
    <xf numFmtId="0" fontId="40" fillId="12" borderId="23" xfId="1" applyFont="1" applyFill="1" applyBorder="1" applyAlignment="1">
      <alignment horizontal="center" vertical="center" wrapText="1"/>
    </xf>
    <xf numFmtId="0" fontId="40" fillId="12" borderId="36" xfId="1" applyFont="1" applyFill="1" applyBorder="1" applyAlignment="1">
      <alignment horizontal="center" vertical="center" wrapText="1"/>
    </xf>
    <xf numFmtId="0" fontId="40" fillId="12" borderId="24" xfId="1" applyFont="1" applyFill="1" applyBorder="1" applyAlignment="1">
      <alignment horizontal="center" vertical="center" wrapText="1"/>
    </xf>
    <xf numFmtId="4" fontId="30" fillId="11" borderId="15" xfId="1" applyNumberFormat="1" applyFont="1" applyFill="1" applyBorder="1" applyAlignment="1">
      <alignment horizontal="center" vertical="center" wrapText="1"/>
    </xf>
    <xf numFmtId="0" fontId="18" fillId="25" borderId="0" xfId="1" applyFont="1" applyFill="1" applyAlignment="1">
      <alignment horizontal="left" vertical="center" wrapText="1"/>
    </xf>
    <xf numFmtId="0" fontId="29" fillId="0" borderId="33" xfId="1" applyFont="1" applyBorder="1" applyAlignment="1">
      <alignment horizontal="center" vertical="center" wrapText="1"/>
    </xf>
    <xf numFmtId="0" fontId="29" fillId="0" borderId="19" xfId="1" applyFont="1" applyBorder="1" applyAlignment="1">
      <alignment horizontal="center" vertical="center" wrapText="1"/>
    </xf>
    <xf numFmtId="0" fontId="29" fillId="0" borderId="20" xfId="1" applyFont="1" applyBorder="1" applyAlignment="1">
      <alignment horizontal="center" vertical="center" wrapText="1"/>
    </xf>
    <xf numFmtId="0" fontId="29" fillId="0" borderId="21" xfId="1" applyFont="1" applyBorder="1" applyAlignment="1">
      <alignment horizontal="center" vertical="center" wrapText="1"/>
    </xf>
    <xf numFmtId="0" fontId="29" fillId="0" borderId="22" xfId="1" applyFont="1" applyBorder="1" applyAlignment="1">
      <alignment horizontal="center" vertical="center" wrapText="1"/>
    </xf>
    <xf numFmtId="10" fontId="12" fillId="12" borderId="19" xfId="2" applyNumberFormat="1" applyFont="1" applyFill="1" applyBorder="1" applyAlignment="1" applyProtection="1">
      <alignment horizontal="center" vertical="center" wrapText="1"/>
    </xf>
    <xf numFmtId="10" fontId="12" fillId="12" borderId="20" xfId="2" applyNumberFormat="1" applyFont="1" applyFill="1" applyBorder="1" applyAlignment="1" applyProtection="1">
      <alignment horizontal="center" vertical="center" wrapText="1"/>
    </xf>
    <xf numFmtId="10" fontId="12" fillId="12" borderId="34" xfId="2" applyNumberFormat="1" applyFont="1" applyFill="1" applyBorder="1" applyAlignment="1" applyProtection="1">
      <alignment horizontal="center" vertical="center" wrapText="1"/>
    </xf>
    <xf numFmtId="10" fontId="12" fillId="12" borderId="35" xfId="2" applyNumberFormat="1" applyFont="1" applyFill="1" applyBorder="1" applyAlignment="1" applyProtection="1">
      <alignment horizontal="center" vertical="center" wrapText="1"/>
    </xf>
    <xf numFmtId="10" fontId="12" fillId="12" borderId="21" xfId="2" applyNumberFormat="1" applyFont="1" applyFill="1" applyBorder="1" applyAlignment="1" applyProtection="1">
      <alignment horizontal="center" vertical="center" wrapText="1"/>
    </xf>
    <xf numFmtId="10" fontId="12" fillId="12" borderId="22" xfId="2" applyNumberFormat="1" applyFont="1" applyFill="1" applyBorder="1" applyAlignment="1" applyProtection="1">
      <alignment horizontal="center" vertical="center" wrapText="1"/>
    </xf>
    <xf numFmtId="0" fontId="29" fillId="0" borderId="45" xfId="1" applyFont="1" applyBorder="1" applyAlignment="1">
      <alignment horizontal="center" vertical="center" wrapText="1"/>
    </xf>
    <xf numFmtId="0" fontId="29" fillId="0" borderId="46" xfId="1" applyFont="1" applyBorder="1" applyAlignment="1">
      <alignment horizontal="center" vertical="center" wrapText="1"/>
    </xf>
    <xf numFmtId="0" fontId="40" fillId="12" borderId="19" xfId="1" applyFont="1" applyFill="1" applyBorder="1" applyAlignment="1">
      <alignment horizontal="center" vertical="center" wrapText="1"/>
    </xf>
    <xf numFmtId="0" fontId="40" fillId="12" borderId="34" xfId="1" applyFont="1" applyFill="1" applyBorder="1" applyAlignment="1">
      <alignment horizontal="center" vertical="center" wrapText="1"/>
    </xf>
    <xf numFmtId="0" fontId="40" fillId="12" borderId="21" xfId="1" applyFont="1" applyFill="1" applyBorder="1" applyAlignment="1">
      <alignment horizontal="center" vertical="center" wrapText="1"/>
    </xf>
    <xf numFmtId="4" fontId="30" fillId="11" borderId="71" xfId="1" applyNumberFormat="1" applyFont="1" applyFill="1" applyBorder="1" applyAlignment="1">
      <alignment horizontal="center" vertical="center" wrapText="1"/>
    </xf>
    <xf numFmtId="0" fontId="29" fillId="0" borderId="15" xfId="1" applyFont="1" applyBorder="1" applyAlignment="1">
      <alignment horizontal="center" vertical="center" wrapText="1"/>
    </xf>
    <xf numFmtId="0" fontId="40" fillId="12" borderId="15" xfId="1" applyFont="1" applyFill="1" applyBorder="1" applyAlignment="1">
      <alignment horizontal="center" vertical="center" wrapText="1"/>
    </xf>
    <xf numFmtId="0" fontId="29" fillId="0" borderId="51" xfId="1" applyFont="1" applyBorder="1" applyAlignment="1">
      <alignment horizontal="center" vertical="center" wrapText="1"/>
    </xf>
    <xf numFmtId="0" fontId="40" fillId="27" borderId="51" xfId="4" applyFont="1" applyBorder="1" applyAlignment="1" applyProtection="1">
      <alignment horizontal="center" vertical="center" wrapText="1"/>
    </xf>
    <xf numFmtId="0" fontId="26" fillId="12" borderId="0" xfId="1" applyFont="1" applyFill="1" applyAlignment="1">
      <alignment horizontal="center" vertical="center" wrapText="1"/>
    </xf>
    <xf numFmtId="0" fontId="98" fillId="13" borderId="0" xfId="1" applyFont="1" applyFill="1" applyAlignment="1">
      <alignment horizontal="center" vertical="center" wrapText="1"/>
    </xf>
    <xf numFmtId="0" fontId="26" fillId="13" borderId="0" xfId="1" applyFont="1" applyFill="1" applyAlignment="1">
      <alignment horizontal="center" vertical="center" wrapText="1"/>
    </xf>
    <xf numFmtId="4" fontId="30" fillId="0" borderId="71" xfId="1" applyNumberFormat="1" applyFont="1" applyBorder="1" applyAlignment="1">
      <alignment horizontal="center" vertical="center" wrapText="1"/>
    </xf>
    <xf numFmtId="4" fontId="30" fillId="0" borderId="24" xfId="1" applyNumberFormat="1" applyFont="1" applyBorder="1" applyAlignment="1">
      <alignment horizontal="center" vertical="center" wrapText="1"/>
    </xf>
    <xf numFmtId="0" fontId="5" fillId="12" borderId="23" xfId="1" applyFont="1" applyFill="1" applyBorder="1" applyAlignment="1">
      <alignment horizontal="center" vertical="center"/>
    </xf>
    <xf numFmtId="0" fontId="5" fillId="12" borderId="36" xfId="1" applyFont="1" applyFill="1" applyBorder="1" applyAlignment="1">
      <alignment horizontal="center" vertical="center"/>
    </xf>
    <xf numFmtId="0" fontId="5" fillId="12" borderId="24" xfId="1" applyFont="1" applyFill="1" applyBorder="1" applyAlignment="1">
      <alignment horizontal="center" vertical="center"/>
    </xf>
    <xf numFmtId="10" fontId="30" fillId="11" borderId="15" xfId="2" applyNumberFormat="1" applyFont="1" applyFill="1" applyBorder="1" applyAlignment="1" applyProtection="1">
      <alignment horizontal="center" vertical="center" wrapText="1"/>
    </xf>
    <xf numFmtId="0" fontId="12" fillId="0" borderId="15" xfId="1" applyFont="1" applyBorder="1" applyAlignment="1">
      <alignment horizontal="center" vertical="center" wrapText="1"/>
    </xf>
    <xf numFmtId="0" fontId="37" fillId="0" borderId="17" xfId="1" applyFont="1" applyBorder="1" applyAlignment="1">
      <alignment horizontal="center" vertical="center"/>
    </xf>
    <xf numFmtId="0" fontId="37" fillId="0" borderId="18" xfId="1" applyFont="1" applyBorder="1" applyAlignment="1">
      <alignment horizontal="center" vertical="center"/>
    </xf>
    <xf numFmtId="0" fontId="12" fillId="15" borderId="15" xfId="1" applyFont="1" applyFill="1" applyBorder="1" applyAlignment="1">
      <alignment horizontal="center" vertical="center" wrapText="1"/>
    </xf>
    <xf numFmtId="0" fontId="30" fillId="11" borderId="23" xfId="3" applyNumberFormat="1" applyFont="1" applyFill="1" applyBorder="1" applyAlignment="1" applyProtection="1">
      <alignment horizontal="center" vertical="center" wrapText="1"/>
    </xf>
    <xf numFmtId="0" fontId="30" fillId="11" borderId="36" xfId="3" applyNumberFormat="1" applyFont="1" applyFill="1" applyBorder="1" applyAlignment="1" applyProtection="1">
      <alignment horizontal="center" vertical="center" wrapText="1"/>
    </xf>
    <xf numFmtId="0" fontId="30" fillId="11" borderId="24" xfId="3" applyNumberFormat="1" applyFont="1" applyFill="1" applyBorder="1" applyAlignment="1" applyProtection="1">
      <alignment horizontal="center" vertical="center" wrapText="1"/>
    </xf>
    <xf numFmtId="10" fontId="12" fillId="0" borderId="5" xfId="2" applyNumberFormat="1" applyFont="1" applyFill="1" applyBorder="1" applyAlignment="1" applyProtection="1">
      <alignment horizontal="center" vertical="center" wrapText="1"/>
    </xf>
    <xf numFmtId="10" fontId="12" fillId="0" borderId="6" xfId="2" applyNumberFormat="1" applyFont="1" applyFill="1" applyBorder="1" applyAlignment="1" applyProtection="1">
      <alignment horizontal="center" vertical="center" wrapText="1"/>
    </xf>
    <xf numFmtId="10" fontId="12" fillId="0" borderId="7" xfId="2" applyNumberFormat="1" applyFont="1" applyFill="1" applyBorder="1" applyAlignment="1" applyProtection="1">
      <alignment horizontal="center" vertical="center" wrapText="1"/>
    </xf>
    <xf numFmtId="0" fontId="63" fillId="18" borderId="15" xfId="1" applyFont="1" applyFill="1" applyBorder="1" applyAlignment="1" applyProtection="1">
      <alignment horizontal="center" vertical="center"/>
      <protection locked="0"/>
    </xf>
    <xf numFmtId="10" fontId="1" fillId="18" borderId="15" xfId="2" applyNumberFormat="1" applyFont="1" applyFill="1" applyBorder="1" applyAlignment="1" applyProtection="1">
      <alignment horizontal="center" vertical="center" wrapText="1"/>
      <protection locked="0"/>
    </xf>
    <xf numFmtId="0" fontId="40" fillId="12" borderId="20" xfId="1" applyFont="1" applyFill="1" applyBorder="1" applyAlignment="1">
      <alignment horizontal="center" vertical="center" wrapText="1"/>
    </xf>
    <xf numFmtId="0" fontId="40" fillId="12" borderId="22" xfId="1" applyFont="1" applyFill="1" applyBorder="1" applyAlignment="1">
      <alignment horizontal="center" vertical="center" wrapText="1"/>
    </xf>
    <xf numFmtId="0" fontId="29" fillId="0" borderId="15" xfId="0" applyFont="1" applyBorder="1" applyAlignment="1">
      <alignment horizontal="center" vertical="center" wrapText="1"/>
    </xf>
    <xf numFmtId="0" fontId="29" fillId="12" borderId="45" xfId="1" applyFont="1" applyFill="1" applyBorder="1" applyAlignment="1">
      <alignment horizontal="center" vertical="center" wrapText="1"/>
    </xf>
    <xf numFmtId="0" fontId="29" fillId="12" borderId="46" xfId="1" applyFont="1" applyFill="1" applyBorder="1" applyAlignment="1">
      <alignment horizontal="center" vertical="center" wrapText="1"/>
    </xf>
    <xf numFmtId="0" fontId="30" fillId="7" borderId="15" xfId="3" applyNumberFormat="1" applyFont="1" applyFill="1" applyBorder="1" applyAlignment="1" applyProtection="1">
      <alignment horizontal="center" vertical="center" wrapText="1"/>
      <protection locked="0"/>
    </xf>
    <xf numFmtId="0" fontId="37" fillId="0" borderId="15" xfId="1" applyFont="1" applyBorder="1" applyAlignment="1">
      <alignment horizontal="center" vertical="center"/>
    </xf>
    <xf numFmtId="0" fontId="26" fillId="12" borderId="0" xfId="1" applyFont="1" applyFill="1" applyAlignment="1">
      <alignment horizontal="left" vertical="center" wrapText="1"/>
    </xf>
    <xf numFmtId="0" fontId="29" fillId="12" borderId="51" xfId="1" applyFont="1" applyFill="1" applyBorder="1" applyAlignment="1">
      <alignment horizontal="center" vertical="center" wrapText="1"/>
    </xf>
    <xf numFmtId="0" fontId="29" fillId="12" borderId="55" xfId="1" applyFont="1" applyFill="1" applyBorder="1" applyAlignment="1">
      <alignment horizontal="center" vertical="center" wrapText="1"/>
    </xf>
    <xf numFmtId="0" fontId="29" fillId="0" borderId="51" xfId="0" applyFont="1" applyBorder="1" applyAlignment="1">
      <alignment horizontal="center" vertical="center" wrapText="1"/>
    </xf>
    <xf numFmtId="0" fontId="29" fillId="0" borderId="55" xfId="0" applyFont="1" applyBorder="1" applyAlignment="1">
      <alignment horizontal="center" vertical="center" wrapText="1"/>
    </xf>
    <xf numFmtId="0" fontId="29" fillId="0" borderId="1" xfId="1" applyFont="1" applyBorder="1" applyAlignment="1">
      <alignment horizontal="center" vertical="center" wrapText="1"/>
    </xf>
    <xf numFmtId="0" fontId="29" fillId="12" borderId="56" xfId="1" applyFont="1" applyFill="1" applyBorder="1" applyAlignment="1">
      <alignment horizontal="center" vertical="center" wrapText="1"/>
    </xf>
    <xf numFmtId="0" fontId="29" fillId="12" borderId="1" xfId="1" applyFont="1" applyFill="1" applyBorder="1" applyAlignment="1">
      <alignment horizontal="center" vertical="center" wrapText="1"/>
    </xf>
    <xf numFmtId="0" fontId="74" fillId="0" borderId="23" xfId="1" applyFont="1" applyBorder="1" applyAlignment="1">
      <alignment horizontal="center" vertical="center" wrapText="1"/>
    </xf>
    <xf numFmtId="0" fontId="77" fillId="0" borderId="23" xfId="1" applyFont="1" applyBorder="1" applyAlignment="1">
      <alignment horizontal="center" vertical="center" wrapText="1"/>
    </xf>
    <xf numFmtId="0" fontId="12" fillId="15" borderId="17" xfId="1" applyFont="1" applyFill="1" applyBorder="1" applyAlignment="1">
      <alignment horizontal="center" vertical="center" wrapText="1"/>
    </xf>
    <xf numFmtId="0" fontId="74" fillId="0" borderId="15" xfId="1" applyFont="1" applyBorder="1" applyAlignment="1">
      <alignment horizontal="center" vertical="center" wrapText="1"/>
    </xf>
    <xf numFmtId="0" fontId="77" fillId="0" borderId="15" xfId="1" applyFont="1" applyBorder="1" applyAlignment="1">
      <alignment horizontal="center" vertical="center" wrapText="1"/>
    </xf>
    <xf numFmtId="0" fontId="12" fillId="15" borderId="23" xfId="1" applyFont="1" applyFill="1" applyBorder="1" applyAlignment="1">
      <alignment horizontal="center" vertical="center" wrapText="1"/>
    </xf>
    <xf numFmtId="0" fontId="12" fillId="15" borderId="36" xfId="1" applyFont="1" applyFill="1" applyBorder="1" applyAlignment="1">
      <alignment horizontal="center" vertical="center" wrapText="1"/>
    </xf>
    <xf numFmtId="0" fontId="12" fillId="15" borderId="24" xfId="1" applyFont="1" applyFill="1" applyBorder="1" applyAlignment="1">
      <alignment horizontal="center" vertical="center" wrapText="1"/>
    </xf>
    <xf numFmtId="10" fontId="12" fillId="0" borderId="15" xfId="2" applyNumberFormat="1" applyFont="1" applyFill="1" applyBorder="1" applyAlignment="1" applyProtection="1">
      <alignment horizontal="center" vertical="center" wrapText="1"/>
    </xf>
    <xf numFmtId="0" fontId="29" fillId="0" borderId="58" xfId="0" applyFont="1" applyBorder="1" applyAlignment="1">
      <alignment horizontal="center" vertical="center" wrapText="1"/>
    </xf>
    <xf numFmtId="0" fontId="29" fillId="0" borderId="57" xfId="0" applyFont="1" applyBorder="1" applyAlignment="1">
      <alignment horizontal="center" vertical="center" wrapText="1"/>
    </xf>
    <xf numFmtId="0" fontId="37" fillId="0" borderId="51" xfId="1" applyFont="1" applyBorder="1" applyAlignment="1">
      <alignment horizontal="center" vertical="center"/>
    </xf>
    <xf numFmtId="4" fontId="30" fillId="11" borderId="44" xfId="1" applyNumberFormat="1" applyFont="1" applyFill="1" applyBorder="1" applyAlignment="1">
      <alignment horizontal="center" vertical="center" wrapText="1"/>
    </xf>
    <xf numFmtId="4" fontId="30" fillId="11" borderId="41" xfId="1" applyNumberFormat="1" applyFont="1" applyFill="1" applyBorder="1" applyAlignment="1">
      <alignment horizontal="center" vertical="center" wrapText="1"/>
    </xf>
    <xf numFmtId="4" fontId="30" fillId="11" borderId="42" xfId="1" applyNumberFormat="1" applyFont="1" applyFill="1" applyBorder="1" applyAlignment="1">
      <alignment horizontal="center" vertical="center" wrapText="1"/>
    </xf>
    <xf numFmtId="4" fontId="30" fillId="11" borderId="7" xfId="1" applyNumberFormat="1" applyFont="1" applyFill="1" applyBorder="1" applyAlignment="1">
      <alignment horizontal="center" vertical="center" wrapText="1"/>
    </xf>
    <xf numFmtId="0" fontId="30" fillId="7" borderId="54" xfId="3" applyNumberFormat="1" applyFont="1" applyFill="1" applyBorder="1" applyAlignment="1" applyProtection="1">
      <alignment horizontal="center" vertical="center" wrapText="1"/>
      <protection locked="0"/>
    </xf>
    <xf numFmtId="0" fontId="30" fillId="7" borderId="44" xfId="3" applyNumberFormat="1" applyFont="1" applyFill="1" applyBorder="1" applyAlignment="1" applyProtection="1">
      <alignment horizontal="center" vertical="center" wrapText="1"/>
      <protection locked="0"/>
    </xf>
    <xf numFmtId="0" fontId="30" fillId="7" borderId="41" xfId="3" applyNumberFormat="1" applyFont="1" applyFill="1" applyBorder="1" applyAlignment="1" applyProtection="1">
      <alignment horizontal="center" vertical="center" wrapText="1"/>
      <protection locked="0"/>
    </xf>
    <xf numFmtId="0" fontId="63" fillId="18" borderId="5" xfId="1" applyFont="1" applyFill="1" applyBorder="1" applyAlignment="1" applyProtection="1">
      <alignment horizontal="center" vertical="center"/>
      <protection locked="0"/>
    </xf>
    <xf numFmtId="0" fontId="63" fillId="18" borderId="6" xfId="1" applyFont="1" applyFill="1" applyBorder="1" applyAlignment="1" applyProtection="1">
      <alignment horizontal="center" vertical="center"/>
      <protection locked="0"/>
    </xf>
    <xf numFmtId="0" fontId="63" fillId="18" borderId="7" xfId="1" applyFont="1" applyFill="1" applyBorder="1" applyAlignment="1" applyProtection="1">
      <alignment horizontal="center" vertical="center"/>
      <protection locked="0"/>
    </xf>
    <xf numFmtId="10" fontId="30" fillId="7" borderId="43" xfId="2" applyNumberFormat="1" applyFont="1" applyFill="1" applyBorder="1" applyAlignment="1" applyProtection="1">
      <alignment horizontal="center" vertical="center" wrapText="1"/>
      <protection locked="0"/>
    </xf>
    <xf numFmtId="10" fontId="30" fillId="7" borderId="44" xfId="2" applyNumberFormat="1" applyFont="1" applyFill="1" applyBorder="1" applyAlignment="1" applyProtection="1">
      <alignment horizontal="center" vertical="center" wrapText="1"/>
      <protection locked="0"/>
    </xf>
    <xf numFmtId="10" fontId="30" fillId="7" borderId="41" xfId="2" applyNumberFormat="1" applyFont="1" applyFill="1" applyBorder="1" applyAlignment="1" applyProtection="1">
      <alignment horizontal="center" vertical="center" wrapText="1"/>
      <protection locked="0"/>
    </xf>
    <xf numFmtId="0" fontId="12" fillId="0" borderId="47" xfId="1" applyFont="1" applyBorder="1" applyAlignment="1">
      <alignment horizontal="center" vertical="center" wrapText="1"/>
    </xf>
    <xf numFmtId="0" fontId="12" fillId="0" borderId="37" xfId="1" applyFont="1" applyBorder="1" applyAlignment="1">
      <alignment horizontal="center" vertical="center" wrapText="1"/>
    </xf>
    <xf numFmtId="0" fontId="12" fillId="0" borderId="38" xfId="1" applyFont="1" applyBorder="1" applyAlignment="1">
      <alignment horizontal="center" vertical="center" wrapText="1"/>
    </xf>
    <xf numFmtId="0" fontId="37" fillId="0" borderId="58" xfId="1" applyFont="1" applyBorder="1" applyAlignment="1">
      <alignment horizontal="center" vertical="center"/>
    </xf>
    <xf numFmtId="0" fontId="12" fillId="2" borderId="15" xfId="1" applyFont="1" applyFill="1" applyBorder="1" applyAlignment="1">
      <alignment horizontal="center" vertical="center" wrapText="1"/>
    </xf>
    <xf numFmtId="1" fontId="12" fillId="3" borderId="15" xfId="1" applyNumberFormat="1" applyFont="1" applyFill="1" applyBorder="1" applyAlignment="1" applyProtection="1">
      <alignment horizontal="center" vertical="center" wrapText="1"/>
      <protection locked="0"/>
    </xf>
    <xf numFmtId="0" fontId="37" fillId="0" borderId="15" xfId="1" applyFont="1" applyBorder="1" applyAlignment="1" applyProtection="1">
      <alignment vertical="center"/>
      <protection locked="0"/>
    </xf>
    <xf numFmtId="10" fontId="30" fillId="7" borderId="23" xfId="2" applyNumberFormat="1" applyFont="1" applyFill="1" applyBorder="1" applyAlignment="1" applyProtection="1">
      <alignment horizontal="center" vertical="center" wrapText="1"/>
      <protection locked="0"/>
    </xf>
    <xf numFmtId="10" fontId="30" fillId="7" borderId="36" xfId="2" applyNumberFormat="1" applyFont="1" applyFill="1" applyBorder="1" applyAlignment="1" applyProtection="1">
      <alignment horizontal="center" vertical="center" wrapText="1"/>
      <protection locked="0"/>
    </xf>
    <xf numFmtId="10" fontId="30" fillId="7" borderId="24" xfId="2" applyNumberFormat="1" applyFont="1" applyFill="1" applyBorder="1" applyAlignment="1" applyProtection="1">
      <alignment horizontal="center" vertical="center" wrapText="1"/>
      <protection locked="0"/>
    </xf>
    <xf numFmtId="0" fontId="29" fillId="0" borderId="53" xfId="1" applyFont="1" applyBorder="1" applyAlignment="1">
      <alignment horizontal="center" vertical="center" wrapText="1"/>
    </xf>
    <xf numFmtId="0" fontId="29" fillId="0" borderId="50" xfId="1" applyFont="1" applyBorder="1" applyAlignment="1">
      <alignment horizontal="center" vertical="center" wrapText="1"/>
    </xf>
    <xf numFmtId="0" fontId="29" fillId="0" borderId="34" xfId="1" applyFont="1" applyBorder="1" applyAlignment="1">
      <alignment horizontal="center" vertical="center" wrapText="1"/>
    </xf>
    <xf numFmtId="0" fontId="29" fillId="0" borderId="8" xfId="1" applyFont="1" applyBorder="1" applyAlignment="1">
      <alignment horizontal="center" vertical="center" wrapText="1"/>
    </xf>
    <xf numFmtId="0" fontId="29" fillId="0" borderId="50"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39" xfId="0" applyFont="1" applyBorder="1" applyAlignment="1">
      <alignment horizontal="center" vertical="center" wrapText="1"/>
    </xf>
    <xf numFmtId="0" fontId="29" fillId="12" borderId="40" xfId="1" applyFont="1" applyFill="1" applyBorder="1" applyAlignment="1">
      <alignment horizontal="center" vertical="center" wrapText="1"/>
    </xf>
    <xf numFmtId="0" fontId="29" fillId="12" borderId="11" xfId="1" applyFont="1" applyFill="1" applyBorder="1" applyAlignment="1">
      <alignment horizontal="center" vertical="center" wrapText="1"/>
    </xf>
    <xf numFmtId="0" fontId="74" fillId="0" borderId="45" xfId="1" applyFont="1" applyBorder="1" applyAlignment="1">
      <alignment horizontal="center" vertical="center" wrapText="1"/>
    </xf>
    <xf numFmtId="0" fontId="77" fillId="0" borderId="33" xfId="1" applyFont="1" applyBorder="1" applyAlignment="1">
      <alignment horizontal="center" vertical="center" wrapText="1"/>
    </xf>
    <xf numFmtId="0" fontId="77" fillId="0" borderId="46" xfId="1" applyFont="1" applyBorder="1" applyAlignment="1">
      <alignment horizontal="center" vertical="center" wrapText="1"/>
    </xf>
    <xf numFmtId="0" fontId="104" fillId="12" borderId="0" xfId="1" applyFont="1" applyFill="1" applyAlignment="1">
      <alignment horizontal="center" vertical="center"/>
    </xf>
    <xf numFmtId="10" fontId="1" fillId="12" borderId="68" xfId="2" applyNumberFormat="1" applyFont="1" applyFill="1" applyBorder="1" applyAlignment="1" applyProtection="1">
      <alignment horizontal="center" vertical="center"/>
    </xf>
    <xf numFmtId="10" fontId="1" fillId="12" borderId="69" xfId="2" applyNumberFormat="1" applyFont="1" applyFill="1" applyBorder="1" applyAlignment="1" applyProtection="1">
      <alignment horizontal="center" vertical="center"/>
    </xf>
    <xf numFmtId="10" fontId="1" fillId="12" borderId="70" xfId="2" applyNumberFormat="1" applyFont="1" applyFill="1" applyBorder="1" applyAlignment="1" applyProtection="1">
      <alignment horizontal="center" vertical="center"/>
    </xf>
    <xf numFmtId="0" fontId="29" fillId="12" borderId="61" xfId="1" applyFont="1" applyFill="1" applyBorder="1" applyAlignment="1">
      <alignment horizontal="center" vertical="center" wrapText="1"/>
    </xf>
    <xf numFmtId="10" fontId="30" fillId="7" borderId="68" xfId="2" applyNumberFormat="1" applyFont="1" applyFill="1" applyBorder="1" applyAlignment="1" applyProtection="1">
      <alignment horizontal="center" vertical="center" wrapText="1"/>
      <protection locked="0"/>
    </xf>
    <xf numFmtId="10" fontId="30" fillId="7" borderId="69" xfId="2" applyNumberFormat="1" applyFont="1" applyFill="1" applyBorder="1" applyAlignment="1" applyProtection="1">
      <alignment horizontal="center" vertical="center" wrapText="1"/>
      <protection locked="0"/>
    </xf>
    <xf numFmtId="10" fontId="30" fillId="7" borderId="101" xfId="2" applyNumberFormat="1" applyFont="1" applyFill="1" applyBorder="1" applyAlignment="1" applyProtection="1">
      <alignment horizontal="center" vertical="center" wrapText="1"/>
      <protection locked="0"/>
    </xf>
    <xf numFmtId="10" fontId="30" fillId="11" borderId="47" xfId="2" applyNumberFormat="1" applyFont="1" applyFill="1" applyBorder="1" applyAlignment="1" applyProtection="1">
      <alignment horizontal="center" vertical="center" wrapText="1"/>
    </xf>
    <xf numFmtId="10" fontId="30" fillId="11" borderId="37" xfId="2" applyNumberFormat="1" applyFont="1" applyFill="1" applyBorder="1" applyAlignment="1" applyProtection="1">
      <alignment horizontal="center" vertical="center" wrapText="1"/>
    </xf>
    <xf numFmtId="10" fontId="30" fillId="11" borderId="38" xfId="2" applyNumberFormat="1" applyFont="1" applyFill="1" applyBorder="1" applyAlignment="1" applyProtection="1">
      <alignment horizontal="center" vertical="center" wrapText="1"/>
    </xf>
    <xf numFmtId="0" fontId="12" fillId="0" borderId="5" xfId="1" applyFont="1" applyBorder="1" applyAlignment="1">
      <alignment horizontal="center" vertical="center" wrapText="1"/>
    </xf>
    <xf numFmtId="0" fontId="12" fillId="0" borderId="6" xfId="1" applyFont="1" applyBorder="1" applyAlignment="1">
      <alignment horizontal="center" vertical="center" wrapText="1"/>
    </xf>
    <xf numFmtId="0" fontId="12" fillId="0" borderId="7" xfId="1" applyFont="1" applyBorder="1" applyAlignment="1">
      <alignment horizontal="center" vertical="center" wrapText="1"/>
    </xf>
    <xf numFmtId="10" fontId="30" fillId="7" borderId="15" xfId="2" applyNumberFormat="1" applyFont="1" applyFill="1" applyBorder="1" applyAlignment="1" applyProtection="1">
      <alignment horizontal="center" vertical="center" wrapText="1"/>
      <protection locked="0"/>
    </xf>
    <xf numFmtId="0" fontId="72" fillId="0" borderId="61" xfId="1" applyFont="1" applyBorder="1" applyAlignment="1">
      <alignment horizontal="center" vertical="center" wrapText="1"/>
    </xf>
    <xf numFmtId="0" fontId="72" fillId="0" borderId="30" xfId="1" applyFont="1" applyBorder="1" applyAlignment="1">
      <alignment horizontal="center" vertical="center" wrapText="1"/>
    </xf>
    <xf numFmtId="0" fontId="72" fillId="0" borderId="20" xfId="1" applyFont="1" applyBorder="1" applyAlignment="1">
      <alignment horizontal="center" vertical="center" wrapText="1"/>
    </xf>
    <xf numFmtId="0" fontId="63" fillId="18" borderId="43" xfId="1" applyFont="1" applyFill="1" applyBorder="1" applyAlignment="1" applyProtection="1">
      <alignment horizontal="center" vertical="center"/>
      <protection locked="0"/>
    </xf>
    <xf numFmtId="0" fontId="63" fillId="18" borderId="44" xfId="1" applyFont="1" applyFill="1" applyBorder="1" applyAlignment="1" applyProtection="1">
      <alignment horizontal="center" vertical="center"/>
      <protection locked="0"/>
    </xf>
    <xf numFmtId="0" fontId="63" fillId="18" borderId="41" xfId="1" applyFont="1" applyFill="1" applyBorder="1" applyAlignment="1" applyProtection="1">
      <alignment horizontal="center" vertical="center"/>
      <protection locked="0"/>
    </xf>
    <xf numFmtId="0" fontId="29" fillId="0" borderId="23" xfId="1" applyFont="1" applyBorder="1" applyAlignment="1">
      <alignment horizontal="center" vertical="center" wrapText="1"/>
    </xf>
    <xf numFmtId="0" fontId="40" fillId="27" borderId="51" xfId="4" applyFont="1" applyBorder="1" applyAlignment="1">
      <alignment horizontal="center" vertical="center" wrapText="1"/>
    </xf>
    <xf numFmtId="0" fontId="43" fillId="12" borderId="0" xfId="1" applyFont="1" applyFill="1" applyAlignment="1">
      <alignment horizontal="left" vertical="center" wrapText="1"/>
    </xf>
    <xf numFmtId="0" fontId="106" fillId="16" borderId="0" xfId="1" applyFont="1" applyFill="1" applyAlignment="1">
      <alignment horizontal="center" vertical="center"/>
    </xf>
    <xf numFmtId="10" fontId="30" fillId="11" borderId="23" xfId="2" applyNumberFormat="1" applyFont="1" applyFill="1" applyBorder="1" applyAlignment="1" applyProtection="1">
      <alignment horizontal="center" vertical="center" wrapText="1"/>
    </xf>
    <xf numFmtId="10" fontId="30" fillId="11" borderId="36" xfId="2" applyNumberFormat="1" applyFont="1" applyFill="1" applyBorder="1" applyAlignment="1" applyProtection="1">
      <alignment horizontal="center" vertical="center" wrapText="1"/>
    </xf>
    <xf numFmtId="10" fontId="30" fillId="11" borderId="24" xfId="2" applyNumberFormat="1" applyFont="1" applyFill="1" applyBorder="1" applyAlignment="1" applyProtection="1">
      <alignment horizontal="center" vertical="center" wrapText="1"/>
    </xf>
    <xf numFmtId="0" fontId="72" fillId="0" borderId="45" xfId="1" applyFont="1" applyBorder="1" applyAlignment="1">
      <alignment horizontal="center" vertical="center" wrapText="1"/>
    </xf>
    <xf numFmtId="0" fontId="78" fillId="0" borderId="33" xfId="1" applyFont="1" applyBorder="1" applyAlignment="1">
      <alignment horizontal="center" vertical="center" wrapText="1"/>
    </xf>
    <xf numFmtId="0" fontId="78" fillId="0" borderId="46" xfId="1" applyFont="1" applyBorder="1" applyAlignment="1">
      <alignment horizontal="center" vertical="center" wrapText="1"/>
    </xf>
    <xf numFmtId="10" fontId="12" fillId="12" borderId="19" xfId="2" applyNumberFormat="1" applyFont="1" applyFill="1" applyBorder="1" applyAlignment="1">
      <alignment horizontal="center" vertical="center" wrapText="1"/>
    </xf>
    <xf numFmtId="10" fontId="12" fillId="12" borderId="20" xfId="2" applyNumberFormat="1" applyFont="1" applyFill="1" applyBorder="1" applyAlignment="1">
      <alignment horizontal="center" vertical="center" wrapText="1"/>
    </xf>
    <xf numFmtId="10" fontId="12" fillId="12" borderId="34" xfId="2" applyNumberFormat="1" applyFont="1" applyFill="1" applyBorder="1" applyAlignment="1">
      <alignment horizontal="center" vertical="center" wrapText="1"/>
    </xf>
    <xf numFmtId="10" fontId="12" fillId="12" borderId="35" xfId="2" applyNumberFormat="1" applyFont="1" applyFill="1" applyBorder="1" applyAlignment="1">
      <alignment horizontal="center" vertical="center" wrapText="1"/>
    </xf>
    <xf numFmtId="10" fontId="12" fillId="12" borderId="21" xfId="2" applyNumberFormat="1" applyFont="1" applyFill="1" applyBorder="1" applyAlignment="1">
      <alignment horizontal="center" vertical="center" wrapText="1"/>
    </xf>
    <xf numFmtId="10" fontId="12" fillId="12" borderId="22" xfId="2" applyNumberFormat="1" applyFont="1" applyFill="1" applyBorder="1" applyAlignment="1">
      <alignment horizontal="center" vertical="center" wrapText="1"/>
    </xf>
    <xf numFmtId="0" fontId="37" fillId="12" borderId="0" xfId="1" applyFont="1" applyFill="1" applyAlignment="1">
      <alignment horizontal="center" vertical="center"/>
    </xf>
    <xf numFmtId="0" fontId="138" fillId="12" borderId="0" xfId="0" applyFont="1" applyFill="1" applyAlignment="1">
      <alignment horizontal="left" wrapText="1"/>
    </xf>
    <xf numFmtId="0" fontId="23" fillId="0" borderId="23" xfId="0" applyFont="1" applyBorder="1" applyAlignment="1">
      <alignment horizontal="center" vertical="center" wrapText="1"/>
    </xf>
    <xf numFmtId="0" fontId="23" fillId="0" borderId="36" xfId="0" applyFont="1" applyBorder="1" applyAlignment="1">
      <alignment horizontal="center" vertical="center" wrapText="1"/>
    </xf>
    <xf numFmtId="0" fontId="23" fillId="0" borderId="24" xfId="0" applyFont="1" applyBorder="1" applyAlignment="1">
      <alignment horizontal="center" vertical="center" wrapText="1"/>
    </xf>
    <xf numFmtId="0" fontId="76" fillId="49" borderId="65" xfId="0" applyFont="1" applyFill="1" applyBorder="1" applyAlignment="1">
      <alignment horizontal="center" vertical="center" wrapText="1"/>
    </xf>
    <xf numFmtId="0" fontId="76" fillId="49" borderId="64" xfId="0" applyFont="1" applyFill="1" applyBorder="1" applyAlignment="1">
      <alignment horizontal="center" vertical="center" wrapText="1"/>
    </xf>
    <xf numFmtId="0" fontId="26" fillId="13" borderId="65" xfId="1" applyFont="1" applyFill="1" applyBorder="1" applyAlignment="1">
      <alignment horizontal="left" vertical="center" wrapText="1"/>
    </xf>
    <xf numFmtId="0" fontId="26" fillId="13" borderId="64" xfId="1" applyFont="1" applyFill="1" applyBorder="1" applyAlignment="1">
      <alignment horizontal="left" vertical="center" wrapText="1"/>
    </xf>
    <xf numFmtId="0" fontId="23" fillId="0" borderId="15" xfId="0" applyFont="1" applyBorder="1" applyAlignment="1">
      <alignment horizontal="center" vertical="center" wrapText="1"/>
    </xf>
    <xf numFmtId="0" fontId="130" fillId="12" borderId="0" xfId="10" applyFont="1" applyFill="1" applyAlignment="1">
      <alignment horizontal="left" vertical="center" wrapText="1"/>
    </xf>
    <xf numFmtId="0" fontId="129" fillId="12" borderId="81" xfId="10" applyFont="1" applyFill="1" applyBorder="1" applyAlignment="1" applyProtection="1">
      <alignment horizontal="left" vertical="center" wrapText="1"/>
      <protection hidden="1"/>
    </xf>
    <xf numFmtId="0" fontId="129" fillId="12" borderId="81" xfId="10" applyFont="1" applyFill="1" applyBorder="1" applyAlignment="1">
      <alignment horizontal="left" vertical="center" wrapText="1"/>
    </xf>
    <xf numFmtId="0" fontId="128" fillId="12" borderId="81" xfId="10" applyFont="1" applyFill="1" applyBorder="1" applyAlignment="1">
      <alignment horizontal="left" vertical="center" wrapText="1"/>
    </xf>
    <xf numFmtId="0" fontId="129" fillId="12" borderId="81" xfId="10" applyFont="1" applyFill="1" applyBorder="1" applyAlignment="1">
      <alignment horizontal="center" vertical="center" wrapText="1"/>
    </xf>
    <xf numFmtId="0" fontId="81" fillId="12" borderId="0" xfId="5" applyFont="1" applyFill="1" applyAlignment="1">
      <alignment horizontal="left" vertical="center" wrapText="1" indent="28"/>
    </xf>
    <xf numFmtId="0" fontId="98" fillId="19" borderId="0" xfId="10" applyFont="1" applyFill="1" applyAlignment="1">
      <alignment horizontal="left" vertical="center" wrapText="1"/>
    </xf>
    <xf numFmtId="0" fontId="127" fillId="12" borderId="0" xfId="10" applyFont="1" applyFill="1" applyAlignment="1">
      <alignment horizontal="left" vertical="center" wrapText="1"/>
    </xf>
    <xf numFmtId="0" fontId="127" fillId="38" borderId="0" xfId="0" applyFont="1" applyFill="1" applyAlignment="1">
      <alignment horizontal="left" vertical="center" wrapText="1"/>
    </xf>
    <xf numFmtId="0" fontId="63" fillId="12" borderId="0" xfId="10" applyFont="1" applyFill="1" applyAlignment="1">
      <alignment horizontal="center" vertical="center" wrapText="1"/>
    </xf>
    <xf numFmtId="0" fontId="138" fillId="0" borderId="0" xfId="11" applyFont="1" applyAlignment="1">
      <alignment horizontal="left"/>
    </xf>
    <xf numFmtId="0" fontId="138" fillId="0" borderId="0" xfId="11" applyFont="1"/>
    <xf numFmtId="0" fontId="30" fillId="0" borderId="83" xfId="11" applyFont="1" applyBorder="1" applyAlignment="1">
      <alignment horizontal="left" vertical="center"/>
    </xf>
    <xf numFmtId="0" fontId="30" fillId="0" borderId="85" xfId="11" applyFont="1" applyBorder="1" applyAlignment="1">
      <alignment horizontal="left" vertical="center"/>
    </xf>
    <xf numFmtId="2" fontId="30" fillId="0" borderId="59" xfId="11" applyNumberFormat="1" applyFont="1" applyBorder="1" applyAlignment="1">
      <alignment horizontal="left" vertical="center"/>
    </xf>
    <xf numFmtId="2" fontId="30" fillId="0" borderId="86" xfId="11" applyNumberFormat="1" applyFont="1" applyBorder="1" applyAlignment="1">
      <alignment horizontal="left" vertical="center"/>
    </xf>
    <xf numFmtId="0" fontId="30" fillId="0" borderId="88" xfId="11" applyFont="1" applyBorder="1" applyAlignment="1">
      <alignment horizontal="right" vertical="center"/>
    </xf>
    <xf numFmtId="0" fontId="22" fillId="6" borderId="0" xfId="1" applyFont="1" applyFill="1" applyAlignment="1">
      <alignment horizontal="center" vertical="center" wrapText="1"/>
    </xf>
    <xf numFmtId="0" fontId="29" fillId="12" borderId="19" xfId="1" applyFont="1" applyFill="1" applyBorder="1" applyAlignment="1">
      <alignment horizontal="center" vertical="center" wrapText="1"/>
    </xf>
    <xf numFmtId="0" fontId="29" fillId="12" borderId="34" xfId="1" applyFont="1" applyFill="1" applyBorder="1" applyAlignment="1">
      <alignment horizontal="center" vertical="center" wrapText="1"/>
    </xf>
    <xf numFmtId="0" fontId="29" fillId="12" borderId="21" xfId="1" applyFont="1" applyFill="1" applyBorder="1" applyAlignment="1">
      <alignment horizontal="center" vertical="center" wrapText="1"/>
    </xf>
    <xf numFmtId="0" fontId="74" fillId="0" borderId="33" xfId="1" applyFont="1" applyBorder="1" applyAlignment="1">
      <alignment horizontal="center" vertical="center" wrapText="1"/>
    </xf>
    <xf numFmtId="0" fontId="74" fillId="0" borderId="18" xfId="1" applyFont="1" applyBorder="1" applyAlignment="1">
      <alignment horizontal="center" vertical="center" wrapText="1"/>
    </xf>
    <xf numFmtId="0" fontId="118" fillId="32" borderId="0" xfId="7" applyFont="1" applyFill="1" applyBorder="1" applyAlignment="1" applyProtection="1">
      <alignment horizontal="left" vertical="top" wrapText="1" indent="2"/>
      <protection hidden="1"/>
    </xf>
    <xf numFmtId="0" fontId="155" fillId="32" borderId="63" xfId="8" applyFont="1" applyFill="1" applyBorder="1" applyAlignment="1" applyProtection="1">
      <alignment horizontal="left" vertical="top"/>
    </xf>
  </cellXfs>
  <cellStyles count="12">
    <cellStyle name="Comma" xfId="3" builtinId="3"/>
    <cellStyle name="Hyperlink" xfId="8" builtinId="8"/>
    <cellStyle name="Hyperlink 2" xfId="7" xr:uid="{00000000-0005-0000-0000-000002000000}"/>
    <cellStyle name="Normal" xfId="0" builtinId="0"/>
    <cellStyle name="Normal 13" xfId="6" xr:uid="{00000000-0005-0000-0000-000004000000}"/>
    <cellStyle name="Normal 13 2" xfId="9" xr:uid="{00000000-0005-0000-0000-000005000000}"/>
    <cellStyle name="Normal 2" xfId="1" xr:uid="{00000000-0005-0000-0000-000006000000}"/>
    <cellStyle name="Normal 2 2" xfId="10" xr:uid="{00000000-0005-0000-0000-000007000000}"/>
    <cellStyle name="Normal 3" xfId="5" xr:uid="{00000000-0005-0000-0000-000008000000}"/>
    <cellStyle name="Normal 4" xfId="11" xr:uid="{00000000-0005-0000-0000-000009000000}"/>
    <cellStyle name="Note" xfId="4" builtinId="10"/>
    <cellStyle name="Percent" xfId="2" builtinId="5"/>
  </cellStyles>
  <dxfs count="1651">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fgColor theme="0" tint="-0.499984740745262"/>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strike val="0"/>
        <color theme="4" tint="0.39994506668294322"/>
      </font>
    </dxf>
    <dxf>
      <font>
        <strike val="0"/>
        <color theme="0"/>
      </font>
      <border>
        <left/>
        <right/>
        <top/>
        <bottom/>
      </border>
    </dxf>
    <dxf>
      <font>
        <color theme="4" tint="0.39994506668294322"/>
      </font>
    </dxf>
    <dxf>
      <font>
        <color theme="4" tint="0.39994506668294322"/>
      </font>
    </dxf>
    <dxf>
      <font>
        <strike val="0"/>
        <color theme="0"/>
      </font>
      <border>
        <left/>
        <right/>
        <top/>
        <bottom/>
      </border>
    </dxf>
    <dxf>
      <font>
        <strike val="0"/>
        <color theme="1"/>
      </font>
      <fill>
        <patternFill>
          <bgColor theme="4" tint="0.39994506668294322"/>
        </patternFill>
      </fill>
      <border>
        <left style="thin">
          <color auto="1"/>
        </left>
        <right style="thin">
          <color auto="1"/>
        </right>
        <top style="thin">
          <color auto="1"/>
        </top>
        <bottom style="thin">
          <color auto="1"/>
        </bottom>
        <vertical/>
        <horizontal/>
      </border>
    </dxf>
    <dxf>
      <fill>
        <patternFill>
          <bgColor theme="4" tint="0.39994506668294322"/>
        </patternFill>
      </fill>
    </dxf>
    <dxf>
      <fill>
        <patternFill>
          <bgColor theme="4" tint="0.39994506668294322"/>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F4CCCC"/>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DADADA"/>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DADADA"/>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DADADA"/>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DADADA"/>
          <bgColor rgb="FFDADADA"/>
        </patternFill>
      </fill>
    </dxf>
    <dxf>
      <fill>
        <patternFill patternType="solid">
          <fgColor rgb="FFDADADA"/>
          <bgColor rgb="FFDADADA"/>
        </patternFill>
      </fill>
    </dxf>
    <dxf>
      <fill>
        <patternFill patternType="solid">
          <fgColor rgb="FFF4CCCC"/>
          <bgColor rgb="FFDADADA"/>
        </patternFill>
      </fill>
    </dxf>
    <dxf>
      <fill>
        <patternFill patternType="solid">
          <fgColor rgb="FFB7E1CD"/>
          <bgColor theme="7" tint="0.79998168889431442"/>
        </patternFill>
      </fill>
    </dxf>
    <dxf>
      <fill>
        <patternFill patternType="solid">
          <fgColor rgb="FFDADADA"/>
          <bgColor rgb="FFDADADA"/>
        </patternFill>
      </fill>
    </dxf>
    <dxf>
      <fill>
        <patternFill patternType="solid">
          <fgColor rgb="FFF4CCCC"/>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patternType="solid">
          <fgColor rgb="FFFFFFFF"/>
          <bgColor rgb="FFDAE8F3"/>
        </patternFill>
      </fill>
    </dxf>
    <dxf>
      <fill>
        <patternFill>
          <bgColor rgb="FFDADADA"/>
        </patternFill>
      </fill>
    </dxf>
    <dxf>
      <fill>
        <patternFill>
          <bgColor rgb="FFDADADA"/>
        </patternFill>
      </fill>
    </dxf>
    <dxf>
      <fill>
        <patternFill patternType="solid">
          <fgColor rgb="FFFFFFFF"/>
          <bgColor rgb="FFDAE8F3"/>
        </patternFill>
      </fill>
    </dxf>
    <dxf>
      <fill>
        <patternFill>
          <bgColor rgb="FFDADADA"/>
        </patternFill>
      </fill>
    </dxf>
    <dxf>
      <fill>
        <patternFill>
          <bgColor rgb="FFDADADA"/>
        </patternFill>
      </fill>
    </dxf>
    <dxf>
      <fill>
        <patternFill patternType="solid">
          <fgColor rgb="FFFFFFFF"/>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5" tint="0.79998168889431442"/>
        </patternFill>
      </fill>
    </dxf>
    <dxf>
      <fill>
        <patternFill>
          <bgColor rgb="FFDADADA"/>
        </patternFill>
      </fill>
    </dxf>
    <dxf>
      <fill>
        <patternFill>
          <bgColor theme="7" tint="0.79998168889431442"/>
        </patternFill>
      </fill>
    </dxf>
    <dxf>
      <fill>
        <patternFill>
          <bgColor theme="5" tint="0.79998168889431442"/>
        </patternFill>
      </fill>
    </dxf>
    <dxf>
      <fill>
        <patternFill>
          <bgColor theme="5" tint="0.79998168889431442"/>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ont>
        <color rgb="FF9C0006"/>
      </font>
      <fill>
        <patternFill>
          <bgColor rgb="FFFFC7CE"/>
        </patternFill>
      </fill>
    </dxf>
    <dxf>
      <fill>
        <patternFill>
          <bgColor theme="7"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theme="7" tint="0.79998168889431442"/>
        </patternFill>
      </fill>
    </dxf>
    <dxf>
      <fill>
        <patternFill>
          <bgColor theme="5" tint="0.79998168889431442"/>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theme="7" tint="0.79998168889431442"/>
        </patternFill>
      </fill>
    </dxf>
    <dxf>
      <fill>
        <patternFill>
          <bgColor theme="5" tint="0.79998168889431442"/>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theme="7" tint="0.79998168889431442"/>
        </patternFill>
      </fill>
    </dxf>
    <dxf>
      <fill>
        <patternFill>
          <bgColor theme="5" tint="0.79998168889431442"/>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ont>
        <color rgb="FF9C0006"/>
      </font>
      <fill>
        <patternFill>
          <bgColor rgb="FFFFC7CE"/>
        </patternFill>
      </fill>
    </dxf>
    <dxf>
      <fill>
        <patternFill>
          <bgColor theme="7" tint="0.79998168889431442"/>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DADA"/>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bgColor rgb="FFDAE8F3"/>
        </patternFill>
      </fill>
    </dxf>
    <dxf>
      <fill>
        <patternFill>
          <bgColor rgb="FFDADADA"/>
        </patternFill>
      </fill>
    </dxf>
    <dxf>
      <fill>
        <patternFill>
          <bgColor rgb="FFDADADA"/>
        </patternFill>
      </fill>
    </dxf>
    <dxf>
      <fill>
        <patternFill>
          <bgColor rgb="FFDADADA"/>
        </patternFill>
      </fill>
    </dxf>
    <dxf>
      <fill>
        <patternFill>
          <bgColor rgb="FFDAE8F3"/>
        </patternFill>
      </fill>
    </dxf>
    <dxf>
      <fill>
        <patternFill patternType="solid">
          <fgColor rgb="FFF4CCCC"/>
          <bgColor rgb="FFF4CCCC"/>
        </patternFill>
      </fill>
    </dxf>
    <dxf>
      <fill>
        <patternFill>
          <bgColor theme="5" tint="0.79998168889431442"/>
        </patternFill>
      </fill>
    </dxf>
    <dxf>
      <fill>
        <patternFill>
          <bgColor theme="7" tint="0.79998168889431442"/>
        </patternFill>
      </fill>
    </dxf>
    <dxf>
      <fill>
        <patternFill patternType="solid">
          <fgColor rgb="FFD9E8F2"/>
          <bgColor rgb="FFD9E8F2"/>
        </patternFill>
      </fill>
    </dxf>
    <dxf>
      <fill>
        <patternFill patternType="solid">
          <fgColor rgb="FFD9E8F2"/>
          <bgColor rgb="FFD9E8F2"/>
        </patternFill>
      </fill>
    </dxf>
    <dxf>
      <fill>
        <patternFill patternType="solid">
          <fgColor rgb="FFD9E8F2"/>
          <bgColor rgb="FFD9E8F2"/>
        </patternFill>
      </fill>
    </dxf>
    <dxf>
      <fill>
        <patternFill patternType="solid">
          <fgColor rgb="FFD9E8F2"/>
          <bgColor rgb="FFD9E8F2"/>
        </patternFill>
      </fill>
    </dxf>
    <dxf>
      <fill>
        <patternFill patternType="solid">
          <fgColor rgb="FFD9E8F2"/>
          <bgColor rgb="FFD9E8F2"/>
        </patternFill>
      </fill>
    </dxf>
    <dxf>
      <fill>
        <patternFill patternType="solid">
          <fgColor rgb="FFD9E8F2"/>
          <bgColor rgb="FFD9E8F2"/>
        </patternFill>
      </fill>
    </dxf>
    <dxf>
      <fill>
        <patternFill patternType="solid">
          <fgColor rgb="FFD9E8F2"/>
          <bgColor rgb="FFD9E8F2"/>
        </patternFill>
      </fill>
    </dxf>
    <dxf>
      <fill>
        <patternFill patternType="solid">
          <fgColor rgb="FFD9E8F2"/>
          <bgColor rgb="FFD9E8F2"/>
        </patternFill>
      </fill>
    </dxf>
    <dxf>
      <fill>
        <patternFill>
          <bgColor rgb="FFDAE8F3"/>
        </patternFill>
      </fill>
    </dxf>
    <dxf>
      <fill>
        <patternFill>
          <bgColor theme="5" tint="0.79998168889431442"/>
        </patternFill>
      </fill>
    </dxf>
    <dxf>
      <fill>
        <patternFill patternType="solid">
          <fgColor rgb="FFD9E8F2"/>
          <bgColor rgb="FFD9E8F2"/>
        </patternFill>
      </fill>
    </dxf>
    <dxf>
      <fill>
        <patternFill patternType="solid">
          <fgColor rgb="FFD9E8F2"/>
          <bgColor rgb="FFD9E8F2"/>
        </patternFill>
      </fill>
    </dxf>
    <dxf>
      <font>
        <b val="0"/>
        <i val="0"/>
        <strike val="0"/>
        <condense val="0"/>
        <extend val="0"/>
        <outline val="0"/>
        <shadow val="0"/>
        <u val="none"/>
        <vertAlign val="baseline"/>
        <sz val="10"/>
        <color rgb="FF000000"/>
        <name val="Arial"/>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rgb="FF3289B8"/>
        </left>
        <right style="thin">
          <color rgb="FF3289B8"/>
        </right>
        <top style="thin">
          <color rgb="FF3289B8"/>
        </top>
        <bottom style="thin">
          <color rgb="FF3289B8"/>
        </bottom>
      </border>
    </dxf>
    <dxf>
      <font>
        <b val="0"/>
        <i val="0"/>
        <strike val="0"/>
        <condense val="0"/>
        <extend val="0"/>
        <outline val="0"/>
        <shadow val="0"/>
        <u val="none"/>
        <vertAlign val="baseline"/>
        <sz val="10"/>
        <color rgb="FF000000"/>
        <name val="Arial"/>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rgb="FF3289B8"/>
        </left>
        <right style="thin">
          <color rgb="FF3289B8"/>
        </right>
        <top style="thin">
          <color rgb="FF3289B8"/>
        </top>
        <bottom style="thin">
          <color rgb="FF3289B8"/>
        </bottom>
      </border>
    </dxf>
    <dxf>
      <fill>
        <patternFill patternType="solid">
          <fgColor indexed="64"/>
          <bgColor theme="0"/>
        </patternFill>
      </fill>
      <alignment horizontal="general" vertical="bottom" textRotation="0" wrapText="1" indent="0" justifyLastLine="0" shrinkToFit="0" readingOrder="0"/>
      <border diagonalUp="0" diagonalDown="0" outline="0">
        <left style="thin">
          <color rgb="FF3289B8"/>
        </left>
        <right style="thin">
          <color rgb="FF3289B8"/>
        </right>
        <top style="thin">
          <color rgb="FF3289B8"/>
        </top>
        <bottom style="thin">
          <color rgb="FF3289B8"/>
        </bottom>
      </border>
    </dxf>
    <dxf>
      <border outline="0">
        <top style="thin">
          <color rgb="FF266D92"/>
        </top>
        <bottom style="thin">
          <color rgb="FF3289B8"/>
        </bottom>
      </border>
    </dxf>
    <dxf>
      <fill>
        <patternFill patternType="solid">
          <fgColor indexed="64"/>
          <bgColor theme="0"/>
        </patternFill>
      </fill>
    </dxf>
    <dxf>
      <font>
        <b/>
        <i val="0"/>
        <strike val="0"/>
        <condense val="0"/>
        <extend val="0"/>
        <outline val="0"/>
        <shadow val="0"/>
        <u val="none"/>
        <vertAlign val="baseline"/>
        <sz val="12"/>
        <color rgb="FF3289B7"/>
        <name val="Arial"/>
        <family val="2"/>
        <scheme val="minor"/>
      </font>
      <fill>
        <patternFill patternType="solid">
          <fgColor indexed="64"/>
          <bgColor theme="0"/>
        </patternFill>
      </fill>
      <alignment horizontal="general" vertical="center" textRotation="0" wrapText="1" indent="0" justifyLastLine="0" shrinkToFit="0" readingOrder="0"/>
      <border diagonalUp="0" diagonalDown="0" outline="0">
        <left style="thin">
          <color rgb="FF266D92"/>
        </left>
        <right style="thin">
          <color rgb="FF266D92"/>
        </right>
        <top/>
        <bottom/>
      </border>
    </dxf>
    <dxf>
      <font>
        <b val="0"/>
        <i val="0"/>
        <strike val="0"/>
        <condense val="0"/>
        <extend val="0"/>
        <outline val="0"/>
        <shadow val="0"/>
        <u val="none"/>
        <vertAlign val="baseline"/>
        <sz val="10"/>
        <color rgb="FF000000"/>
        <name val="Arial"/>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rgb="FF3289B8"/>
        </left>
        <right style="thin">
          <color rgb="FF3289B8"/>
        </right>
        <top style="thin">
          <color rgb="FF3289B8"/>
        </top>
        <bottom style="thin">
          <color rgb="FF3289B8"/>
        </bottom>
      </border>
    </dxf>
    <dxf>
      <font>
        <b val="0"/>
        <i val="0"/>
        <strike val="0"/>
        <condense val="0"/>
        <extend val="0"/>
        <outline val="0"/>
        <shadow val="0"/>
        <u val="none"/>
        <vertAlign val="baseline"/>
        <sz val="10"/>
        <color rgb="FF000000"/>
        <name val="Arial"/>
        <family val="2"/>
        <scheme val="minor"/>
      </font>
      <fill>
        <patternFill patternType="solid">
          <fgColor indexed="64"/>
          <bgColor theme="0"/>
        </patternFill>
      </fill>
      <alignment horizontal="general" vertical="bottom" textRotation="0" wrapText="1" indent="0" justifyLastLine="0" shrinkToFit="0" readingOrder="0"/>
      <border diagonalUp="0" diagonalDown="0" outline="0">
        <left style="thin">
          <color rgb="FF3289B8"/>
        </left>
        <right style="thin">
          <color rgb="FF3289B8"/>
        </right>
        <top style="thin">
          <color rgb="FF3289B8"/>
        </top>
        <bottom style="thin">
          <color rgb="FF3289B8"/>
        </bottom>
      </border>
    </dxf>
    <dxf>
      <fill>
        <patternFill patternType="solid">
          <fgColor indexed="64"/>
          <bgColor theme="0"/>
        </patternFill>
      </fill>
      <alignment horizontal="general" vertical="bottom" textRotation="0" wrapText="1" indent="0" justifyLastLine="0" shrinkToFit="0" readingOrder="0"/>
      <border diagonalUp="0" diagonalDown="0" outline="0">
        <left style="thin">
          <color rgb="FF3289B8"/>
        </left>
        <right style="thin">
          <color rgb="FF3289B8"/>
        </right>
        <top style="thin">
          <color rgb="FF3289B8"/>
        </top>
        <bottom style="thin">
          <color rgb="FF3289B8"/>
        </bottom>
      </border>
    </dxf>
    <dxf>
      <border outline="0">
        <top style="thin">
          <color rgb="FF266D92"/>
        </top>
        <bottom style="thin">
          <color rgb="FF3289B8"/>
        </bottom>
      </border>
    </dxf>
    <dxf>
      <fill>
        <patternFill patternType="solid">
          <fgColor indexed="64"/>
          <bgColor theme="0"/>
        </patternFill>
      </fill>
    </dxf>
    <dxf>
      <font>
        <b/>
        <i val="0"/>
        <strike val="0"/>
        <condense val="0"/>
        <extend val="0"/>
        <outline val="0"/>
        <shadow val="0"/>
        <u val="none"/>
        <vertAlign val="baseline"/>
        <sz val="12"/>
        <color rgb="FF3289B7"/>
        <name val="Arial"/>
        <family val="2"/>
        <scheme val="minor"/>
      </font>
      <fill>
        <patternFill patternType="solid">
          <fgColor indexed="64"/>
          <bgColor theme="0"/>
        </patternFill>
      </fill>
      <alignment horizontal="general" vertical="center" textRotation="0" wrapText="1" indent="0" justifyLastLine="0" shrinkToFit="0" readingOrder="0"/>
      <border diagonalUp="0" diagonalDown="0" outline="0">
        <left style="thin">
          <color rgb="FF266D92"/>
        </left>
        <right style="thin">
          <color rgb="FF266D92"/>
        </right>
        <top/>
        <bottom/>
      </border>
    </dxf>
  </dxfs>
  <tableStyles count="0" defaultTableStyle="TableStyleMedium2" defaultPivotStyle="PivotStyleLight16"/>
  <colors>
    <mruColors>
      <color rgb="FF3289B8"/>
      <color rgb="FF68AFD6"/>
      <color rgb="FF9CCAE4"/>
      <color rgb="FFDADADA"/>
      <color rgb="FFDAE8F3"/>
      <color rgb="FF266D92"/>
      <color rgb="FFAFAF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absolute">
    <xdr:from>
      <xdr:col>1</xdr:col>
      <xdr:colOff>371475</xdr:colOff>
      <xdr:row>0</xdr:row>
      <xdr:rowOff>203202</xdr:rowOff>
    </xdr:from>
    <xdr:to>
      <xdr:col>3</xdr:col>
      <xdr:colOff>665049</xdr:colOff>
      <xdr:row>6</xdr:row>
      <xdr:rowOff>63500</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CD2DC0DD-DD0B-3B48-9A21-3FD1CC32C1C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tretch/>
      </xdr:blipFill>
      <xdr:spPr bwMode="auto">
        <a:xfrm>
          <a:off x="638175" y="203202"/>
          <a:ext cx="2414474" cy="138429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19050</xdr:rowOff>
    </xdr:from>
    <xdr:to>
      <xdr:col>3</xdr:col>
      <xdr:colOff>636474</xdr:colOff>
      <xdr:row>4</xdr:row>
      <xdr:rowOff>374648</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1491DD05-7408-4312-9A96-4EF39195633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tretch/>
      </xdr:blipFill>
      <xdr:spPr bwMode="auto">
        <a:xfrm>
          <a:off x="247650" y="19050"/>
          <a:ext cx="2141424" cy="134619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244929</xdr:colOff>
      <xdr:row>0</xdr:row>
      <xdr:rowOff>81643</xdr:rowOff>
    </xdr:from>
    <xdr:to>
      <xdr:col>0</xdr:col>
      <xdr:colOff>2571750</xdr:colOff>
      <xdr:row>1</xdr:row>
      <xdr:rowOff>140360</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C374B13A-810A-4929-A491-7BBC477A013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 r="-10"/>
        <a:stretch>
          <a:fillRect/>
        </a:stretch>
      </xdr:blipFill>
      <xdr:spPr bwMode="auto">
        <a:xfrm>
          <a:off x="244929" y="81643"/>
          <a:ext cx="2326821" cy="133778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373380</xdr:colOff>
      <xdr:row>0</xdr:row>
      <xdr:rowOff>201168</xdr:rowOff>
    </xdr:from>
    <xdr:to>
      <xdr:col>2</xdr:col>
      <xdr:colOff>2095704</xdr:colOff>
      <xdr:row>6</xdr:row>
      <xdr:rowOff>61466</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87E520A2-53CC-D44F-B2D4-6681ED0F8FE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 r="-10"/>
        <a:stretch>
          <a:fillRect/>
        </a:stretch>
      </xdr:blipFill>
      <xdr:spPr bwMode="auto">
        <a:xfrm>
          <a:off x="640080" y="201168"/>
          <a:ext cx="2414474" cy="138429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1905</xdr:colOff>
      <xdr:row>0</xdr:row>
      <xdr:rowOff>201168</xdr:rowOff>
    </xdr:from>
    <xdr:to>
      <xdr:col>2</xdr:col>
      <xdr:colOff>2394154</xdr:colOff>
      <xdr:row>6</xdr:row>
      <xdr:rowOff>61466</xdr:rowOff>
    </xdr:to>
    <xdr:pic>
      <xdr:nvPicPr>
        <xdr:cNvPr id="2" name="Imagen 2" descr="C:\Users\Fernando Rangel\Google Drive\SBTi\SBTi - Core team\Communication Team\Branding\Logos and templates\SBTi logos_\Logos_\SBT copy.gif">
          <a:extLst>
            <a:ext uri="{FF2B5EF4-FFF2-40B4-BE49-F238E27FC236}">
              <a16:creationId xmlns:a16="http://schemas.microsoft.com/office/drawing/2014/main" id="{1632FE78-B12A-C64D-A95F-F032A287289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0080" y="201168"/>
          <a:ext cx="2414474" cy="1384298"/>
        </a:xfrm>
        <a:prstGeom prst="rect">
          <a:avLst/>
        </a:prstGeom>
        <a:noFill/>
        <a:ln>
          <a:noFill/>
        </a:ln>
        <a:extLst>
          <a:ext uri="{53640926-AAD7-44D8-BBD7-CCE9431645EC}">
            <a14:shadowObscured xmlns:a14="http://schemas.microsoft.com/office/drawing/2010/main"/>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45D6E7-2477-AD43-83C8-505CF71D9C6B}" name="Table1" displayName="Table1" ref="A6:C36" totalsRowShown="0" headerRowDxfId="1650" dataDxfId="1649" tableBorderDxfId="1648" headerRowCellStyle="Normal 2">
  <autoFilter ref="A6:C36" xr:uid="{C745D6E7-2477-AD43-83C8-505CF71D9C6B}"/>
  <tableColumns count="3">
    <tableColumn id="1" xr3:uid="{A82B7960-2406-F14B-A902-E2F9031C2C6B}" name="Target type_x000a_select" dataDxfId="1647"/>
    <tableColumn id="2" xr3:uid="{CEA1CC11-4FFF-0E41-88B7-A7CE77381E16}" name="Geographic differentiation for targets_x000a_select" dataDxfId="1646"/>
    <tableColumn id="3" xr3:uid="{3792A447-8527-314A-BC9B-1DF160642BEB}" name="Financial activity_x000a_select all in-scope" dataDxfId="164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BFD632-36D8-1045-A019-429F0AF6A035}" name="Table2" displayName="Table2" ref="A45:C65" totalsRowShown="0" headerRowDxfId="1644" dataDxfId="1643" tableBorderDxfId="1642" headerRowCellStyle="Normal 2">
  <autoFilter ref="A45:C65" xr:uid="{70BFD632-36D8-1045-A019-429F0AF6A035}"/>
  <tableColumns count="3">
    <tableColumn id="1" xr3:uid="{A7D5DDF8-14DD-CA47-9070-44798BE01046}" name="Target type_x000a_select" dataDxfId="1641"/>
    <tableColumn id="2" xr3:uid="{4C3F6389-F6DD-C041-8394-99189F921398}" name="Geographic differentiation for targets_x000a_select" dataDxfId="1640"/>
    <tableColumn id="3" xr3:uid="{246A129E-ACE0-8944-9280-B2F51058E024}" name="Financial activity_x000a_Select all in-scope" dataDxfId="1639"/>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files.sciencebasedtargets.org/production/files/Financial-Institutions-Net-Zero-Standard.pdf" TargetMode="External"/><Relationship Id="rId7" Type="http://schemas.openxmlformats.org/officeDocument/2006/relationships/drawing" Target="../drawings/drawing1.xml"/><Relationship Id="rId2" Type="http://schemas.openxmlformats.org/officeDocument/2006/relationships/hyperlink" Target="https://files.sciencebasedtargets.org/production/files/FINZ-Sectoral-Target-setting-Methods-and-Tool-Documentation.pdf" TargetMode="External"/><Relationship Id="rId1" Type="http://schemas.openxmlformats.org/officeDocument/2006/relationships/hyperlink" Target="https://sciencebasedtargets.org/financial-institutions" TargetMode="External"/><Relationship Id="rId6" Type="http://schemas.openxmlformats.org/officeDocument/2006/relationships/printerSettings" Target="../printerSettings/printerSettings1.bin"/><Relationship Id="rId5" Type="http://schemas.openxmlformats.org/officeDocument/2006/relationships/hyperlink" Target="https://storage.googleapis.com/docs.sbtiservices.com/resources/FINZSubmissionForm.xlsx" TargetMode="External"/><Relationship Id="rId4" Type="http://schemas.openxmlformats.org/officeDocument/2006/relationships/hyperlink" Target="https://sciencebasedtargets.org/financial-institutions"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hyperlink" Target="https://files.sciencebasedtargets.org/production/files/Financial-Institutions-Net-Zero-Standard.pdf" TargetMode="External"/><Relationship Id="rId2" Type="http://schemas.openxmlformats.org/officeDocument/2006/relationships/hyperlink" Target="https://files.sciencebasedtargets.org/production/files/FINZ-Sectoral-Target-setting-Methods-and-Tool-Documentation.pdf" TargetMode="External"/><Relationship Id="rId1" Type="http://schemas.openxmlformats.org/officeDocument/2006/relationships/hyperlink" Target="https://sciencebasedtargets.org/financial-institutions" TargetMode="External"/><Relationship Id="rId5" Type="http://schemas.openxmlformats.org/officeDocument/2006/relationships/drawing" Target="../drawings/drawing2.xml"/><Relationship Id="rId4" Type="http://schemas.openxmlformats.org/officeDocument/2006/relationships/hyperlink" Target="https://sciencebasedtargets.org/financial-institut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0" tint="-0.249977111117893"/>
  </sheetPr>
  <dimension ref="B1:T51"/>
  <sheetViews>
    <sheetView tabSelected="1" zoomScale="120" zoomScaleNormal="120" workbookViewId="0"/>
  </sheetViews>
  <sheetFormatPr baseColWidth="10" defaultColWidth="11.5" defaultRowHeight="13"/>
  <cols>
    <col min="1" max="1" width="3.5" style="41" customWidth="1"/>
    <col min="2" max="2" width="16.33203125" style="41" customWidth="1"/>
    <col min="3" max="16384" width="11.5" style="41"/>
  </cols>
  <sheetData>
    <row r="1" spans="2:17" ht="20" customHeight="1">
      <c r="B1" s="658" t="s">
        <v>0</v>
      </c>
      <c r="C1" s="658"/>
      <c r="D1" s="658"/>
      <c r="E1" s="658"/>
      <c r="F1" s="658"/>
      <c r="G1" s="658"/>
      <c r="H1" s="658"/>
      <c r="I1" s="658"/>
      <c r="J1" s="658"/>
      <c r="K1" s="658"/>
      <c r="L1" s="658"/>
      <c r="M1" s="658"/>
      <c r="N1" s="658"/>
      <c r="O1" s="658"/>
      <c r="P1" s="658"/>
      <c r="Q1" s="658"/>
    </row>
    <row r="2" spans="2:17" ht="20" customHeight="1">
      <c r="B2" s="658"/>
      <c r="C2" s="658"/>
      <c r="D2" s="658"/>
      <c r="E2" s="658"/>
      <c r="F2" s="658"/>
      <c r="G2" s="658"/>
      <c r="H2" s="658"/>
      <c r="I2" s="658"/>
      <c r="J2" s="658"/>
      <c r="K2" s="658"/>
      <c r="L2" s="658"/>
      <c r="M2" s="658"/>
      <c r="N2" s="658"/>
      <c r="O2" s="658"/>
      <c r="P2" s="658"/>
      <c r="Q2" s="658"/>
    </row>
    <row r="3" spans="2:17" ht="20" customHeight="1">
      <c r="B3" s="658"/>
      <c r="C3" s="658"/>
      <c r="D3" s="658"/>
      <c r="E3" s="658"/>
      <c r="F3" s="658"/>
      <c r="G3" s="658"/>
      <c r="H3" s="658"/>
      <c r="I3" s="658"/>
      <c r="J3" s="658"/>
      <c r="K3" s="658"/>
      <c r="L3" s="658"/>
      <c r="M3" s="658"/>
      <c r="N3" s="658"/>
      <c r="O3" s="658"/>
      <c r="P3" s="658"/>
      <c r="Q3" s="658"/>
    </row>
    <row r="4" spans="2:17" ht="20" customHeight="1">
      <c r="B4" s="658"/>
      <c r="C4" s="658"/>
      <c r="D4" s="658"/>
      <c r="E4" s="658"/>
      <c r="F4" s="658"/>
      <c r="G4" s="658"/>
      <c r="H4" s="658"/>
      <c r="I4" s="658"/>
      <c r="J4" s="658"/>
      <c r="K4" s="658"/>
      <c r="L4" s="658"/>
      <c r="M4" s="658"/>
      <c r="N4" s="658"/>
      <c r="O4" s="658"/>
      <c r="P4" s="658"/>
      <c r="Q4" s="658"/>
    </row>
    <row r="5" spans="2:17" ht="20" customHeight="1">
      <c r="B5" s="658"/>
      <c r="C5" s="658"/>
      <c r="D5" s="658"/>
      <c r="E5" s="658"/>
      <c r="F5" s="658"/>
      <c r="G5" s="658"/>
      <c r="H5" s="658"/>
      <c r="I5" s="658"/>
      <c r="J5" s="658"/>
      <c r="K5" s="658"/>
      <c r="L5" s="658"/>
      <c r="M5" s="658"/>
      <c r="N5" s="658"/>
      <c r="O5" s="658"/>
      <c r="P5" s="658"/>
      <c r="Q5" s="658"/>
    </row>
    <row r="6" spans="2:17" ht="20" customHeight="1">
      <c r="B6" s="658"/>
      <c r="C6" s="658"/>
      <c r="D6" s="658"/>
      <c r="E6" s="658"/>
      <c r="F6" s="658"/>
      <c r="G6" s="658"/>
      <c r="H6" s="658"/>
      <c r="I6" s="658"/>
      <c r="J6" s="658"/>
      <c r="K6" s="658"/>
      <c r="L6" s="658"/>
      <c r="M6" s="658"/>
      <c r="N6" s="658"/>
      <c r="O6" s="658"/>
      <c r="P6" s="658"/>
      <c r="Q6" s="658"/>
    </row>
    <row r="7" spans="2:17" ht="20" customHeight="1">
      <c r="B7" s="658"/>
      <c r="C7" s="658"/>
      <c r="D7" s="658"/>
      <c r="E7" s="658"/>
      <c r="F7" s="658"/>
      <c r="G7" s="658"/>
      <c r="H7" s="658"/>
      <c r="I7" s="658"/>
      <c r="J7" s="658"/>
      <c r="K7" s="658"/>
      <c r="L7" s="658"/>
      <c r="M7" s="658"/>
      <c r="N7" s="658"/>
      <c r="O7" s="658"/>
      <c r="P7" s="658"/>
      <c r="Q7" s="658"/>
    </row>
    <row r="8" spans="2:17" ht="16">
      <c r="B8" s="74"/>
      <c r="C8" s="74"/>
      <c r="D8" s="74"/>
      <c r="E8" s="74"/>
      <c r="F8" s="74"/>
      <c r="G8" s="74"/>
      <c r="H8" s="74"/>
      <c r="I8" s="74"/>
      <c r="J8" s="74"/>
      <c r="K8" s="74"/>
      <c r="L8" s="74"/>
      <c r="M8" s="74"/>
      <c r="N8" s="74"/>
      <c r="O8" s="74"/>
    </row>
    <row r="9" spans="2:17" ht="18">
      <c r="B9" s="659" t="s">
        <v>741</v>
      </c>
      <c r="C9" s="659"/>
      <c r="D9" s="659"/>
      <c r="E9" s="659"/>
      <c r="F9" s="659"/>
      <c r="G9" s="659"/>
      <c r="H9" s="659"/>
      <c r="I9" s="659"/>
      <c r="J9" s="659"/>
      <c r="K9" s="659"/>
      <c r="L9" s="659"/>
      <c r="M9" s="659"/>
      <c r="N9" s="659"/>
      <c r="O9" s="659"/>
    </row>
    <row r="10" spans="2:17">
      <c r="B10" s="77"/>
      <c r="C10" s="77"/>
      <c r="D10" s="77"/>
      <c r="E10" s="77"/>
      <c r="F10" s="77"/>
      <c r="G10" s="77"/>
      <c r="H10" s="77"/>
      <c r="I10" s="77"/>
      <c r="J10" s="77"/>
      <c r="K10" s="77"/>
      <c r="L10" s="77"/>
      <c r="M10" s="77"/>
      <c r="N10" s="77"/>
      <c r="O10" s="77"/>
    </row>
    <row r="11" spans="2:17" ht="25">
      <c r="B11" s="129" t="s">
        <v>1</v>
      </c>
      <c r="C11" s="130"/>
      <c r="D11" s="130"/>
      <c r="E11" s="130"/>
      <c r="F11" s="130"/>
      <c r="G11" s="130"/>
      <c r="H11" s="130"/>
      <c r="I11" s="130"/>
      <c r="J11" s="130"/>
      <c r="K11" s="130"/>
      <c r="L11" s="130"/>
      <c r="M11" s="130"/>
      <c r="N11" s="130"/>
      <c r="O11" s="130"/>
    </row>
    <row r="12" spans="2:17" s="42" customFormat="1" ht="29.75" customHeight="1">
      <c r="B12" s="660" t="s">
        <v>2</v>
      </c>
      <c r="C12" s="661"/>
      <c r="D12" s="661"/>
      <c r="E12" s="661"/>
      <c r="F12" s="661"/>
      <c r="G12" s="661"/>
      <c r="H12" s="661"/>
      <c r="I12" s="661"/>
      <c r="J12" s="661"/>
      <c r="K12" s="661"/>
      <c r="L12" s="661"/>
      <c r="M12" s="661"/>
      <c r="N12" s="661"/>
      <c r="O12" s="661"/>
    </row>
    <row r="13" spans="2:17" s="42" customFormat="1" ht="29.75" customHeight="1">
      <c r="B13" s="662"/>
      <c r="C13" s="662"/>
      <c r="D13" s="662"/>
      <c r="E13" s="662"/>
      <c r="F13" s="662"/>
      <c r="G13" s="662"/>
      <c r="H13" s="662"/>
      <c r="I13" s="662"/>
      <c r="J13" s="662"/>
      <c r="K13" s="662"/>
      <c r="L13" s="662"/>
      <c r="M13" s="662"/>
      <c r="N13" s="662"/>
      <c r="O13" s="662"/>
    </row>
    <row r="14" spans="2:17" s="42" customFormat="1" ht="29.75" customHeight="1">
      <c r="B14" s="662"/>
      <c r="C14" s="662"/>
      <c r="D14" s="662"/>
      <c r="E14" s="662"/>
      <c r="F14" s="662"/>
      <c r="G14" s="662"/>
      <c r="H14" s="662"/>
      <c r="I14" s="662"/>
      <c r="J14" s="662"/>
      <c r="K14" s="662"/>
      <c r="L14" s="662"/>
      <c r="M14" s="662"/>
      <c r="N14" s="662"/>
      <c r="O14" s="662"/>
    </row>
    <row r="15" spans="2:17" s="42" customFormat="1" ht="29.75" customHeight="1">
      <c r="B15" s="662"/>
      <c r="C15" s="662"/>
      <c r="D15" s="662"/>
      <c r="E15" s="662"/>
      <c r="F15" s="662"/>
      <c r="G15" s="662"/>
      <c r="H15" s="662"/>
      <c r="I15" s="662"/>
      <c r="J15" s="662"/>
      <c r="K15" s="662"/>
      <c r="L15" s="662"/>
      <c r="M15" s="662"/>
      <c r="N15" s="662"/>
      <c r="O15" s="662"/>
    </row>
    <row r="16" spans="2:17" ht="14">
      <c r="B16" s="43"/>
      <c r="C16" s="43"/>
      <c r="D16" s="43"/>
      <c r="E16" s="43"/>
      <c r="F16" s="43"/>
      <c r="G16" s="43"/>
      <c r="H16" s="43"/>
      <c r="I16" s="43"/>
      <c r="J16" s="43"/>
      <c r="K16" s="43"/>
      <c r="L16" s="43"/>
      <c r="M16" s="43"/>
      <c r="N16" s="43"/>
      <c r="O16" s="43"/>
    </row>
    <row r="17" spans="2:20" ht="25">
      <c r="B17" s="129" t="s">
        <v>3</v>
      </c>
      <c r="C17" s="131"/>
      <c r="D17" s="131"/>
      <c r="E17" s="131"/>
      <c r="F17" s="131"/>
      <c r="G17" s="131"/>
      <c r="H17" s="131"/>
      <c r="I17" s="131"/>
      <c r="J17" s="131"/>
      <c r="K17" s="131"/>
      <c r="L17" s="131"/>
      <c r="M17" s="131"/>
      <c r="N17" s="131"/>
      <c r="O17" s="131"/>
    </row>
    <row r="18" spans="2:20" ht="50.75" customHeight="1">
      <c r="B18" s="660" t="s">
        <v>4</v>
      </c>
      <c r="C18" s="660"/>
      <c r="D18" s="660"/>
      <c r="E18" s="660"/>
      <c r="F18" s="660"/>
      <c r="G18" s="660"/>
      <c r="H18" s="660"/>
      <c r="I18" s="660"/>
      <c r="J18" s="660"/>
      <c r="K18" s="660"/>
      <c r="L18" s="660"/>
      <c r="M18" s="660"/>
      <c r="N18" s="660"/>
      <c r="O18" s="660"/>
    </row>
    <row r="19" spans="2:20" ht="50.75" customHeight="1">
      <c r="B19" s="663"/>
      <c r="C19" s="663"/>
      <c r="D19" s="663"/>
      <c r="E19" s="663"/>
      <c r="F19" s="663"/>
      <c r="G19" s="663"/>
      <c r="H19" s="663"/>
      <c r="I19" s="663"/>
      <c r="J19" s="663"/>
      <c r="K19" s="663"/>
      <c r="L19" s="663"/>
      <c r="M19" s="663"/>
      <c r="N19" s="663"/>
      <c r="O19" s="663"/>
    </row>
    <row r="20" spans="2:20" ht="50.75" customHeight="1">
      <c r="B20" s="663"/>
      <c r="C20" s="663"/>
      <c r="D20" s="663"/>
      <c r="E20" s="663"/>
      <c r="F20" s="663"/>
      <c r="G20" s="663"/>
      <c r="H20" s="663"/>
      <c r="I20" s="663"/>
      <c r="J20" s="663"/>
      <c r="K20" s="663"/>
      <c r="L20" s="663"/>
      <c r="M20" s="663"/>
      <c r="N20" s="663"/>
      <c r="O20" s="663"/>
    </row>
    <row r="21" spans="2:20" ht="50.75" customHeight="1">
      <c r="B21" s="663"/>
      <c r="C21" s="663"/>
      <c r="D21" s="663"/>
      <c r="E21" s="663"/>
      <c r="F21" s="663"/>
      <c r="G21" s="663"/>
      <c r="H21" s="663"/>
      <c r="I21" s="663"/>
      <c r="J21" s="663"/>
      <c r="K21" s="663"/>
      <c r="L21" s="663"/>
      <c r="M21" s="663"/>
      <c r="N21" s="663"/>
      <c r="O21" s="663"/>
    </row>
    <row r="22" spans="2:20" ht="50.75" customHeight="1">
      <c r="B22" s="663"/>
      <c r="C22" s="663"/>
      <c r="D22" s="663"/>
      <c r="E22" s="663"/>
      <c r="F22" s="663"/>
      <c r="G22" s="663"/>
      <c r="H22" s="663"/>
      <c r="I22" s="663"/>
      <c r="J22" s="663"/>
      <c r="K22" s="663"/>
      <c r="L22" s="663"/>
      <c r="M22" s="663"/>
      <c r="N22" s="663"/>
      <c r="O22" s="663"/>
    </row>
    <row r="23" spans="2:20" ht="50.75" customHeight="1">
      <c r="B23" s="663"/>
      <c r="C23" s="663"/>
      <c r="D23" s="663"/>
      <c r="E23" s="663"/>
      <c r="F23" s="663"/>
      <c r="G23" s="663"/>
      <c r="H23" s="663"/>
      <c r="I23" s="663"/>
      <c r="J23" s="663"/>
      <c r="K23" s="663"/>
      <c r="L23" s="663"/>
      <c r="M23" s="663"/>
      <c r="N23" s="663"/>
      <c r="O23" s="663"/>
    </row>
    <row r="24" spans="2:20">
      <c r="B24" s="101"/>
      <c r="C24" s="101"/>
      <c r="D24" s="101"/>
      <c r="E24" s="101"/>
      <c r="F24" s="101"/>
      <c r="G24" s="101"/>
      <c r="H24" s="101"/>
      <c r="I24" s="101"/>
      <c r="J24" s="101"/>
      <c r="K24" s="101"/>
      <c r="L24" s="101"/>
      <c r="M24" s="101"/>
      <c r="N24" s="101"/>
      <c r="O24" s="101"/>
    </row>
    <row r="25" spans="2:20" ht="25">
      <c r="B25" s="129" t="s">
        <v>5</v>
      </c>
      <c r="C25" s="131"/>
      <c r="D25" s="131"/>
      <c r="E25" s="131"/>
      <c r="F25" s="131"/>
      <c r="G25" s="131"/>
      <c r="H25" s="131"/>
      <c r="I25" s="131"/>
      <c r="J25" s="131"/>
      <c r="K25" s="131"/>
      <c r="L25" s="131"/>
      <c r="M25" s="131"/>
      <c r="N25" s="131"/>
      <c r="O25" s="131"/>
    </row>
    <row r="26" spans="2:20" ht="17" thickBot="1">
      <c r="B26" s="222" t="s">
        <v>6</v>
      </c>
      <c r="C26" s="222"/>
      <c r="D26" s="222"/>
      <c r="E26" s="222"/>
      <c r="F26" s="222"/>
      <c r="G26" s="222"/>
      <c r="H26" s="222"/>
      <c r="I26" s="222"/>
      <c r="J26" s="222"/>
      <c r="K26" s="222"/>
      <c r="L26" s="222"/>
      <c r="M26" s="222"/>
      <c r="N26" s="222"/>
      <c r="O26" s="222"/>
      <c r="P26" s="223"/>
      <c r="Q26" s="223"/>
      <c r="R26" s="223"/>
      <c r="S26" s="223"/>
      <c r="T26" s="223"/>
    </row>
    <row r="27" spans="2:20" ht="18" thickTop="1" thickBot="1">
      <c r="B27" s="224" t="s">
        <v>7</v>
      </c>
      <c r="C27" s="224"/>
      <c r="D27" s="224"/>
      <c r="E27" s="224"/>
      <c r="F27" s="224"/>
      <c r="G27" s="224"/>
      <c r="H27" s="224"/>
      <c r="I27" s="224"/>
      <c r="J27" s="224"/>
      <c r="K27" s="224"/>
      <c r="L27" s="224"/>
      <c r="M27" s="224"/>
      <c r="N27" s="224"/>
      <c r="O27" s="224"/>
      <c r="P27" s="225"/>
      <c r="Q27" s="225"/>
      <c r="R27" s="225"/>
      <c r="S27" s="225"/>
      <c r="T27" s="225"/>
    </row>
    <row r="28" spans="2:20" ht="18" thickTop="1" thickBot="1">
      <c r="B28" s="224" t="s">
        <v>742</v>
      </c>
      <c r="C28" s="224"/>
      <c r="D28" s="224"/>
      <c r="E28" s="224"/>
      <c r="F28" s="224"/>
      <c r="G28" s="224"/>
      <c r="H28" s="224"/>
      <c r="I28" s="224"/>
      <c r="J28" s="224"/>
      <c r="K28" s="224"/>
      <c r="L28" s="224"/>
      <c r="M28" s="224"/>
      <c r="N28" s="224"/>
      <c r="O28" s="224"/>
      <c r="P28" s="225"/>
      <c r="Q28" s="225"/>
      <c r="R28" s="225"/>
      <c r="S28" s="225"/>
      <c r="T28" s="225"/>
    </row>
    <row r="29" spans="2:20" ht="18" thickTop="1" thickBot="1">
      <c r="B29" s="1043" t="s">
        <v>835</v>
      </c>
      <c r="C29" s="1043"/>
      <c r="D29" s="1043"/>
      <c r="E29" s="1043"/>
      <c r="F29" s="1043"/>
      <c r="G29" s="1043"/>
      <c r="H29" s="1043"/>
      <c r="I29" s="1043"/>
      <c r="J29" s="1043"/>
      <c r="K29" s="1043"/>
      <c r="L29" s="1043"/>
      <c r="M29" s="1043"/>
      <c r="N29" s="1043"/>
      <c r="O29" s="1043"/>
      <c r="P29" s="225"/>
      <c r="Q29" s="225"/>
      <c r="R29" s="225"/>
      <c r="S29" s="225"/>
      <c r="T29" s="225"/>
    </row>
    <row r="30" spans="2:20" ht="18" thickTop="1" thickBot="1">
      <c r="B30" s="224" t="s">
        <v>8</v>
      </c>
      <c r="C30" s="224"/>
      <c r="D30" s="224"/>
      <c r="E30" s="224"/>
      <c r="F30" s="224"/>
      <c r="G30" s="224"/>
      <c r="H30" s="224"/>
      <c r="I30" s="224"/>
      <c r="J30" s="224"/>
      <c r="K30" s="224"/>
      <c r="L30" s="224"/>
      <c r="M30" s="224"/>
      <c r="N30" s="224"/>
      <c r="O30" s="224"/>
      <c r="P30" s="225"/>
      <c r="Q30" s="225"/>
      <c r="R30" s="225"/>
      <c r="S30" s="225"/>
      <c r="T30" s="225"/>
    </row>
    <row r="31" spans="2:20" ht="14" thickTop="1">
      <c r="B31" s="1042"/>
      <c r="C31" s="1042"/>
      <c r="D31" s="1042"/>
      <c r="E31" s="1042"/>
      <c r="F31" s="1042"/>
      <c r="G31" s="1042"/>
      <c r="H31" s="1042"/>
      <c r="I31" s="1042"/>
      <c r="J31" s="1042"/>
      <c r="K31" s="1042"/>
      <c r="L31" s="1042"/>
      <c r="M31" s="1042"/>
      <c r="N31" s="664"/>
      <c r="O31" s="664"/>
    </row>
    <row r="33" spans="2:15" ht="25">
      <c r="B33" s="129" t="s">
        <v>9</v>
      </c>
      <c r="C33" s="131"/>
      <c r="D33" s="131"/>
      <c r="E33" s="131"/>
      <c r="F33" s="131"/>
      <c r="G33" s="131"/>
      <c r="H33" s="131"/>
      <c r="I33" s="131"/>
      <c r="J33" s="131"/>
      <c r="K33" s="131"/>
      <c r="L33" s="131"/>
      <c r="M33" s="131"/>
      <c r="N33" s="131"/>
      <c r="O33" s="131"/>
    </row>
    <row r="35" spans="2:15" ht="19.5" customHeight="1" thickBot="1">
      <c r="B35" s="538" t="s">
        <v>10</v>
      </c>
      <c r="C35" s="651" t="s">
        <v>11</v>
      </c>
      <c r="D35" s="652"/>
      <c r="E35" s="651" t="s">
        <v>12</v>
      </c>
      <c r="F35" s="653"/>
      <c r="G35" s="653"/>
      <c r="H35" s="653"/>
      <c r="I35" s="653"/>
      <c r="J35" s="653"/>
      <c r="K35" s="653"/>
      <c r="L35" s="653"/>
      <c r="M35" s="653"/>
      <c r="N35" s="653"/>
      <c r="O35" s="653"/>
    </row>
    <row r="36" spans="2:15" ht="40.25" customHeight="1" thickTop="1">
      <c r="B36" s="132">
        <v>1</v>
      </c>
      <c r="C36" s="654" t="s">
        <v>13</v>
      </c>
      <c r="D36" s="655"/>
      <c r="E36" s="656" t="s">
        <v>14</v>
      </c>
      <c r="F36" s="656"/>
      <c r="G36" s="656"/>
      <c r="H36" s="656"/>
      <c r="I36" s="656"/>
      <c r="J36" s="656"/>
      <c r="K36" s="656"/>
      <c r="L36" s="656"/>
      <c r="M36" s="656"/>
      <c r="N36" s="656"/>
      <c r="O36" s="657"/>
    </row>
    <row r="38" spans="2:15" ht="25">
      <c r="B38" s="129" t="s">
        <v>15</v>
      </c>
      <c r="C38" s="131"/>
      <c r="D38" s="131"/>
      <c r="E38" s="131"/>
      <c r="F38" s="131"/>
      <c r="G38" s="131"/>
      <c r="H38" s="131"/>
      <c r="I38" s="131"/>
      <c r="J38" s="131"/>
      <c r="K38" s="131"/>
      <c r="L38" s="131"/>
      <c r="M38" s="131"/>
      <c r="N38" s="131"/>
      <c r="O38" s="131"/>
    </row>
    <row r="39" spans="2:15" ht="14" thickBot="1"/>
    <row r="40" spans="2:15" ht="19.5" customHeight="1">
      <c r="B40" s="133" t="s">
        <v>16</v>
      </c>
      <c r="C40" s="647" t="s">
        <v>17</v>
      </c>
      <c r="D40" s="648"/>
      <c r="E40" s="648"/>
      <c r="F40" s="648"/>
      <c r="G40" s="648"/>
      <c r="H40" s="648"/>
      <c r="I40" s="648"/>
      <c r="J40" s="648"/>
      <c r="K40" s="648"/>
      <c r="L40" s="648"/>
      <c r="M40" s="648"/>
      <c r="N40" s="648"/>
      <c r="O40" s="648"/>
    </row>
    <row r="41" spans="2:15">
      <c r="B41" s="133" t="s">
        <v>18</v>
      </c>
      <c r="C41" s="649" t="s">
        <v>19</v>
      </c>
      <c r="D41" s="650"/>
      <c r="E41" s="650"/>
      <c r="F41" s="650"/>
      <c r="G41" s="650"/>
      <c r="H41" s="650"/>
      <c r="I41" s="650"/>
      <c r="J41" s="650"/>
      <c r="K41" s="650"/>
      <c r="L41" s="650"/>
      <c r="M41" s="650"/>
      <c r="N41" s="650"/>
      <c r="O41" s="650"/>
    </row>
    <row r="42" spans="2:15">
      <c r="B42" s="133" t="s">
        <v>20</v>
      </c>
      <c r="C42" s="647" t="s">
        <v>21</v>
      </c>
      <c r="D42" s="648"/>
      <c r="E42" s="648"/>
      <c r="F42" s="648"/>
      <c r="G42" s="648"/>
      <c r="H42" s="648"/>
      <c r="I42" s="648"/>
      <c r="J42" s="648"/>
      <c r="K42" s="648"/>
      <c r="L42" s="648"/>
      <c r="M42" s="648"/>
      <c r="N42" s="648"/>
      <c r="O42" s="648"/>
    </row>
    <row r="43" spans="2:15">
      <c r="B43" s="133" t="s">
        <v>22</v>
      </c>
      <c r="C43" s="649" t="s">
        <v>23</v>
      </c>
      <c r="D43" s="650"/>
      <c r="E43" s="650"/>
      <c r="F43" s="650"/>
      <c r="G43" s="650"/>
      <c r="H43" s="650"/>
      <c r="I43" s="650"/>
      <c r="J43" s="650"/>
      <c r="K43" s="650"/>
      <c r="L43" s="650"/>
      <c r="M43" s="650"/>
      <c r="N43" s="650"/>
      <c r="O43" s="650"/>
    </row>
    <row r="44" spans="2:15">
      <c r="B44" s="133" t="s">
        <v>24</v>
      </c>
      <c r="C44" s="536" t="s">
        <v>25</v>
      </c>
      <c r="D44" s="537"/>
      <c r="E44" s="537"/>
      <c r="F44" s="537"/>
      <c r="G44" s="537"/>
      <c r="H44" s="537"/>
      <c r="I44" s="537"/>
      <c r="J44" s="537"/>
      <c r="K44" s="537"/>
      <c r="L44" s="537"/>
      <c r="M44" s="537"/>
      <c r="N44" s="537"/>
      <c r="O44" s="537"/>
    </row>
    <row r="45" spans="2:15">
      <c r="B45" s="133" t="s">
        <v>26</v>
      </c>
      <c r="C45" s="647" t="s">
        <v>27</v>
      </c>
      <c r="D45" s="648"/>
      <c r="E45" s="648"/>
      <c r="F45" s="648"/>
      <c r="G45" s="648"/>
      <c r="H45" s="648"/>
      <c r="I45" s="648"/>
      <c r="J45" s="648"/>
      <c r="K45" s="648"/>
      <c r="L45" s="648"/>
      <c r="M45" s="648"/>
      <c r="N45" s="648"/>
      <c r="O45" s="648"/>
    </row>
    <row r="46" spans="2:15" ht="15" thickTop="1" thickBot="1">
      <c r="B46" s="133" t="s">
        <v>28</v>
      </c>
      <c r="C46" s="647" t="s">
        <v>29</v>
      </c>
      <c r="D46" s="648"/>
      <c r="E46" s="648"/>
      <c r="F46" s="648"/>
      <c r="G46" s="648"/>
      <c r="H46" s="648"/>
      <c r="I46" s="648"/>
      <c r="J46" s="648"/>
      <c r="K46" s="648"/>
      <c r="L46" s="648"/>
      <c r="M46" s="648"/>
      <c r="N46" s="648"/>
      <c r="O46" s="648"/>
    </row>
    <row r="47" spans="2:15" ht="15" thickTop="1" thickBot="1">
      <c r="B47" s="133" t="s">
        <v>30</v>
      </c>
      <c r="C47" s="649" t="s">
        <v>31</v>
      </c>
      <c r="D47" s="650"/>
      <c r="E47" s="650"/>
      <c r="F47" s="650"/>
      <c r="G47" s="650"/>
      <c r="H47" s="650"/>
      <c r="I47" s="650"/>
      <c r="J47" s="650"/>
      <c r="K47" s="650"/>
      <c r="L47" s="650"/>
      <c r="M47" s="650"/>
      <c r="N47" s="650"/>
      <c r="O47" s="650"/>
    </row>
    <row r="48" spans="2:15" ht="15" thickTop="1" thickBot="1">
      <c r="B48" s="133" t="s">
        <v>32</v>
      </c>
      <c r="C48" s="647" t="s">
        <v>33</v>
      </c>
      <c r="D48" s="648"/>
      <c r="E48" s="648"/>
      <c r="F48" s="648"/>
      <c r="G48" s="648"/>
      <c r="H48" s="648"/>
      <c r="I48" s="648"/>
      <c r="J48" s="648"/>
      <c r="K48" s="648"/>
      <c r="L48" s="648"/>
      <c r="M48" s="648"/>
      <c r="N48" s="648"/>
      <c r="O48" s="648"/>
    </row>
    <row r="49" spans="2:15" ht="15" thickTop="1" thickBot="1">
      <c r="B49" s="133" t="s">
        <v>34</v>
      </c>
      <c r="C49" s="647" t="s">
        <v>35</v>
      </c>
      <c r="D49" s="648"/>
      <c r="E49" s="648"/>
      <c r="F49" s="648"/>
      <c r="G49" s="648"/>
      <c r="H49" s="648"/>
      <c r="I49" s="648"/>
      <c r="J49" s="648"/>
      <c r="K49" s="648"/>
      <c r="L49" s="648"/>
      <c r="M49" s="648"/>
      <c r="N49" s="648"/>
      <c r="O49" s="648"/>
    </row>
    <row r="50" spans="2:15" ht="15" thickTop="1" thickBot="1">
      <c r="B50" s="133" t="s">
        <v>36</v>
      </c>
      <c r="C50" s="649" t="s">
        <v>37</v>
      </c>
      <c r="D50" s="650"/>
      <c r="E50" s="650"/>
      <c r="F50" s="650"/>
      <c r="G50" s="650"/>
      <c r="H50" s="650"/>
      <c r="I50" s="650"/>
      <c r="J50" s="650"/>
      <c r="K50" s="650"/>
      <c r="L50" s="650"/>
      <c r="M50" s="650"/>
      <c r="N50" s="650"/>
      <c r="O50" s="650"/>
    </row>
    <row r="51" spans="2:15" ht="14" thickTop="1"/>
  </sheetData>
  <sheetProtection algorithmName="SHA-512" hashValue="25fQa8mBswodyXd3CwpU2gor7uas1x06MkeZFUPs30HePMMCTRJjH6aWDbiiPojIfoAMVFYwkA/mfh+o9a/eNA==" saltValue="NDjNM5gxU3G8F+kjWFeqrw==" spinCount="100000" sheet="1" objects="1" scenarios="1"/>
  <mergeCells count="21">
    <mergeCell ref="B1:Q7"/>
    <mergeCell ref="B9:O9"/>
    <mergeCell ref="B12:O15"/>
    <mergeCell ref="B18:O23"/>
    <mergeCell ref="B31:M31"/>
    <mergeCell ref="N31:O31"/>
    <mergeCell ref="B29:O29"/>
    <mergeCell ref="C43:O43"/>
    <mergeCell ref="C35:D35"/>
    <mergeCell ref="E35:O35"/>
    <mergeCell ref="C36:D36"/>
    <mergeCell ref="E36:O36"/>
    <mergeCell ref="C40:O40"/>
    <mergeCell ref="C41:O41"/>
    <mergeCell ref="C42:O42"/>
    <mergeCell ref="C49:O49"/>
    <mergeCell ref="C50:O50"/>
    <mergeCell ref="C45:O45"/>
    <mergeCell ref="C46:O46"/>
    <mergeCell ref="C47:O47"/>
    <mergeCell ref="C48:O48"/>
  </mergeCells>
  <hyperlinks>
    <hyperlink ref="B26:T26" r:id="rId1" display="Science Based Targets initiative financial institutions website" xr:uid="{D981CB8D-3DAB-497E-ACA4-404D365FC0EB}"/>
    <hyperlink ref="B27:T27" r:id="rId2" display="Tool Documentation" xr:uid="{2D51FA01-F7DF-447E-B24C-E2FA3CEE5CD2}"/>
    <hyperlink ref="B28:T28" r:id="rId3" display="Financial institutions Net-Zero Standard v1.0" xr:uid="{3644FF79-8520-4424-9108-6ECC809B98E3}"/>
    <hyperlink ref="B30:T30" r:id="rId4" location="3607479" display="Financial Institutions Target-setting Resources" xr:uid="{08F97BEB-139B-4B67-9D49-32A1FCFFCEE0}"/>
    <hyperlink ref="B29" r:id="rId5" xr:uid="{884668B4-DEBC-6547-AFD0-129ED52876C0}"/>
  </hyperlinks>
  <pageMargins left="0.7" right="0.7" top="0.75" bottom="0.75" header="0.3" footer="0.3"/>
  <pageSetup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6"/>
  </sheetPr>
  <dimension ref="A1:BH68"/>
  <sheetViews>
    <sheetView zoomScale="80" zoomScaleNormal="80" workbookViewId="0">
      <selection activeCell="A6" sqref="A6"/>
    </sheetView>
  </sheetViews>
  <sheetFormatPr baseColWidth="10" defaultColWidth="0" defaultRowHeight="13" zeroHeight="1"/>
  <cols>
    <col min="1" max="1" width="41.6640625" style="60" customWidth="1"/>
    <col min="2" max="2" width="48" style="14" customWidth="1"/>
    <col min="3" max="3" width="23.5" style="14" customWidth="1"/>
    <col min="4" max="4" width="86.5" style="60" customWidth="1"/>
    <col min="5" max="9" width="37.5" style="60" customWidth="1"/>
    <col min="10" max="10" width="46.1640625" style="60" customWidth="1"/>
    <col min="11" max="11" width="19" style="627" hidden="1" customWidth="1"/>
    <col min="12" max="12" width="28.83203125" style="627" hidden="1" customWidth="1"/>
    <col min="13" max="21" width="0" style="627" hidden="1" customWidth="1"/>
    <col min="22" max="60" width="8.83203125" style="627" hidden="1" customWidth="1"/>
    <col min="61" max="16384" width="8.83203125" style="125" hidden="1"/>
  </cols>
  <sheetData>
    <row r="1" spans="1:60" ht="100.5" customHeight="1">
      <c r="B1" s="1010" t="s">
        <v>444</v>
      </c>
      <c r="C1" s="1010"/>
      <c r="D1" s="1010"/>
      <c r="E1" s="1010"/>
      <c r="F1" s="1010"/>
      <c r="G1" s="1010"/>
      <c r="H1" s="1010"/>
      <c r="I1" s="1010"/>
      <c r="J1" s="1010"/>
    </row>
    <row r="2" spans="1:60"/>
    <row r="3" spans="1:60" ht="101.25" customHeight="1">
      <c r="A3" s="860" t="s">
        <v>445</v>
      </c>
      <c r="B3" s="860"/>
      <c r="C3" s="860"/>
      <c r="D3" s="860"/>
      <c r="E3" s="57"/>
      <c r="I3" s="57"/>
    </row>
    <row r="4" spans="1:60" ht="18">
      <c r="A4" s="48"/>
      <c r="B4" s="48"/>
      <c r="C4" s="48"/>
      <c r="D4" s="47"/>
      <c r="E4" s="49"/>
      <c r="F4" s="50"/>
      <c r="G4" s="50"/>
      <c r="H4" s="50"/>
      <c r="I4" s="50"/>
      <c r="J4" s="50"/>
      <c r="K4" s="628"/>
    </row>
    <row r="5" spans="1:60" ht="53" customHeight="1">
      <c r="A5" s="891" t="s">
        <v>739</v>
      </c>
      <c r="B5" s="891"/>
      <c r="C5" s="891"/>
      <c r="D5" s="47"/>
      <c r="E5" s="1016" t="s">
        <v>446</v>
      </c>
      <c r="F5" s="1017"/>
      <c r="G5" s="1017"/>
      <c r="H5" s="1017"/>
      <c r="I5" s="1017"/>
      <c r="J5" s="1017"/>
      <c r="L5" s="627" t="s">
        <v>447</v>
      </c>
    </row>
    <row r="6" spans="1:60" ht="85">
      <c r="A6" s="630" t="s">
        <v>831</v>
      </c>
      <c r="B6" s="630" t="s">
        <v>832</v>
      </c>
      <c r="C6" s="630" t="s">
        <v>833</v>
      </c>
      <c r="D6" s="51" t="s">
        <v>734</v>
      </c>
      <c r="E6" s="52" t="s">
        <v>448</v>
      </c>
      <c r="F6" s="53" t="s">
        <v>449</v>
      </c>
      <c r="G6" s="52" t="s">
        <v>450</v>
      </c>
      <c r="H6" s="52" t="s">
        <v>451</v>
      </c>
      <c r="I6" s="52" t="s">
        <v>737</v>
      </c>
      <c r="J6" s="54" t="s">
        <v>452</v>
      </c>
    </row>
    <row r="7" spans="1:60" s="645" customFormat="1" ht="14">
      <c r="A7" s="631" t="s">
        <v>453</v>
      </c>
      <c r="B7" s="632" t="s">
        <v>356</v>
      </c>
      <c r="C7" s="632" t="s">
        <v>454</v>
      </c>
      <c r="D7" s="1018" t="s">
        <v>455</v>
      </c>
      <c r="E7" s="55" t="s">
        <v>456</v>
      </c>
      <c r="F7" s="55" t="s">
        <v>457</v>
      </c>
      <c r="G7" s="55" t="s">
        <v>457</v>
      </c>
      <c r="H7" s="56">
        <f>'Financial activity types '!$C$7</f>
        <v>0</v>
      </c>
      <c r="I7" s="642">
        <f>_xlfn.XLOOKUP($L7,'Climate-Alignment Target'!$AI$15:$AI$762,'Climate-Alignment Target'!M$15:M$762,"",0)</f>
        <v>0</v>
      </c>
      <c r="J7" s="643" t="str">
        <f>_xlfn.XLOOKUP($L7,'Climate-Alignment Target'!$AI$15:$AI$762,'Climate-Alignment Target'!Q$15:Q$762,"",0)</f>
        <v/>
      </c>
      <c r="K7" s="644"/>
      <c r="L7" s="644" t="s">
        <v>375</v>
      </c>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4"/>
      <c r="AY7" s="644"/>
      <c r="AZ7" s="644"/>
      <c r="BA7" s="644"/>
      <c r="BB7" s="644"/>
      <c r="BC7" s="644"/>
      <c r="BD7" s="644"/>
      <c r="BE7" s="644"/>
      <c r="BF7" s="644"/>
      <c r="BG7" s="644"/>
      <c r="BH7" s="644"/>
    </row>
    <row r="8" spans="1:60" s="645" customFormat="1" ht="14">
      <c r="A8" s="631" t="s">
        <v>453</v>
      </c>
      <c r="B8" s="632" t="s">
        <v>380</v>
      </c>
      <c r="C8" s="632" t="s">
        <v>454</v>
      </c>
      <c r="D8" s="1018"/>
      <c r="E8" s="55" t="s">
        <v>456</v>
      </c>
      <c r="F8" s="55" t="s">
        <v>458</v>
      </c>
      <c r="G8" s="56" t="s">
        <v>369</v>
      </c>
      <c r="H8" s="56">
        <f>'Financial activity types '!$C$7</f>
        <v>0</v>
      </c>
      <c r="I8" s="642">
        <f>_xlfn.XLOOKUP($L8,'Climate-Alignment Target'!$AI$15:$AI$762,'Climate-Alignment Target'!M$15:M$762,"",0)</f>
        <v>0</v>
      </c>
      <c r="J8" s="643" t="str">
        <f>_xlfn.XLOOKUP($L8,'Climate-Alignment Target'!$AI$15:$AI$762,'Climate-Alignment Target'!Q$15:Q$762,"",0)</f>
        <v/>
      </c>
      <c r="K8" s="644"/>
      <c r="L8" s="644" t="s">
        <v>383</v>
      </c>
      <c r="M8" s="644"/>
      <c r="N8" s="644"/>
      <c r="O8" s="644"/>
      <c r="P8" s="644"/>
      <c r="Q8" s="644"/>
      <c r="R8" s="644"/>
      <c r="S8" s="644"/>
      <c r="T8" s="644"/>
      <c r="U8" s="644"/>
      <c r="V8" s="644"/>
      <c r="W8" s="644"/>
      <c r="X8" s="644"/>
      <c r="Y8" s="644"/>
      <c r="Z8" s="644"/>
      <c r="AA8" s="644"/>
      <c r="AB8" s="644"/>
      <c r="AC8" s="644"/>
      <c r="AD8" s="644"/>
      <c r="AE8" s="644"/>
      <c r="AF8" s="644"/>
      <c r="AG8" s="644"/>
      <c r="AH8" s="644"/>
      <c r="AI8" s="644"/>
      <c r="AJ8" s="644"/>
      <c r="AK8" s="644"/>
      <c r="AL8" s="644"/>
      <c r="AM8" s="644"/>
      <c r="AN8" s="644"/>
      <c r="AO8" s="644"/>
      <c r="AP8" s="644"/>
      <c r="AQ8" s="644"/>
      <c r="AR8" s="644"/>
      <c r="AS8" s="644"/>
      <c r="AT8" s="644"/>
      <c r="AU8" s="644"/>
      <c r="AV8" s="644"/>
      <c r="AW8" s="644"/>
      <c r="AX8" s="644"/>
      <c r="AY8" s="644"/>
      <c r="AZ8" s="644"/>
      <c r="BA8" s="644"/>
      <c r="BB8" s="644"/>
      <c r="BC8" s="644"/>
      <c r="BD8" s="644"/>
      <c r="BE8" s="644"/>
      <c r="BF8" s="644"/>
      <c r="BG8" s="644"/>
      <c r="BH8" s="644"/>
    </row>
    <row r="9" spans="1:60" s="645" customFormat="1" ht="14">
      <c r="A9" s="631" t="s">
        <v>453</v>
      </c>
      <c r="B9" s="632" t="s">
        <v>380</v>
      </c>
      <c r="C9" s="632" t="s">
        <v>454</v>
      </c>
      <c r="D9" s="1018"/>
      <c r="E9" s="55" t="s">
        <v>456</v>
      </c>
      <c r="F9" s="55" t="s">
        <v>458</v>
      </c>
      <c r="G9" s="56" t="s">
        <v>372</v>
      </c>
      <c r="H9" s="56">
        <f>'Financial activity types '!$C$7</f>
        <v>0</v>
      </c>
      <c r="I9" s="642">
        <f>_xlfn.XLOOKUP($L9,'Climate-Alignment Target'!$AJ$15:$AJ$762,'Climate-Alignment Target'!M$15:M$762,"",0)</f>
        <v>0</v>
      </c>
      <c r="J9" s="643" t="str">
        <f>_xlfn.XLOOKUP($L9,'Climate-Alignment Target'!$AJ$15:$AJ$762,'Climate-Alignment Target'!R$15:R$762,"",0)</f>
        <v/>
      </c>
      <c r="K9" s="644"/>
      <c r="L9" s="644" t="s">
        <v>384</v>
      </c>
      <c r="M9" s="644"/>
      <c r="N9" s="644"/>
      <c r="O9" s="644"/>
      <c r="P9" s="644"/>
      <c r="Q9" s="644"/>
      <c r="R9" s="644"/>
      <c r="S9" s="644"/>
      <c r="T9" s="644"/>
      <c r="U9" s="644"/>
      <c r="V9" s="644"/>
      <c r="W9" s="644"/>
      <c r="X9" s="644"/>
      <c r="Y9" s="644"/>
      <c r="Z9" s="644"/>
      <c r="AA9" s="644"/>
      <c r="AB9" s="644"/>
      <c r="AC9" s="644"/>
      <c r="AD9" s="644"/>
      <c r="AE9" s="644"/>
      <c r="AF9" s="644"/>
      <c r="AG9" s="644"/>
      <c r="AH9" s="644"/>
      <c r="AI9" s="644"/>
      <c r="AJ9" s="644"/>
      <c r="AK9" s="644"/>
      <c r="AL9" s="644"/>
      <c r="AM9" s="644"/>
      <c r="AN9" s="644"/>
      <c r="AO9" s="644"/>
      <c r="AP9" s="644"/>
      <c r="AQ9" s="644"/>
      <c r="AR9" s="644"/>
      <c r="AS9" s="644"/>
      <c r="AT9" s="644"/>
      <c r="AU9" s="644"/>
      <c r="AV9" s="644"/>
      <c r="AW9" s="644"/>
      <c r="AX9" s="644"/>
      <c r="AY9" s="644"/>
      <c r="AZ9" s="644"/>
      <c r="BA9" s="644"/>
      <c r="BB9" s="644"/>
      <c r="BC9" s="644"/>
      <c r="BD9" s="644"/>
      <c r="BE9" s="644"/>
      <c r="BF9" s="644"/>
      <c r="BG9" s="644"/>
      <c r="BH9" s="644"/>
    </row>
    <row r="10" spans="1:60" s="645" customFormat="1" ht="14">
      <c r="A10" s="631" t="s">
        <v>459</v>
      </c>
      <c r="B10" s="632" t="s">
        <v>356</v>
      </c>
      <c r="C10" s="632" t="s">
        <v>454</v>
      </c>
      <c r="D10" s="1018"/>
      <c r="E10" s="55" t="s">
        <v>456</v>
      </c>
      <c r="F10" s="55" t="s">
        <v>457</v>
      </c>
      <c r="G10" s="55" t="s">
        <v>457</v>
      </c>
      <c r="H10" s="56">
        <f>'Financial activity types '!$C$7</f>
        <v>0</v>
      </c>
      <c r="I10" s="642">
        <f>_xlfn.XLOOKUP($L10,'Climate-Alignment Target'!$AI$15:$AI$762,'Climate-Alignment Target'!N$15:N$762,"",0)</f>
        <v>0</v>
      </c>
      <c r="J10" s="643" t="str">
        <f>_xlfn.XLOOKUP($L10,'Climate-Alignment Target'!$AI$15:$AI$762,'Climate-Alignment Target'!P$15:P$762,"",0)</f>
        <v/>
      </c>
      <c r="K10" s="644"/>
      <c r="L10" s="644" t="s">
        <v>405</v>
      </c>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4"/>
      <c r="AY10" s="644"/>
      <c r="AZ10" s="644"/>
      <c r="BA10" s="644"/>
      <c r="BB10" s="644"/>
      <c r="BC10" s="644"/>
      <c r="BD10" s="644"/>
      <c r="BE10" s="644"/>
      <c r="BF10" s="644"/>
      <c r="BG10" s="644"/>
      <c r="BH10" s="644"/>
    </row>
    <row r="11" spans="1:60" s="645" customFormat="1" ht="14">
      <c r="A11" s="631" t="s">
        <v>459</v>
      </c>
      <c r="B11" s="632" t="s">
        <v>380</v>
      </c>
      <c r="C11" s="632" t="s">
        <v>454</v>
      </c>
      <c r="D11" s="1018"/>
      <c r="E11" s="55" t="s">
        <v>456</v>
      </c>
      <c r="F11" s="55" t="s">
        <v>458</v>
      </c>
      <c r="G11" s="56" t="s">
        <v>369</v>
      </c>
      <c r="H11" s="56">
        <f>'Financial activity types '!$C$7</f>
        <v>0</v>
      </c>
      <c r="I11" s="642">
        <f>_xlfn.XLOOKUP($L11,'Climate-Alignment Target'!$AI$15:$AI$762,'Climate-Alignment Target'!N$15:N$762,"",0)</f>
        <v>0</v>
      </c>
      <c r="J11" s="643" t="str">
        <f>_xlfn.XLOOKUP($L11,'Climate-Alignment Target'!$AI$15:$AI$762,'Climate-Alignment Target'!P$15:P$762,"",0)</f>
        <v/>
      </c>
      <c r="K11" s="644"/>
      <c r="L11" s="644" t="s">
        <v>409</v>
      </c>
      <c r="M11" s="644"/>
      <c r="N11" s="644"/>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4"/>
      <c r="AX11" s="644"/>
      <c r="AY11" s="644"/>
      <c r="AZ11" s="644"/>
      <c r="BA11" s="644"/>
      <c r="BB11" s="644"/>
      <c r="BC11" s="644"/>
      <c r="BD11" s="644"/>
      <c r="BE11" s="644"/>
      <c r="BF11" s="644"/>
      <c r="BG11" s="644"/>
      <c r="BH11" s="644"/>
    </row>
    <row r="12" spans="1:60" s="645" customFormat="1" ht="14">
      <c r="A12" s="631" t="s">
        <v>459</v>
      </c>
      <c r="B12" s="632" t="s">
        <v>380</v>
      </c>
      <c r="C12" s="632" t="s">
        <v>454</v>
      </c>
      <c r="D12" s="1018"/>
      <c r="E12" s="55" t="s">
        <v>456</v>
      </c>
      <c r="F12" s="55" t="s">
        <v>458</v>
      </c>
      <c r="G12" s="56" t="s">
        <v>372</v>
      </c>
      <c r="H12" s="56">
        <f>'Financial activity types '!$C$7</f>
        <v>0</v>
      </c>
      <c r="I12" s="642">
        <f>_xlfn.XLOOKUP($L12,'Climate-Alignment Target'!$AJ$15:$AJ$762,'Climate-Alignment Target'!N$15:N$762,"",0)</f>
        <v>0</v>
      </c>
      <c r="J12" s="643" t="str">
        <f>_xlfn.XLOOKUP($L12,'Climate-Alignment Target'!$AJ$15:$AJ$762,'Climate-Alignment Target'!Q$15:Q$762,"",0)</f>
        <v/>
      </c>
      <c r="K12" s="644"/>
      <c r="L12" s="644" t="s">
        <v>410</v>
      </c>
      <c r="M12" s="644"/>
      <c r="N12" s="644"/>
      <c r="O12" s="644"/>
      <c r="P12" s="644"/>
      <c r="Q12" s="644"/>
      <c r="R12" s="644"/>
      <c r="S12" s="644"/>
      <c r="T12" s="644"/>
      <c r="U12" s="644"/>
      <c r="V12" s="644"/>
      <c r="W12" s="644"/>
      <c r="X12" s="644"/>
      <c r="Y12" s="644"/>
      <c r="Z12" s="644"/>
      <c r="AA12" s="644"/>
      <c r="AB12" s="644"/>
      <c r="AC12" s="644"/>
      <c r="AD12" s="644"/>
      <c r="AE12" s="644"/>
      <c r="AF12" s="644"/>
      <c r="AG12" s="644"/>
      <c r="AH12" s="644"/>
      <c r="AI12" s="644"/>
      <c r="AJ12" s="644"/>
      <c r="AK12" s="644"/>
      <c r="AL12" s="644"/>
      <c r="AM12" s="644"/>
      <c r="AN12" s="644"/>
      <c r="AO12" s="644"/>
      <c r="AP12" s="644"/>
      <c r="AQ12" s="644"/>
      <c r="AR12" s="644"/>
      <c r="AS12" s="644"/>
      <c r="AT12" s="644"/>
      <c r="AU12" s="644"/>
      <c r="AV12" s="644"/>
      <c r="AW12" s="644"/>
      <c r="AX12" s="644"/>
      <c r="AY12" s="644"/>
      <c r="AZ12" s="644"/>
      <c r="BA12" s="644"/>
      <c r="BB12" s="644"/>
      <c r="BC12" s="644"/>
      <c r="BD12" s="644"/>
      <c r="BE12" s="644"/>
      <c r="BF12" s="644"/>
      <c r="BG12" s="644"/>
      <c r="BH12" s="644"/>
    </row>
    <row r="13" spans="1:60" s="645" customFormat="1" ht="14">
      <c r="A13" s="631" t="s">
        <v>453</v>
      </c>
      <c r="B13" s="632" t="s">
        <v>356</v>
      </c>
      <c r="C13" s="632" t="s">
        <v>460</v>
      </c>
      <c r="D13" s="1018"/>
      <c r="E13" s="55" t="s">
        <v>456</v>
      </c>
      <c r="F13" s="55" t="s">
        <v>457</v>
      </c>
      <c r="G13" s="55" t="s">
        <v>457</v>
      </c>
      <c r="H13" s="56">
        <f>'Financial activity types '!$C$7</f>
        <v>0</v>
      </c>
      <c r="I13" s="642">
        <f>_xlfn.XLOOKUP($L13,'Climate-Alignment Target'!$AI$15:$AI$762,'Climate-Alignment Target'!M$15:M$762,"",0)</f>
        <v>0</v>
      </c>
      <c r="J13" s="643" t="str">
        <f>_xlfn.XLOOKUP($L13,'Climate-Alignment Target'!$AI$15:$AI$762,'Climate-Alignment Target'!Q$15:Q$762,"",0)</f>
        <v/>
      </c>
      <c r="K13" s="644"/>
      <c r="L13" s="644" t="s">
        <v>413</v>
      </c>
      <c r="M13" s="644"/>
      <c r="N13" s="644"/>
      <c r="O13" s="644"/>
      <c r="P13" s="644"/>
      <c r="Q13" s="644"/>
      <c r="R13" s="644"/>
      <c r="S13" s="644"/>
      <c r="T13" s="644"/>
      <c r="U13" s="644"/>
      <c r="V13" s="644"/>
      <c r="W13" s="644"/>
      <c r="X13" s="644"/>
      <c r="Y13" s="644"/>
      <c r="Z13" s="644"/>
      <c r="AA13" s="644"/>
      <c r="AB13" s="644"/>
      <c r="AC13" s="644"/>
      <c r="AD13" s="644"/>
      <c r="AE13" s="644"/>
      <c r="AF13" s="644"/>
      <c r="AG13" s="644"/>
      <c r="AH13" s="644"/>
      <c r="AI13" s="644"/>
      <c r="AJ13" s="644"/>
      <c r="AK13" s="644"/>
      <c r="AL13" s="644"/>
      <c r="AM13" s="644"/>
      <c r="AN13" s="644"/>
      <c r="AO13" s="644"/>
      <c r="AP13" s="644"/>
      <c r="AQ13" s="644"/>
      <c r="AR13" s="644"/>
      <c r="AS13" s="644"/>
      <c r="AT13" s="644"/>
      <c r="AU13" s="644"/>
      <c r="AV13" s="644"/>
      <c r="AW13" s="644"/>
      <c r="AX13" s="644"/>
      <c r="AY13" s="644"/>
      <c r="AZ13" s="644"/>
      <c r="BA13" s="644"/>
      <c r="BB13" s="644"/>
      <c r="BC13" s="644"/>
      <c r="BD13" s="644"/>
      <c r="BE13" s="644"/>
      <c r="BF13" s="644"/>
      <c r="BG13" s="644"/>
      <c r="BH13" s="644"/>
    </row>
    <row r="14" spans="1:60" s="645" customFormat="1" ht="14">
      <c r="A14" s="631" t="s">
        <v>453</v>
      </c>
      <c r="B14" s="632" t="s">
        <v>380</v>
      </c>
      <c r="C14" s="632" t="s">
        <v>460</v>
      </c>
      <c r="D14" s="1018"/>
      <c r="E14" s="55" t="s">
        <v>456</v>
      </c>
      <c r="F14" s="55" t="s">
        <v>458</v>
      </c>
      <c r="G14" s="56" t="s">
        <v>369</v>
      </c>
      <c r="H14" s="56">
        <f>'Financial activity types '!$C$7</f>
        <v>0</v>
      </c>
      <c r="I14" s="642">
        <f>_xlfn.XLOOKUP($L14,'Climate-Alignment Target'!$AI$15:$AI$762,'Climate-Alignment Target'!M$15:M$762,"",0)</f>
        <v>0</v>
      </c>
      <c r="J14" s="643" t="str">
        <f>_xlfn.XLOOKUP($L14,'Climate-Alignment Target'!$AI$15:$AI$762,'Climate-Alignment Target'!Q$15:Q$762,"",0)</f>
        <v/>
      </c>
      <c r="K14" s="646"/>
      <c r="L14" s="644" t="s">
        <v>414</v>
      </c>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4"/>
      <c r="AN14" s="644"/>
      <c r="AO14" s="644"/>
      <c r="AP14" s="644"/>
      <c r="AQ14" s="644"/>
      <c r="AR14" s="644"/>
      <c r="AS14" s="644"/>
      <c r="AT14" s="644"/>
      <c r="AU14" s="644"/>
      <c r="AV14" s="644"/>
      <c r="AW14" s="644"/>
      <c r="AX14" s="644"/>
      <c r="AY14" s="644"/>
      <c r="AZ14" s="644"/>
      <c r="BA14" s="644"/>
      <c r="BB14" s="644"/>
      <c r="BC14" s="644"/>
      <c r="BD14" s="644"/>
      <c r="BE14" s="644"/>
      <c r="BF14" s="644"/>
      <c r="BG14" s="644"/>
      <c r="BH14" s="644"/>
    </row>
    <row r="15" spans="1:60" s="645" customFormat="1" ht="14">
      <c r="A15" s="631" t="s">
        <v>453</v>
      </c>
      <c r="B15" s="632" t="s">
        <v>380</v>
      </c>
      <c r="C15" s="632" t="s">
        <v>460</v>
      </c>
      <c r="D15" s="1018"/>
      <c r="E15" s="55" t="s">
        <v>456</v>
      </c>
      <c r="F15" s="55" t="s">
        <v>458</v>
      </c>
      <c r="G15" s="56" t="s">
        <v>372</v>
      </c>
      <c r="H15" s="56">
        <f>'Financial activity types '!$C$7</f>
        <v>0</v>
      </c>
      <c r="I15" s="642">
        <f>_xlfn.XLOOKUP($L15,'Climate-Alignment Target'!$AJ$15:$AJ$762,'Climate-Alignment Target'!M$15:M$762,"",0)</f>
        <v>0</v>
      </c>
      <c r="J15" s="643" t="str">
        <f>_xlfn.XLOOKUP($L15,'Climate-Alignment Target'!$AJ$15:$AJ$762,'Climate-Alignment Target'!R$15:R$762,"",0)</f>
        <v/>
      </c>
      <c r="K15" s="644"/>
      <c r="L15" s="644" t="s">
        <v>415</v>
      </c>
      <c r="M15" s="644"/>
      <c r="N15" s="644"/>
      <c r="O15" s="644"/>
      <c r="P15" s="644"/>
      <c r="Q15" s="644"/>
      <c r="R15" s="644"/>
      <c r="S15" s="644"/>
      <c r="T15" s="644"/>
      <c r="U15" s="644"/>
      <c r="V15" s="644"/>
      <c r="W15" s="644"/>
      <c r="X15" s="644"/>
      <c r="Y15" s="644"/>
      <c r="Z15" s="644"/>
      <c r="AA15" s="644"/>
      <c r="AB15" s="644"/>
      <c r="AC15" s="644"/>
      <c r="AD15" s="644"/>
      <c r="AE15" s="644"/>
      <c r="AF15" s="644"/>
      <c r="AG15" s="644"/>
      <c r="AH15" s="644"/>
      <c r="AI15" s="644"/>
      <c r="AJ15" s="644"/>
      <c r="AK15" s="644"/>
      <c r="AL15" s="644"/>
      <c r="AM15" s="644"/>
      <c r="AN15" s="644"/>
      <c r="AO15" s="644"/>
      <c r="AP15" s="644"/>
      <c r="AQ15" s="644"/>
      <c r="AR15" s="644"/>
      <c r="AS15" s="644"/>
      <c r="AT15" s="644"/>
      <c r="AU15" s="644"/>
      <c r="AV15" s="644"/>
      <c r="AW15" s="644"/>
      <c r="AX15" s="644"/>
      <c r="AY15" s="644"/>
      <c r="AZ15" s="644"/>
      <c r="BA15" s="644"/>
      <c r="BB15" s="644"/>
      <c r="BC15" s="644"/>
      <c r="BD15" s="644"/>
      <c r="BE15" s="644"/>
      <c r="BF15" s="644"/>
      <c r="BG15" s="644"/>
      <c r="BH15" s="644"/>
    </row>
    <row r="16" spans="1:60" s="645" customFormat="1" ht="14">
      <c r="A16" s="631" t="s">
        <v>459</v>
      </c>
      <c r="B16" s="632" t="s">
        <v>356</v>
      </c>
      <c r="C16" s="632" t="s">
        <v>460</v>
      </c>
      <c r="D16" s="1018"/>
      <c r="E16" s="55" t="s">
        <v>456</v>
      </c>
      <c r="F16" s="55" t="s">
        <v>457</v>
      </c>
      <c r="G16" s="55" t="s">
        <v>457</v>
      </c>
      <c r="H16" s="56">
        <f>'Financial activity types '!$C$7</f>
        <v>0</v>
      </c>
      <c r="I16" s="642">
        <f>_xlfn.XLOOKUP($L16,'Climate-Alignment Target'!$AI$15:$AI$762,'Climate-Alignment Target'!N$15:N$762,"",0)</f>
        <v>0</v>
      </c>
      <c r="J16" s="643" t="str">
        <f>_xlfn.XLOOKUP($L16,'Climate-Alignment Target'!$AI$15:$AI$762,'Climate-Alignment Target'!P$15:P$762,"",0)</f>
        <v/>
      </c>
      <c r="K16" s="644"/>
      <c r="L16" s="644" t="s">
        <v>417</v>
      </c>
      <c r="M16" s="644"/>
      <c r="N16" s="644"/>
      <c r="O16" s="644"/>
      <c r="P16" s="644"/>
      <c r="Q16" s="644"/>
      <c r="R16" s="644"/>
      <c r="S16" s="644"/>
      <c r="T16" s="644"/>
      <c r="U16" s="644"/>
      <c r="V16" s="644"/>
      <c r="W16" s="644"/>
      <c r="X16" s="644"/>
      <c r="Y16" s="644"/>
      <c r="Z16" s="644"/>
      <c r="AA16" s="644"/>
      <c r="AB16" s="644"/>
      <c r="AC16" s="644"/>
      <c r="AD16" s="644"/>
      <c r="AE16" s="644"/>
      <c r="AF16" s="644"/>
      <c r="AG16" s="644"/>
      <c r="AH16" s="644"/>
      <c r="AI16" s="644"/>
      <c r="AJ16" s="644"/>
      <c r="AK16" s="644"/>
      <c r="AL16" s="644"/>
      <c r="AM16" s="644"/>
      <c r="AN16" s="644"/>
      <c r="AO16" s="644"/>
      <c r="AP16" s="644"/>
      <c r="AQ16" s="644"/>
      <c r="AR16" s="644"/>
      <c r="AS16" s="644"/>
      <c r="AT16" s="644"/>
      <c r="AU16" s="644"/>
      <c r="AV16" s="644"/>
      <c r="AW16" s="644"/>
      <c r="AX16" s="644"/>
      <c r="AY16" s="644"/>
      <c r="AZ16" s="644"/>
      <c r="BA16" s="644"/>
      <c r="BB16" s="644"/>
      <c r="BC16" s="644"/>
      <c r="BD16" s="644"/>
      <c r="BE16" s="644"/>
      <c r="BF16" s="644"/>
      <c r="BG16" s="644"/>
      <c r="BH16" s="644"/>
    </row>
    <row r="17" spans="1:60" s="645" customFormat="1" ht="14">
      <c r="A17" s="631" t="s">
        <v>459</v>
      </c>
      <c r="B17" s="632" t="s">
        <v>380</v>
      </c>
      <c r="C17" s="632" t="s">
        <v>460</v>
      </c>
      <c r="D17" s="1018"/>
      <c r="E17" s="55" t="s">
        <v>456</v>
      </c>
      <c r="F17" s="55" t="s">
        <v>458</v>
      </c>
      <c r="G17" s="56" t="s">
        <v>369</v>
      </c>
      <c r="H17" s="56">
        <f>'Financial activity types '!$C$7</f>
        <v>0</v>
      </c>
      <c r="I17" s="642">
        <f>_xlfn.XLOOKUP($L17,'Climate-Alignment Target'!$AI$15:$AI$762,'Climate-Alignment Target'!N$15:N$762,"",0)</f>
        <v>0</v>
      </c>
      <c r="J17" s="643" t="str">
        <f>_xlfn.XLOOKUP($L17,'Climate-Alignment Target'!$AI$15:$AI$762,'Climate-Alignment Target'!P$15:P$762,"",0)</f>
        <v/>
      </c>
      <c r="K17" s="644"/>
      <c r="L17" s="644" t="s">
        <v>418</v>
      </c>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4"/>
      <c r="AJ17" s="644"/>
      <c r="AK17" s="644"/>
      <c r="AL17" s="644"/>
      <c r="AM17" s="644"/>
      <c r="AN17" s="644"/>
      <c r="AO17" s="644"/>
      <c r="AP17" s="644"/>
      <c r="AQ17" s="644"/>
      <c r="AR17" s="644"/>
      <c r="AS17" s="644"/>
      <c r="AT17" s="644"/>
      <c r="AU17" s="644"/>
      <c r="AV17" s="644"/>
      <c r="AW17" s="644"/>
      <c r="AX17" s="644"/>
      <c r="AY17" s="644"/>
      <c r="AZ17" s="644"/>
      <c r="BA17" s="644"/>
      <c r="BB17" s="644"/>
      <c r="BC17" s="644"/>
      <c r="BD17" s="644"/>
      <c r="BE17" s="644"/>
      <c r="BF17" s="644"/>
      <c r="BG17" s="644"/>
      <c r="BH17" s="644"/>
    </row>
    <row r="18" spans="1:60" s="645" customFormat="1" ht="14">
      <c r="A18" s="631" t="s">
        <v>459</v>
      </c>
      <c r="B18" s="632" t="s">
        <v>380</v>
      </c>
      <c r="C18" s="632" t="s">
        <v>460</v>
      </c>
      <c r="D18" s="1018"/>
      <c r="E18" s="55" t="s">
        <v>456</v>
      </c>
      <c r="F18" s="55" t="s">
        <v>458</v>
      </c>
      <c r="G18" s="56" t="s">
        <v>372</v>
      </c>
      <c r="H18" s="56">
        <f>'Financial activity types '!$C$7</f>
        <v>0</v>
      </c>
      <c r="I18" s="642">
        <f>_xlfn.XLOOKUP($L18,'Climate-Alignment Target'!$AJ$15:$AJ$762,'Climate-Alignment Target'!N$15:N$762,"",0)</f>
        <v>0</v>
      </c>
      <c r="J18" s="643" t="str">
        <f>_xlfn.XLOOKUP($L18,'Climate-Alignment Target'!$AJ$15:$AJ$762,'Climate-Alignment Target'!Q$15:Q$762,"",0)</f>
        <v/>
      </c>
      <c r="K18" s="644"/>
      <c r="L18" s="644" t="s">
        <v>419</v>
      </c>
      <c r="M18" s="644"/>
      <c r="N18" s="644"/>
      <c r="O18" s="644"/>
      <c r="P18" s="644"/>
      <c r="Q18" s="644"/>
      <c r="R18" s="644"/>
      <c r="S18" s="644"/>
      <c r="T18" s="644"/>
      <c r="U18" s="644"/>
      <c r="V18" s="644"/>
      <c r="W18" s="644"/>
      <c r="X18" s="644"/>
      <c r="Y18" s="644"/>
      <c r="Z18" s="644"/>
      <c r="AA18" s="644"/>
      <c r="AB18" s="644"/>
      <c r="AC18" s="644"/>
      <c r="AD18" s="644"/>
      <c r="AE18" s="644"/>
      <c r="AF18" s="644"/>
      <c r="AG18" s="644"/>
      <c r="AH18" s="644"/>
      <c r="AI18" s="644"/>
      <c r="AJ18" s="644"/>
      <c r="AK18" s="644"/>
      <c r="AL18" s="644"/>
      <c r="AM18" s="644"/>
      <c r="AN18" s="644"/>
      <c r="AO18" s="644"/>
      <c r="AP18" s="644"/>
      <c r="AQ18" s="644"/>
      <c r="AR18" s="644"/>
      <c r="AS18" s="644"/>
      <c r="AT18" s="644"/>
      <c r="AU18" s="644"/>
      <c r="AV18" s="644"/>
      <c r="AW18" s="644"/>
      <c r="AX18" s="644"/>
      <c r="AY18" s="644"/>
      <c r="AZ18" s="644"/>
      <c r="BA18" s="644"/>
      <c r="BB18" s="644"/>
      <c r="BC18" s="644"/>
      <c r="BD18" s="644"/>
      <c r="BE18" s="644"/>
      <c r="BF18" s="644"/>
      <c r="BG18" s="644"/>
      <c r="BH18" s="644"/>
    </row>
    <row r="19" spans="1:60" s="645" customFormat="1" ht="14">
      <c r="A19" s="631" t="s">
        <v>453</v>
      </c>
      <c r="B19" s="632" t="s">
        <v>356</v>
      </c>
      <c r="C19" s="632" t="s">
        <v>461</v>
      </c>
      <c r="D19" s="1018"/>
      <c r="E19" s="55" t="s">
        <v>456</v>
      </c>
      <c r="F19" s="55" t="s">
        <v>457</v>
      </c>
      <c r="G19" s="55" t="s">
        <v>457</v>
      </c>
      <c r="H19" s="56">
        <f>'Financial activity types '!$C$7</f>
        <v>0</v>
      </c>
      <c r="I19" s="642">
        <f>_xlfn.XLOOKUP($L19,'Climate-Alignment Target'!$AI$15:$AI$762,'Climate-Alignment Target'!M$15:M$762,"",0)</f>
        <v>0</v>
      </c>
      <c r="J19" s="643" t="str">
        <f>_xlfn.XLOOKUP($L19,'Climate-Alignment Target'!$AI$15:$AI$762,'Climate-Alignment Target'!Q$15:Q$762,"",0)</f>
        <v/>
      </c>
      <c r="K19" s="644"/>
      <c r="L19" s="644" t="s">
        <v>422</v>
      </c>
      <c r="M19" s="644"/>
      <c r="N19" s="644"/>
      <c r="O19" s="644"/>
      <c r="P19" s="644"/>
      <c r="Q19" s="644"/>
      <c r="R19" s="644"/>
      <c r="S19" s="644"/>
      <c r="T19" s="644"/>
      <c r="U19" s="644"/>
      <c r="V19" s="644"/>
      <c r="W19" s="644"/>
      <c r="X19" s="644"/>
      <c r="Y19" s="644"/>
      <c r="Z19" s="644"/>
      <c r="AA19" s="644"/>
      <c r="AB19" s="644"/>
      <c r="AC19" s="644"/>
      <c r="AD19" s="644"/>
      <c r="AE19" s="644"/>
      <c r="AF19" s="644"/>
      <c r="AG19" s="644"/>
      <c r="AH19" s="644"/>
      <c r="AI19" s="644"/>
      <c r="AJ19" s="644"/>
      <c r="AK19" s="644"/>
      <c r="AL19" s="644"/>
      <c r="AM19" s="644"/>
      <c r="AN19" s="644"/>
      <c r="AO19" s="644"/>
      <c r="AP19" s="644"/>
      <c r="AQ19" s="644"/>
      <c r="AR19" s="644"/>
      <c r="AS19" s="644"/>
      <c r="AT19" s="644"/>
      <c r="AU19" s="644"/>
      <c r="AV19" s="644"/>
      <c r="AW19" s="644"/>
      <c r="AX19" s="644"/>
      <c r="AY19" s="644"/>
      <c r="AZ19" s="644"/>
      <c r="BA19" s="644"/>
      <c r="BB19" s="644"/>
      <c r="BC19" s="644"/>
      <c r="BD19" s="644"/>
      <c r="BE19" s="644"/>
      <c r="BF19" s="644"/>
      <c r="BG19" s="644"/>
      <c r="BH19" s="644"/>
    </row>
    <row r="20" spans="1:60" s="645" customFormat="1" ht="14">
      <c r="A20" s="631" t="s">
        <v>453</v>
      </c>
      <c r="B20" s="632" t="s">
        <v>380</v>
      </c>
      <c r="C20" s="632" t="s">
        <v>461</v>
      </c>
      <c r="D20" s="1018"/>
      <c r="E20" s="55" t="s">
        <v>456</v>
      </c>
      <c r="F20" s="55" t="s">
        <v>458</v>
      </c>
      <c r="G20" s="56" t="s">
        <v>369</v>
      </c>
      <c r="H20" s="56">
        <f>'Financial activity types '!$C$7</f>
        <v>0</v>
      </c>
      <c r="I20" s="642">
        <f>_xlfn.XLOOKUP($L20,'Climate-Alignment Target'!$AI$15:$AI$762,'Climate-Alignment Target'!M$15:M$762,"",0)</f>
        <v>0</v>
      </c>
      <c r="J20" s="643" t="str">
        <f>_xlfn.XLOOKUP($L20,'Climate-Alignment Target'!$AI$15:$AI$762,'Climate-Alignment Target'!Q$15:Q$762,"",0)</f>
        <v/>
      </c>
      <c r="K20" s="644"/>
      <c r="L20" s="644" t="s">
        <v>423</v>
      </c>
      <c r="M20" s="644"/>
      <c r="N20" s="644"/>
      <c r="O20" s="644"/>
      <c r="P20" s="644"/>
      <c r="Q20" s="644"/>
      <c r="R20" s="644"/>
      <c r="S20" s="644"/>
      <c r="T20" s="644"/>
      <c r="U20" s="644"/>
      <c r="V20" s="644"/>
      <c r="W20" s="644"/>
      <c r="X20" s="644"/>
      <c r="Y20" s="644"/>
      <c r="Z20" s="644"/>
      <c r="AA20" s="644"/>
      <c r="AB20" s="644"/>
      <c r="AC20" s="644"/>
      <c r="AD20" s="644"/>
      <c r="AE20" s="644"/>
      <c r="AF20" s="644"/>
      <c r="AG20" s="644"/>
      <c r="AH20" s="644"/>
      <c r="AI20" s="644"/>
      <c r="AJ20" s="644"/>
      <c r="AK20" s="644"/>
      <c r="AL20" s="644"/>
      <c r="AM20" s="644"/>
      <c r="AN20" s="644"/>
      <c r="AO20" s="644"/>
      <c r="AP20" s="644"/>
      <c r="AQ20" s="644"/>
      <c r="AR20" s="644"/>
      <c r="AS20" s="644"/>
      <c r="AT20" s="644"/>
      <c r="AU20" s="644"/>
      <c r="AV20" s="644"/>
      <c r="AW20" s="644"/>
      <c r="AX20" s="644"/>
      <c r="AY20" s="644"/>
      <c r="AZ20" s="644"/>
      <c r="BA20" s="644"/>
      <c r="BB20" s="644"/>
      <c r="BC20" s="644"/>
      <c r="BD20" s="644"/>
      <c r="BE20" s="644"/>
      <c r="BF20" s="644"/>
      <c r="BG20" s="644"/>
      <c r="BH20" s="644"/>
    </row>
    <row r="21" spans="1:60" s="645" customFormat="1" ht="14">
      <c r="A21" s="631" t="s">
        <v>453</v>
      </c>
      <c r="B21" s="632" t="s">
        <v>380</v>
      </c>
      <c r="C21" s="632" t="s">
        <v>461</v>
      </c>
      <c r="D21" s="1018"/>
      <c r="E21" s="55" t="s">
        <v>456</v>
      </c>
      <c r="F21" s="55" t="s">
        <v>458</v>
      </c>
      <c r="G21" s="56" t="s">
        <v>372</v>
      </c>
      <c r="H21" s="56">
        <f>'Financial activity types '!$C$7</f>
        <v>0</v>
      </c>
      <c r="I21" s="642">
        <f>_xlfn.XLOOKUP($L21,'Climate-Alignment Target'!$AJ$15:$AJ$762,'Climate-Alignment Target'!M$15:M$762,"",0)</f>
        <v>0</v>
      </c>
      <c r="J21" s="643" t="str">
        <f>_xlfn.XLOOKUP($L21,'Climate-Alignment Target'!$AJ$15:$AJ$762,'Climate-Alignment Target'!R$15:R$762,"",0)</f>
        <v/>
      </c>
      <c r="K21" s="644"/>
      <c r="L21" s="644" t="s">
        <v>424</v>
      </c>
      <c r="M21" s="644"/>
      <c r="N21" s="644"/>
      <c r="O21" s="644"/>
      <c r="P21" s="644"/>
      <c r="Q21" s="644"/>
      <c r="R21" s="644"/>
      <c r="S21" s="644"/>
      <c r="T21" s="644"/>
      <c r="U21" s="644"/>
      <c r="V21" s="644"/>
      <c r="W21" s="644"/>
      <c r="X21" s="644"/>
      <c r="Y21" s="644"/>
      <c r="Z21" s="644"/>
      <c r="AA21" s="644"/>
      <c r="AB21" s="644"/>
      <c r="AC21" s="644"/>
      <c r="AD21" s="644"/>
      <c r="AE21" s="644"/>
      <c r="AF21" s="644"/>
      <c r="AG21" s="644"/>
      <c r="AH21" s="644"/>
      <c r="AI21" s="644"/>
      <c r="AJ21" s="644"/>
      <c r="AK21" s="644"/>
      <c r="AL21" s="644"/>
      <c r="AM21" s="644"/>
      <c r="AN21" s="644"/>
      <c r="AO21" s="644"/>
      <c r="AP21" s="644"/>
      <c r="AQ21" s="644"/>
      <c r="AR21" s="644"/>
      <c r="AS21" s="644"/>
      <c r="AT21" s="644"/>
      <c r="AU21" s="644"/>
      <c r="AV21" s="644"/>
      <c r="AW21" s="644"/>
      <c r="AX21" s="644"/>
      <c r="AY21" s="644"/>
      <c r="AZ21" s="644"/>
      <c r="BA21" s="644"/>
      <c r="BB21" s="644"/>
      <c r="BC21" s="644"/>
      <c r="BD21" s="644"/>
      <c r="BE21" s="644"/>
      <c r="BF21" s="644"/>
      <c r="BG21" s="644"/>
      <c r="BH21" s="644"/>
    </row>
    <row r="22" spans="1:60" s="645" customFormat="1" ht="14">
      <c r="A22" s="631" t="s">
        <v>459</v>
      </c>
      <c r="B22" s="632" t="s">
        <v>356</v>
      </c>
      <c r="C22" s="632" t="s">
        <v>461</v>
      </c>
      <c r="D22" s="1018"/>
      <c r="E22" s="55" t="s">
        <v>456</v>
      </c>
      <c r="F22" s="55" t="s">
        <v>457</v>
      </c>
      <c r="G22" s="55" t="s">
        <v>457</v>
      </c>
      <c r="H22" s="56">
        <f>'Financial activity types '!$C$7</f>
        <v>0</v>
      </c>
      <c r="I22" s="642">
        <f>_xlfn.XLOOKUP($L22,'Climate-Alignment Target'!$AI$15:$AI$762,'Climate-Alignment Target'!N$15:N$762,"",0)</f>
        <v>0</v>
      </c>
      <c r="J22" s="643" t="str">
        <f>_xlfn.XLOOKUP($L22,'Climate-Alignment Target'!$AI$15:$AI$762,'Climate-Alignment Target'!P$15:P$762,"",0)</f>
        <v/>
      </c>
      <c r="K22" s="644"/>
      <c r="L22" s="644" t="s">
        <v>425</v>
      </c>
      <c r="M22" s="644"/>
      <c r="N22" s="644"/>
      <c r="O22" s="644"/>
      <c r="P22" s="644"/>
      <c r="Q22" s="644"/>
      <c r="R22" s="644"/>
      <c r="S22" s="644"/>
      <c r="T22" s="644"/>
      <c r="U22" s="644"/>
      <c r="V22" s="644"/>
      <c r="W22" s="644"/>
      <c r="X22" s="644"/>
      <c r="Y22" s="644"/>
      <c r="Z22" s="644"/>
      <c r="AA22" s="644"/>
      <c r="AB22" s="644"/>
      <c r="AC22" s="644"/>
      <c r="AD22" s="644"/>
      <c r="AE22" s="644"/>
      <c r="AF22" s="644"/>
      <c r="AG22" s="644"/>
      <c r="AH22" s="644"/>
      <c r="AI22" s="644"/>
      <c r="AJ22" s="644"/>
      <c r="AK22" s="644"/>
      <c r="AL22" s="644"/>
      <c r="AM22" s="644"/>
      <c r="AN22" s="644"/>
      <c r="AO22" s="644"/>
      <c r="AP22" s="644"/>
      <c r="AQ22" s="644"/>
      <c r="AR22" s="644"/>
      <c r="AS22" s="644"/>
      <c r="AT22" s="644"/>
      <c r="AU22" s="644"/>
      <c r="AV22" s="644"/>
      <c r="AW22" s="644"/>
      <c r="AX22" s="644"/>
      <c r="AY22" s="644"/>
      <c r="AZ22" s="644"/>
      <c r="BA22" s="644"/>
      <c r="BB22" s="644"/>
      <c r="BC22" s="644"/>
      <c r="BD22" s="644"/>
      <c r="BE22" s="644"/>
      <c r="BF22" s="644"/>
      <c r="BG22" s="644"/>
      <c r="BH22" s="644"/>
    </row>
    <row r="23" spans="1:60" s="645" customFormat="1" ht="14">
      <c r="A23" s="631" t="s">
        <v>459</v>
      </c>
      <c r="B23" s="632" t="s">
        <v>380</v>
      </c>
      <c r="C23" s="632" t="s">
        <v>461</v>
      </c>
      <c r="D23" s="1018"/>
      <c r="E23" s="55" t="s">
        <v>456</v>
      </c>
      <c r="F23" s="55" t="s">
        <v>458</v>
      </c>
      <c r="G23" s="56" t="s">
        <v>369</v>
      </c>
      <c r="H23" s="56">
        <f>'Financial activity types '!$C$7</f>
        <v>0</v>
      </c>
      <c r="I23" s="642">
        <f>_xlfn.XLOOKUP($L23,'Climate-Alignment Target'!$AI$15:$AI$762,'Climate-Alignment Target'!N$15:N$762,"",0)</f>
        <v>0</v>
      </c>
      <c r="J23" s="643" t="str">
        <f>_xlfn.XLOOKUP($L23,'Climate-Alignment Target'!$AI$15:$AI$762,'Climate-Alignment Target'!P$15:P$762,"",0)</f>
        <v/>
      </c>
      <c r="K23" s="644"/>
      <c r="L23" s="644" t="s">
        <v>426</v>
      </c>
      <c r="M23" s="644"/>
      <c r="N23" s="644"/>
      <c r="O23" s="644"/>
      <c r="P23" s="644"/>
      <c r="Q23" s="644"/>
      <c r="R23" s="644"/>
      <c r="S23" s="644"/>
      <c r="T23" s="644"/>
      <c r="U23" s="644"/>
      <c r="V23" s="644"/>
      <c r="W23" s="644"/>
      <c r="X23" s="644"/>
      <c r="Y23" s="644"/>
      <c r="Z23" s="644"/>
      <c r="AA23" s="644"/>
      <c r="AB23" s="644"/>
      <c r="AC23" s="644"/>
      <c r="AD23" s="644"/>
      <c r="AE23" s="644"/>
      <c r="AF23" s="644"/>
      <c r="AG23" s="644"/>
      <c r="AH23" s="644"/>
      <c r="AI23" s="644"/>
      <c r="AJ23" s="644"/>
      <c r="AK23" s="644"/>
      <c r="AL23" s="644"/>
      <c r="AM23" s="644"/>
      <c r="AN23" s="644"/>
      <c r="AO23" s="644"/>
      <c r="AP23" s="644"/>
      <c r="AQ23" s="644"/>
      <c r="AR23" s="644"/>
      <c r="AS23" s="644"/>
      <c r="AT23" s="644"/>
      <c r="AU23" s="644"/>
      <c r="AV23" s="644"/>
      <c r="AW23" s="644"/>
      <c r="AX23" s="644"/>
      <c r="AY23" s="644"/>
      <c r="AZ23" s="644"/>
      <c r="BA23" s="644"/>
      <c r="BB23" s="644"/>
      <c r="BC23" s="644"/>
      <c r="BD23" s="644"/>
      <c r="BE23" s="644"/>
      <c r="BF23" s="644"/>
      <c r="BG23" s="644"/>
      <c r="BH23" s="644"/>
    </row>
    <row r="24" spans="1:60" s="645" customFormat="1" ht="14">
      <c r="A24" s="631" t="s">
        <v>459</v>
      </c>
      <c r="B24" s="632" t="s">
        <v>380</v>
      </c>
      <c r="C24" s="632" t="s">
        <v>461</v>
      </c>
      <c r="D24" s="1018"/>
      <c r="E24" s="55" t="s">
        <v>456</v>
      </c>
      <c r="F24" s="55" t="s">
        <v>458</v>
      </c>
      <c r="G24" s="56" t="s">
        <v>372</v>
      </c>
      <c r="H24" s="56">
        <f>'Financial activity types '!$C$7</f>
        <v>0</v>
      </c>
      <c r="I24" s="642">
        <f>_xlfn.XLOOKUP($L24,'Climate-Alignment Target'!$AJ$15:$AJ$762,'Climate-Alignment Target'!N$15:N$762,"",0)</f>
        <v>0</v>
      </c>
      <c r="J24" s="643" t="str">
        <f>_xlfn.XLOOKUP($L24,'Climate-Alignment Target'!$AJ$15:$AJ$762,'Climate-Alignment Target'!Q$15:Q$762,"",0)</f>
        <v/>
      </c>
      <c r="K24" s="644"/>
      <c r="L24" s="644" t="s">
        <v>427</v>
      </c>
      <c r="M24" s="644"/>
      <c r="N24" s="644"/>
      <c r="O24" s="644"/>
      <c r="P24" s="644"/>
      <c r="Q24" s="644"/>
      <c r="R24" s="644"/>
      <c r="S24" s="644"/>
      <c r="T24" s="644"/>
      <c r="U24" s="644"/>
      <c r="V24" s="644"/>
      <c r="W24" s="644"/>
      <c r="X24" s="644"/>
      <c r="Y24" s="644"/>
      <c r="Z24" s="644"/>
      <c r="AA24" s="644"/>
      <c r="AB24" s="644"/>
      <c r="AC24" s="644"/>
      <c r="AD24" s="644"/>
      <c r="AE24" s="644"/>
      <c r="AF24" s="644"/>
      <c r="AG24" s="644"/>
      <c r="AH24" s="644"/>
      <c r="AI24" s="644"/>
      <c r="AJ24" s="644"/>
      <c r="AK24" s="644"/>
      <c r="AL24" s="644"/>
      <c r="AM24" s="644"/>
      <c r="AN24" s="644"/>
      <c r="AO24" s="644"/>
      <c r="AP24" s="644"/>
      <c r="AQ24" s="644"/>
      <c r="AR24" s="644"/>
      <c r="AS24" s="644"/>
      <c r="AT24" s="644"/>
      <c r="AU24" s="644"/>
      <c r="AV24" s="644"/>
      <c r="AW24" s="644"/>
      <c r="AX24" s="644"/>
      <c r="AY24" s="644"/>
      <c r="AZ24" s="644"/>
      <c r="BA24" s="644"/>
      <c r="BB24" s="644"/>
      <c r="BC24" s="644"/>
      <c r="BD24" s="644"/>
      <c r="BE24" s="644"/>
      <c r="BF24" s="644"/>
      <c r="BG24" s="644"/>
      <c r="BH24" s="644"/>
    </row>
    <row r="25" spans="1:60" s="645" customFormat="1" ht="14">
      <c r="A25" s="631" t="s">
        <v>453</v>
      </c>
      <c r="B25" s="632" t="s">
        <v>356</v>
      </c>
      <c r="C25" s="632" t="s">
        <v>462</v>
      </c>
      <c r="D25" s="1018"/>
      <c r="E25" s="55" t="s">
        <v>456</v>
      </c>
      <c r="F25" s="55" t="s">
        <v>457</v>
      </c>
      <c r="G25" s="55" t="s">
        <v>457</v>
      </c>
      <c r="H25" s="56">
        <f>'Financial activity types '!$C$7</f>
        <v>0</v>
      </c>
      <c r="I25" s="642">
        <f>_xlfn.XLOOKUP($L25,'Climate-Alignment Target'!$AI$15:$AI$762,'Climate-Alignment Target'!M$15:M$762,"",0)</f>
        <v>0</v>
      </c>
      <c r="J25" s="643" t="str">
        <f>_xlfn.XLOOKUP($L25,'Climate-Alignment Target'!$AI$15:$AI$762,'Climate-Alignment Target'!Q$15:Q$762,"",0)</f>
        <v/>
      </c>
      <c r="K25" s="644"/>
      <c r="L25" s="644" t="s">
        <v>431</v>
      </c>
      <c r="M25" s="644"/>
      <c r="N25" s="644"/>
      <c r="O25" s="644"/>
      <c r="P25" s="644"/>
      <c r="Q25" s="644"/>
      <c r="R25" s="644"/>
      <c r="S25" s="644"/>
      <c r="T25" s="644"/>
      <c r="U25" s="644"/>
      <c r="V25" s="644"/>
      <c r="W25" s="644"/>
      <c r="X25" s="644"/>
      <c r="Y25" s="644"/>
      <c r="Z25" s="644"/>
      <c r="AA25" s="644"/>
      <c r="AB25" s="644"/>
      <c r="AC25" s="644"/>
      <c r="AD25" s="644"/>
      <c r="AE25" s="644"/>
      <c r="AF25" s="644"/>
      <c r="AG25" s="644"/>
      <c r="AH25" s="644"/>
      <c r="AI25" s="644"/>
      <c r="AJ25" s="644"/>
      <c r="AK25" s="644"/>
      <c r="AL25" s="644"/>
      <c r="AM25" s="644"/>
      <c r="AN25" s="644"/>
      <c r="AO25" s="644"/>
      <c r="AP25" s="644"/>
      <c r="AQ25" s="644"/>
      <c r="AR25" s="644"/>
      <c r="AS25" s="644"/>
      <c r="AT25" s="644"/>
      <c r="AU25" s="644"/>
      <c r="AV25" s="644"/>
      <c r="AW25" s="644"/>
      <c r="AX25" s="644"/>
      <c r="AY25" s="644"/>
      <c r="AZ25" s="644"/>
      <c r="BA25" s="644"/>
      <c r="BB25" s="644"/>
      <c r="BC25" s="644"/>
      <c r="BD25" s="644"/>
      <c r="BE25" s="644"/>
      <c r="BF25" s="644"/>
      <c r="BG25" s="644"/>
      <c r="BH25" s="644"/>
    </row>
    <row r="26" spans="1:60" s="645" customFormat="1" ht="14">
      <c r="A26" s="631" t="s">
        <v>453</v>
      </c>
      <c r="B26" s="632" t="s">
        <v>380</v>
      </c>
      <c r="C26" s="632" t="s">
        <v>462</v>
      </c>
      <c r="D26" s="1018"/>
      <c r="E26" s="55" t="s">
        <v>456</v>
      </c>
      <c r="F26" s="55" t="s">
        <v>458</v>
      </c>
      <c r="G26" s="56" t="s">
        <v>369</v>
      </c>
      <c r="H26" s="56">
        <f>'Financial activity types '!$C$7</f>
        <v>0</v>
      </c>
      <c r="I26" s="642">
        <f>_xlfn.XLOOKUP($L26,'Climate-Alignment Target'!$AI$15:$AI$762,'Climate-Alignment Target'!M$15:M$762,"",0)</f>
        <v>0</v>
      </c>
      <c r="J26" s="643" t="str">
        <f>_xlfn.XLOOKUP($L26,'Climate-Alignment Target'!$AI$15:$AI$762,'Climate-Alignment Target'!Q$15:Q$762,"",0)</f>
        <v/>
      </c>
      <c r="K26" s="644"/>
      <c r="L26" s="644" t="s">
        <v>432</v>
      </c>
      <c r="M26" s="644"/>
      <c r="N26" s="644"/>
      <c r="O26" s="644"/>
      <c r="P26" s="644"/>
      <c r="Q26" s="644"/>
      <c r="R26" s="644"/>
      <c r="S26" s="644"/>
      <c r="T26" s="644"/>
      <c r="U26" s="644"/>
      <c r="V26" s="644"/>
      <c r="W26" s="644"/>
      <c r="X26" s="644"/>
      <c r="Y26" s="644"/>
      <c r="Z26" s="644"/>
      <c r="AA26" s="644"/>
      <c r="AB26" s="644"/>
      <c r="AC26" s="644"/>
      <c r="AD26" s="644"/>
      <c r="AE26" s="644"/>
      <c r="AF26" s="644"/>
      <c r="AG26" s="644"/>
      <c r="AH26" s="644"/>
      <c r="AI26" s="644"/>
      <c r="AJ26" s="644"/>
      <c r="AK26" s="644"/>
      <c r="AL26" s="644"/>
      <c r="AM26" s="644"/>
      <c r="AN26" s="644"/>
      <c r="AO26" s="644"/>
      <c r="AP26" s="644"/>
      <c r="AQ26" s="644"/>
      <c r="AR26" s="644"/>
      <c r="AS26" s="644"/>
      <c r="AT26" s="644"/>
      <c r="AU26" s="644"/>
      <c r="AV26" s="644"/>
      <c r="AW26" s="644"/>
      <c r="AX26" s="644"/>
      <c r="AY26" s="644"/>
      <c r="AZ26" s="644"/>
      <c r="BA26" s="644"/>
      <c r="BB26" s="644"/>
      <c r="BC26" s="644"/>
      <c r="BD26" s="644"/>
      <c r="BE26" s="644"/>
      <c r="BF26" s="644"/>
      <c r="BG26" s="644"/>
      <c r="BH26" s="644"/>
    </row>
    <row r="27" spans="1:60" s="645" customFormat="1" ht="14">
      <c r="A27" s="631" t="s">
        <v>453</v>
      </c>
      <c r="B27" s="632" t="s">
        <v>380</v>
      </c>
      <c r="C27" s="632" t="s">
        <v>462</v>
      </c>
      <c r="D27" s="1018"/>
      <c r="E27" s="55" t="s">
        <v>456</v>
      </c>
      <c r="F27" s="55" t="s">
        <v>458</v>
      </c>
      <c r="G27" s="56" t="s">
        <v>372</v>
      </c>
      <c r="H27" s="56">
        <f>'Financial activity types '!$C$7</f>
        <v>0</v>
      </c>
      <c r="I27" s="642">
        <f>_xlfn.XLOOKUP($L27,'Climate-Alignment Target'!$AJ$15:$AJ$762,'Climate-Alignment Target'!M$15:M$762,"",0)</f>
        <v>0</v>
      </c>
      <c r="J27" s="643" t="str">
        <f>_xlfn.XLOOKUP($L27,'Climate-Alignment Target'!$AJ$15:$AJ$762,'Climate-Alignment Target'!R$15:R$762,"",0)</f>
        <v/>
      </c>
      <c r="K27" s="644"/>
      <c r="L27" s="644" t="s">
        <v>433</v>
      </c>
      <c r="M27" s="644"/>
      <c r="N27" s="644"/>
      <c r="O27" s="644"/>
      <c r="P27" s="644"/>
      <c r="Q27" s="644"/>
      <c r="R27" s="644"/>
      <c r="S27" s="644"/>
      <c r="T27" s="644"/>
      <c r="U27" s="644"/>
      <c r="V27" s="644"/>
      <c r="W27" s="644"/>
      <c r="X27" s="644"/>
      <c r="Y27" s="644"/>
      <c r="Z27" s="644"/>
      <c r="AA27" s="644"/>
      <c r="AB27" s="644"/>
      <c r="AC27" s="644"/>
      <c r="AD27" s="644"/>
      <c r="AE27" s="644"/>
      <c r="AF27" s="644"/>
      <c r="AG27" s="644"/>
      <c r="AH27" s="644"/>
      <c r="AI27" s="644"/>
      <c r="AJ27" s="644"/>
      <c r="AK27" s="644"/>
      <c r="AL27" s="644"/>
      <c r="AM27" s="644"/>
      <c r="AN27" s="644"/>
      <c r="AO27" s="644"/>
      <c r="AP27" s="644"/>
      <c r="AQ27" s="644"/>
      <c r="AR27" s="644"/>
      <c r="AS27" s="644"/>
      <c r="AT27" s="644"/>
      <c r="AU27" s="644"/>
      <c r="AV27" s="644"/>
      <c r="AW27" s="644"/>
      <c r="AX27" s="644"/>
      <c r="AY27" s="644"/>
      <c r="AZ27" s="644"/>
      <c r="BA27" s="644"/>
      <c r="BB27" s="644"/>
      <c r="BC27" s="644"/>
      <c r="BD27" s="644"/>
      <c r="BE27" s="644"/>
      <c r="BF27" s="644"/>
      <c r="BG27" s="644"/>
      <c r="BH27" s="644"/>
    </row>
    <row r="28" spans="1:60" s="645" customFormat="1" ht="14">
      <c r="A28" s="631" t="s">
        <v>459</v>
      </c>
      <c r="B28" s="632" t="s">
        <v>356</v>
      </c>
      <c r="C28" s="632" t="s">
        <v>462</v>
      </c>
      <c r="D28" s="1018"/>
      <c r="E28" s="55" t="s">
        <v>456</v>
      </c>
      <c r="F28" s="55" t="s">
        <v>457</v>
      </c>
      <c r="G28" s="55" t="s">
        <v>457</v>
      </c>
      <c r="H28" s="56">
        <f>'Financial activity types '!$C$7</f>
        <v>0</v>
      </c>
      <c r="I28" s="642">
        <f>_xlfn.XLOOKUP($L28,'Climate-Alignment Target'!$AI$15:$AI$762,'Climate-Alignment Target'!N$15:N$762,"",0)</f>
        <v>0</v>
      </c>
      <c r="J28" s="643" t="str">
        <f>_xlfn.XLOOKUP($L28,'Climate-Alignment Target'!$AI$15:$AI$762,'Climate-Alignment Target'!P$15:P$762,"",0)</f>
        <v/>
      </c>
      <c r="K28" s="644"/>
      <c r="L28" s="644" t="s">
        <v>434</v>
      </c>
      <c r="M28" s="644"/>
      <c r="N28" s="644"/>
      <c r="O28" s="644"/>
      <c r="P28" s="644"/>
      <c r="Q28" s="644"/>
      <c r="R28" s="644"/>
      <c r="S28" s="644"/>
      <c r="T28" s="644"/>
      <c r="U28" s="644"/>
      <c r="V28" s="644"/>
      <c r="W28" s="644"/>
      <c r="X28" s="644"/>
      <c r="Y28" s="644"/>
      <c r="Z28" s="644"/>
      <c r="AA28" s="644"/>
      <c r="AB28" s="644"/>
      <c r="AC28" s="644"/>
      <c r="AD28" s="644"/>
      <c r="AE28" s="644"/>
      <c r="AF28" s="644"/>
      <c r="AG28" s="644"/>
      <c r="AH28" s="644"/>
      <c r="AI28" s="644"/>
      <c r="AJ28" s="644"/>
      <c r="AK28" s="644"/>
      <c r="AL28" s="644"/>
      <c r="AM28" s="644"/>
      <c r="AN28" s="644"/>
      <c r="AO28" s="644"/>
      <c r="AP28" s="644"/>
      <c r="AQ28" s="644"/>
      <c r="AR28" s="644"/>
      <c r="AS28" s="644"/>
      <c r="AT28" s="644"/>
      <c r="AU28" s="644"/>
      <c r="AV28" s="644"/>
      <c r="AW28" s="644"/>
      <c r="AX28" s="644"/>
      <c r="AY28" s="644"/>
      <c r="AZ28" s="644"/>
      <c r="BA28" s="644"/>
      <c r="BB28" s="644"/>
      <c r="BC28" s="644"/>
      <c r="BD28" s="644"/>
      <c r="BE28" s="644"/>
      <c r="BF28" s="644"/>
      <c r="BG28" s="644"/>
      <c r="BH28" s="644"/>
    </row>
    <row r="29" spans="1:60" s="645" customFormat="1" ht="14">
      <c r="A29" s="631" t="s">
        <v>459</v>
      </c>
      <c r="B29" s="632" t="s">
        <v>380</v>
      </c>
      <c r="C29" s="632" t="s">
        <v>462</v>
      </c>
      <c r="D29" s="1018"/>
      <c r="E29" s="55" t="s">
        <v>456</v>
      </c>
      <c r="F29" s="55" t="s">
        <v>458</v>
      </c>
      <c r="G29" s="56" t="s">
        <v>369</v>
      </c>
      <c r="H29" s="56">
        <f>'Financial activity types '!$C$7</f>
        <v>0</v>
      </c>
      <c r="I29" s="642">
        <f>_xlfn.XLOOKUP($L29,'Climate-Alignment Target'!$AI$15:$AI$762,'Climate-Alignment Target'!N$15:N$762,"",0)</f>
        <v>0</v>
      </c>
      <c r="J29" s="643" t="str">
        <f>_xlfn.XLOOKUP($L29,'Climate-Alignment Target'!$AI$15:$AI$762,'Climate-Alignment Target'!P$15:P$762,"",0)</f>
        <v/>
      </c>
      <c r="K29" s="644"/>
      <c r="L29" s="644" t="s">
        <v>435</v>
      </c>
      <c r="M29" s="644"/>
      <c r="N29" s="644"/>
      <c r="O29" s="644"/>
      <c r="P29" s="644"/>
      <c r="Q29" s="644"/>
      <c r="R29" s="644"/>
      <c r="S29" s="644"/>
      <c r="T29" s="644"/>
      <c r="U29" s="644"/>
      <c r="V29" s="644"/>
      <c r="W29" s="644"/>
      <c r="X29" s="644"/>
      <c r="Y29" s="644"/>
      <c r="Z29" s="644"/>
      <c r="AA29" s="644"/>
      <c r="AB29" s="644"/>
      <c r="AC29" s="644"/>
      <c r="AD29" s="644"/>
      <c r="AE29" s="644"/>
      <c r="AF29" s="644"/>
      <c r="AG29" s="644"/>
      <c r="AH29" s="644"/>
      <c r="AI29" s="644"/>
      <c r="AJ29" s="644"/>
      <c r="AK29" s="644"/>
      <c r="AL29" s="644"/>
      <c r="AM29" s="644"/>
      <c r="AN29" s="644"/>
      <c r="AO29" s="644"/>
      <c r="AP29" s="644"/>
      <c r="AQ29" s="644"/>
      <c r="AR29" s="644"/>
      <c r="AS29" s="644"/>
      <c r="AT29" s="644"/>
      <c r="AU29" s="644"/>
      <c r="AV29" s="644"/>
      <c r="AW29" s="644"/>
      <c r="AX29" s="644"/>
      <c r="AY29" s="644"/>
      <c r="AZ29" s="644"/>
      <c r="BA29" s="644"/>
      <c r="BB29" s="644"/>
      <c r="BC29" s="644"/>
      <c r="BD29" s="644"/>
      <c r="BE29" s="644"/>
      <c r="BF29" s="644"/>
      <c r="BG29" s="644"/>
      <c r="BH29" s="644"/>
    </row>
    <row r="30" spans="1:60" s="645" customFormat="1" ht="14">
      <c r="A30" s="631" t="s">
        <v>459</v>
      </c>
      <c r="B30" s="632" t="s">
        <v>380</v>
      </c>
      <c r="C30" s="632" t="s">
        <v>462</v>
      </c>
      <c r="D30" s="1018"/>
      <c r="E30" s="55" t="s">
        <v>456</v>
      </c>
      <c r="F30" s="55" t="s">
        <v>458</v>
      </c>
      <c r="G30" s="56" t="s">
        <v>372</v>
      </c>
      <c r="H30" s="56">
        <f>'Financial activity types '!$C$7</f>
        <v>0</v>
      </c>
      <c r="I30" s="642">
        <f>_xlfn.XLOOKUP($L30,'Climate-Alignment Target'!$AJ$15:$AJ$762,'Climate-Alignment Target'!N$15:N$762,"",0)</f>
        <v>0</v>
      </c>
      <c r="J30" s="643" t="str">
        <f>_xlfn.XLOOKUP($L30,'Climate-Alignment Target'!$AJ$15:$AJ$762,'Climate-Alignment Target'!Q$15:Q$762,"",0)</f>
        <v/>
      </c>
      <c r="K30" s="644"/>
      <c r="L30" s="644" t="s">
        <v>436</v>
      </c>
      <c r="M30" s="644"/>
      <c r="N30" s="644"/>
      <c r="O30" s="644"/>
      <c r="P30" s="644"/>
      <c r="Q30" s="644"/>
      <c r="R30" s="644"/>
      <c r="S30" s="644"/>
      <c r="T30" s="644"/>
      <c r="U30" s="644"/>
      <c r="V30" s="644"/>
      <c r="W30" s="644"/>
      <c r="X30" s="644"/>
      <c r="Y30" s="644"/>
      <c r="Z30" s="644"/>
      <c r="AA30" s="644"/>
      <c r="AB30" s="644"/>
      <c r="AC30" s="644"/>
      <c r="AD30" s="644"/>
      <c r="AE30" s="644"/>
      <c r="AF30" s="644"/>
      <c r="AG30" s="644"/>
      <c r="AH30" s="644"/>
      <c r="AI30" s="644"/>
      <c r="AJ30" s="644"/>
      <c r="AK30" s="644"/>
      <c r="AL30" s="644"/>
      <c r="AM30" s="644"/>
      <c r="AN30" s="644"/>
      <c r="AO30" s="644"/>
      <c r="AP30" s="644"/>
      <c r="AQ30" s="644"/>
      <c r="AR30" s="644"/>
      <c r="AS30" s="644"/>
      <c r="AT30" s="644"/>
      <c r="AU30" s="644"/>
      <c r="AV30" s="644"/>
      <c r="AW30" s="644"/>
      <c r="AX30" s="644"/>
      <c r="AY30" s="644"/>
      <c r="AZ30" s="644"/>
      <c r="BA30" s="644"/>
      <c r="BB30" s="644"/>
      <c r="BC30" s="644"/>
      <c r="BD30" s="644"/>
      <c r="BE30" s="644"/>
      <c r="BF30" s="644"/>
      <c r="BG30" s="644"/>
      <c r="BH30" s="644"/>
    </row>
    <row r="31" spans="1:60" s="645" customFormat="1" ht="14">
      <c r="A31" s="631" t="s">
        <v>453</v>
      </c>
      <c r="B31" s="632" t="s">
        <v>356</v>
      </c>
      <c r="C31" s="632" t="s">
        <v>463</v>
      </c>
      <c r="D31" s="1018"/>
      <c r="E31" s="55" t="s">
        <v>456</v>
      </c>
      <c r="F31" s="55" t="s">
        <v>457</v>
      </c>
      <c r="G31" s="55" t="s">
        <v>457</v>
      </c>
      <c r="H31" s="56">
        <f>'Financial activity types '!$C$7</f>
        <v>0</v>
      </c>
      <c r="I31" s="642">
        <f>_xlfn.XLOOKUP($L31,'Climate-Alignment Target'!$AI$15:$AI$762,'Climate-Alignment Target'!M$15:M$762,"",0)</f>
        <v>0</v>
      </c>
      <c r="J31" s="643" t="str">
        <f>_xlfn.XLOOKUP($L31,'Climate-Alignment Target'!$AI$15:$AI$762,'Climate-Alignment Target'!Q$15:Q$762,"",0)</f>
        <v/>
      </c>
      <c r="K31" s="644"/>
      <c r="L31" s="644" t="s">
        <v>438</v>
      </c>
      <c r="M31" s="644"/>
      <c r="N31" s="644"/>
      <c r="O31" s="644"/>
      <c r="P31" s="644"/>
      <c r="Q31" s="644"/>
      <c r="R31" s="644"/>
      <c r="S31" s="644"/>
      <c r="T31" s="644"/>
      <c r="U31" s="644"/>
      <c r="V31" s="644"/>
      <c r="W31" s="644"/>
      <c r="X31" s="644"/>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4"/>
      <c r="AY31" s="644"/>
      <c r="AZ31" s="644"/>
      <c r="BA31" s="644"/>
      <c r="BB31" s="644"/>
      <c r="BC31" s="644"/>
      <c r="BD31" s="644"/>
      <c r="BE31" s="644"/>
      <c r="BF31" s="644"/>
      <c r="BG31" s="644"/>
      <c r="BH31" s="644"/>
    </row>
    <row r="32" spans="1:60" s="645" customFormat="1" ht="14">
      <c r="A32" s="631" t="s">
        <v>453</v>
      </c>
      <c r="B32" s="632" t="s">
        <v>380</v>
      </c>
      <c r="C32" s="632" t="s">
        <v>463</v>
      </c>
      <c r="D32" s="1018"/>
      <c r="E32" s="55" t="s">
        <v>456</v>
      </c>
      <c r="F32" s="55" t="s">
        <v>458</v>
      </c>
      <c r="G32" s="56" t="s">
        <v>369</v>
      </c>
      <c r="H32" s="56">
        <f>'Financial activity types '!$C$7</f>
        <v>0</v>
      </c>
      <c r="I32" s="642">
        <f>_xlfn.XLOOKUP($L32,'Climate-Alignment Target'!$AI$15:$AI$762,'Climate-Alignment Target'!M$15:M$762,"",0)</f>
        <v>0</v>
      </c>
      <c r="J32" s="643" t="str">
        <f>_xlfn.XLOOKUP($L32,'Climate-Alignment Target'!$AI$15:$AI$762,'Climate-Alignment Target'!Q$15:Q$762,"",0)</f>
        <v/>
      </c>
      <c r="K32" s="644"/>
      <c r="L32" s="644" t="s">
        <v>439</v>
      </c>
      <c r="M32" s="644"/>
      <c r="N32" s="644"/>
      <c r="O32" s="644"/>
      <c r="P32" s="644"/>
      <c r="Q32" s="644"/>
      <c r="R32" s="644"/>
      <c r="S32" s="644"/>
      <c r="T32" s="644"/>
      <c r="U32" s="644"/>
      <c r="V32" s="644"/>
      <c r="W32" s="644"/>
      <c r="X32" s="644"/>
      <c r="Y32" s="644"/>
      <c r="Z32" s="644"/>
      <c r="AA32" s="644"/>
      <c r="AB32" s="644"/>
      <c r="AC32" s="644"/>
      <c r="AD32" s="644"/>
      <c r="AE32" s="644"/>
      <c r="AF32" s="644"/>
      <c r="AG32" s="644"/>
      <c r="AH32" s="644"/>
      <c r="AI32" s="644"/>
      <c r="AJ32" s="644"/>
      <c r="AK32" s="644"/>
      <c r="AL32" s="644"/>
      <c r="AM32" s="644"/>
      <c r="AN32" s="644"/>
      <c r="AO32" s="644"/>
      <c r="AP32" s="644"/>
      <c r="AQ32" s="644"/>
      <c r="AR32" s="644"/>
      <c r="AS32" s="644"/>
      <c r="AT32" s="644"/>
      <c r="AU32" s="644"/>
      <c r="AV32" s="644"/>
      <c r="AW32" s="644"/>
      <c r="AX32" s="644"/>
      <c r="AY32" s="644"/>
      <c r="AZ32" s="644"/>
      <c r="BA32" s="644"/>
      <c r="BB32" s="644"/>
      <c r="BC32" s="644"/>
      <c r="BD32" s="644"/>
      <c r="BE32" s="644"/>
      <c r="BF32" s="644"/>
      <c r="BG32" s="644"/>
      <c r="BH32" s="644"/>
    </row>
    <row r="33" spans="1:60" s="645" customFormat="1" ht="14">
      <c r="A33" s="631" t="s">
        <v>453</v>
      </c>
      <c r="B33" s="632" t="s">
        <v>380</v>
      </c>
      <c r="C33" s="632" t="s">
        <v>463</v>
      </c>
      <c r="D33" s="1018"/>
      <c r="E33" s="55" t="s">
        <v>456</v>
      </c>
      <c r="F33" s="55" t="s">
        <v>458</v>
      </c>
      <c r="G33" s="56" t="s">
        <v>372</v>
      </c>
      <c r="H33" s="56">
        <f>'Financial activity types '!$C$7</f>
        <v>0</v>
      </c>
      <c r="I33" s="642">
        <f>_xlfn.XLOOKUP($L33,'Climate-Alignment Target'!$AJ$15:$AJ$762,'Climate-Alignment Target'!M$15:M$762,"",0)</f>
        <v>0</v>
      </c>
      <c r="J33" s="643" t="str">
        <f>_xlfn.XLOOKUP($L33,'Climate-Alignment Target'!$AJ$15:$AJ$762,'Climate-Alignment Target'!R$15:R$762,"",0)</f>
        <v/>
      </c>
      <c r="K33" s="644"/>
      <c r="L33" s="644" t="s">
        <v>440</v>
      </c>
      <c r="M33" s="644"/>
      <c r="N33" s="644"/>
      <c r="O33" s="644"/>
      <c r="P33" s="644"/>
      <c r="Q33" s="644"/>
      <c r="R33" s="644"/>
      <c r="S33" s="644"/>
      <c r="T33" s="644"/>
      <c r="U33" s="644"/>
      <c r="V33" s="644"/>
      <c r="W33" s="644"/>
      <c r="X33" s="644"/>
      <c r="Y33" s="644"/>
      <c r="Z33" s="644"/>
      <c r="AA33" s="644"/>
      <c r="AB33" s="644"/>
      <c r="AC33" s="644"/>
      <c r="AD33" s="644"/>
      <c r="AE33" s="644"/>
      <c r="AF33" s="644"/>
      <c r="AG33" s="644"/>
      <c r="AH33" s="644"/>
      <c r="AI33" s="644"/>
      <c r="AJ33" s="644"/>
      <c r="AK33" s="644"/>
      <c r="AL33" s="644"/>
      <c r="AM33" s="644"/>
      <c r="AN33" s="644"/>
      <c r="AO33" s="644"/>
      <c r="AP33" s="644"/>
      <c r="AQ33" s="644"/>
      <c r="AR33" s="644"/>
      <c r="AS33" s="644"/>
      <c r="AT33" s="644"/>
      <c r="AU33" s="644"/>
      <c r="AV33" s="644"/>
      <c r="AW33" s="644"/>
      <c r="AX33" s="644"/>
      <c r="AY33" s="644"/>
      <c r="AZ33" s="644"/>
      <c r="BA33" s="644"/>
      <c r="BB33" s="644"/>
      <c r="BC33" s="644"/>
      <c r="BD33" s="644"/>
      <c r="BE33" s="644"/>
      <c r="BF33" s="644"/>
      <c r="BG33" s="644"/>
      <c r="BH33" s="644"/>
    </row>
    <row r="34" spans="1:60" s="645" customFormat="1" ht="14">
      <c r="A34" s="631" t="s">
        <v>459</v>
      </c>
      <c r="B34" s="632" t="s">
        <v>356</v>
      </c>
      <c r="C34" s="632" t="s">
        <v>463</v>
      </c>
      <c r="D34" s="1018"/>
      <c r="E34" s="55" t="s">
        <v>456</v>
      </c>
      <c r="F34" s="55" t="s">
        <v>457</v>
      </c>
      <c r="G34" s="55" t="s">
        <v>457</v>
      </c>
      <c r="H34" s="56">
        <f>'Financial activity types '!$C$7</f>
        <v>0</v>
      </c>
      <c r="I34" s="642">
        <f>_xlfn.XLOOKUP($L34,'Climate-Alignment Target'!$AI$15:$AI$762,'Climate-Alignment Target'!N$15:N$762,"",0)</f>
        <v>0</v>
      </c>
      <c r="J34" s="643" t="str">
        <f>_xlfn.XLOOKUP($L34,'Climate-Alignment Target'!$AI$15:$AI$762,'Climate-Alignment Target'!P$15:P$762,"",0)</f>
        <v/>
      </c>
      <c r="K34" s="644"/>
      <c r="L34" s="644" t="s">
        <v>441</v>
      </c>
      <c r="M34" s="644"/>
      <c r="N34" s="644"/>
      <c r="O34" s="644"/>
      <c r="P34" s="644"/>
      <c r="Q34" s="644"/>
      <c r="R34" s="644"/>
      <c r="S34" s="644"/>
      <c r="T34" s="644"/>
      <c r="U34" s="644"/>
      <c r="V34" s="644"/>
      <c r="W34" s="644"/>
      <c r="X34" s="644"/>
      <c r="Y34" s="644"/>
      <c r="Z34" s="644"/>
      <c r="AA34" s="644"/>
      <c r="AB34" s="644"/>
      <c r="AC34" s="644"/>
      <c r="AD34" s="644"/>
      <c r="AE34" s="644"/>
      <c r="AF34" s="644"/>
      <c r="AG34" s="644"/>
      <c r="AH34" s="644"/>
      <c r="AI34" s="644"/>
      <c r="AJ34" s="644"/>
      <c r="AK34" s="644"/>
      <c r="AL34" s="644"/>
      <c r="AM34" s="644"/>
      <c r="AN34" s="644"/>
      <c r="AO34" s="644"/>
      <c r="AP34" s="644"/>
      <c r="AQ34" s="644"/>
      <c r="AR34" s="644"/>
      <c r="AS34" s="644"/>
      <c r="AT34" s="644"/>
      <c r="AU34" s="644"/>
      <c r="AV34" s="644"/>
      <c r="AW34" s="644"/>
      <c r="AX34" s="644"/>
      <c r="AY34" s="644"/>
      <c r="AZ34" s="644"/>
      <c r="BA34" s="644"/>
      <c r="BB34" s="644"/>
      <c r="BC34" s="644"/>
      <c r="BD34" s="644"/>
      <c r="BE34" s="644"/>
      <c r="BF34" s="644"/>
      <c r="BG34" s="644"/>
      <c r="BH34" s="644"/>
    </row>
    <row r="35" spans="1:60" s="645" customFormat="1" ht="14">
      <c r="A35" s="631" t="s">
        <v>459</v>
      </c>
      <c r="B35" s="632" t="s">
        <v>380</v>
      </c>
      <c r="C35" s="632" t="s">
        <v>463</v>
      </c>
      <c r="D35" s="1018"/>
      <c r="E35" s="55" t="s">
        <v>456</v>
      </c>
      <c r="F35" s="55" t="s">
        <v>458</v>
      </c>
      <c r="G35" s="56" t="s">
        <v>369</v>
      </c>
      <c r="H35" s="56">
        <f>'Financial activity types '!$C$7</f>
        <v>0</v>
      </c>
      <c r="I35" s="642">
        <f>_xlfn.XLOOKUP($L35,'Climate-Alignment Target'!$AI$15:$AI$762,'Climate-Alignment Target'!N$15:N$762,"",0)</f>
        <v>0</v>
      </c>
      <c r="J35" s="643" t="str">
        <f>_xlfn.XLOOKUP($L35,'Climate-Alignment Target'!$AI$15:$AI$762,'Climate-Alignment Target'!P$15:P$762,"",0)</f>
        <v/>
      </c>
      <c r="K35" s="644"/>
      <c r="L35" s="644" t="s">
        <v>442</v>
      </c>
      <c r="M35" s="644"/>
      <c r="N35" s="644"/>
      <c r="O35" s="644"/>
      <c r="P35" s="644"/>
      <c r="Q35" s="644"/>
      <c r="R35" s="644"/>
      <c r="S35" s="644"/>
      <c r="T35" s="644"/>
      <c r="U35" s="644"/>
      <c r="V35" s="644"/>
      <c r="W35" s="644"/>
      <c r="X35" s="644"/>
      <c r="Y35" s="644"/>
      <c r="Z35" s="644"/>
      <c r="AA35" s="644"/>
      <c r="AB35" s="644"/>
      <c r="AC35" s="644"/>
      <c r="AD35" s="644"/>
      <c r="AE35" s="644"/>
      <c r="AF35" s="644"/>
      <c r="AG35" s="644"/>
      <c r="AH35" s="644"/>
      <c r="AI35" s="644"/>
      <c r="AJ35" s="644"/>
      <c r="AK35" s="644"/>
      <c r="AL35" s="644"/>
      <c r="AM35" s="644"/>
      <c r="AN35" s="644"/>
      <c r="AO35" s="644"/>
      <c r="AP35" s="644"/>
      <c r="AQ35" s="644"/>
      <c r="AR35" s="644"/>
      <c r="AS35" s="644"/>
      <c r="AT35" s="644"/>
      <c r="AU35" s="644"/>
      <c r="AV35" s="644"/>
      <c r="AW35" s="644"/>
      <c r="AX35" s="644"/>
      <c r="AY35" s="644"/>
      <c r="AZ35" s="644"/>
      <c r="BA35" s="644"/>
      <c r="BB35" s="644"/>
      <c r="BC35" s="644"/>
      <c r="BD35" s="644"/>
      <c r="BE35" s="644"/>
      <c r="BF35" s="644"/>
      <c r="BG35" s="644"/>
      <c r="BH35" s="644"/>
    </row>
    <row r="36" spans="1:60" s="645" customFormat="1" ht="14">
      <c r="A36" s="633" t="s">
        <v>459</v>
      </c>
      <c r="B36" s="634" t="s">
        <v>380</v>
      </c>
      <c r="C36" s="634" t="s">
        <v>463</v>
      </c>
      <c r="D36" s="1018"/>
      <c r="E36" s="55" t="s">
        <v>456</v>
      </c>
      <c r="F36" s="55" t="s">
        <v>458</v>
      </c>
      <c r="G36" s="56" t="s">
        <v>372</v>
      </c>
      <c r="H36" s="56">
        <f>'Financial activity types '!$C$7</f>
        <v>0</v>
      </c>
      <c r="I36" s="642">
        <f>_xlfn.XLOOKUP($L36,'Climate-Alignment Target'!$AJ$15:$AJ$762,'Climate-Alignment Target'!N$15:N$762,"",0)</f>
        <v>0</v>
      </c>
      <c r="J36" s="643" t="str">
        <f>_xlfn.XLOOKUP($L36,'Climate-Alignment Target'!$AJ$15:$AJ$762,'Climate-Alignment Target'!Q$15:Q$762,"",0)</f>
        <v/>
      </c>
      <c r="K36" s="644"/>
      <c r="L36" s="644" t="s">
        <v>443</v>
      </c>
      <c r="M36" s="644"/>
      <c r="N36" s="644"/>
      <c r="O36" s="644"/>
      <c r="P36" s="644"/>
      <c r="Q36" s="644"/>
      <c r="R36" s="644"/>
      <c r="S36" s="644"/>
      <c r="T36" s="644"/>
      <c r="U36" s="644"/>
      <c r="V36" s="644"/>
      <c r="W36" s="644"/>
      <c r="X36" s="644"/>
      <c r="Y36" s="644"/>
      <c r="Z36" s="644"/>
      <c r="AA36" s="644"/>
      <c r="AB36" s="644"/>
      <c r="AC36" s="644"/>
      <c r="AD36" s="644"/>
      <c r="AE36" s="644"/>
      <c r="AF36" s="644"/>
      <c r="AG36" s="644"/>
      <c r="AH36" s="644"/>
      <c r="AI36" s="644"/>
      <c r="AJ36" s="644"/>
      <c r="AK36" s="644"/>
      <c r="AL36" s="644"/>
      <c r="AM36" s="644"/>
      <c r="AN36" s="644"/>
      <c r="AO36" s="644"/>
      <c r="AP36" s="644"/>
      <c r="AQ36" s="644"/>
      <c r="AR36" s="644"/>
      <c r="AS36" s="644"/>
      <c r="AT36" s="644"/>
      <c r="AU36" s="644"/>
      <c r="AV36" s="644"/>
      <c r="AW36" s="644"/>
      <c r="AX36" s="644"/>
      <c r="AY36" s="644"/>
      <c r="AZ36" s="644"/>
      <c r="BA36" s="644"/>
      <c r="BB36" s="644"/>
      <c r="BC36" s="644"/>
      <c r="BD36" s="644"/>
      <c r="BE36" s="644"/>
      <c r="BF36" s="644"/>
      <c r="BG36" s="644"/>
      <c r="BH36" s="644"/>
    </row>
    <row r="37" spans="1:60"/>
    <row r="40" spans="1:60" ht="13" hidden="1" customHeight="1">
      <c r="A40" s="636"/>
      <c r="B40" s="636"/>
      <c r="C40" s="636"/>
    </row>
    <row r="41" spans="1:60" ht="13" hidden="1" customHeight="1">
      <c r="A41" s="636"/>
      <c r="B41" s="636"/>
      <c r="C41" s="636"/>
    </row>
    <row r="42" spans="1:60" ht="13" hidden="1" customHeight="1">
      <c r="A42" s="636"/>
      <c r="B42" s="636"/>
      <c r="C42" s="636"/>
    </row>
    <row r="43" spans="1:60" ht="7" customHeight="1">
      <c r="A43" s="636"/>
      <c r="B43" s="636"/>
      <c r="C43" s="636"/>
    </row>
    <row r="44" spans="1:60" ht="72" customHeight="1">
      <c r="A44" s="891" t="s">
        <v>738</v>
      </c>
      <c r="B44" s="891"/>
      <c r="C44" s="891"/>
      <c r="E44" s="1014" t="s">
        <v>731</v>
      </c>
      <c r="F44" s="1015"/>
      <c r="G44" s="1015"/>
      <c r="H44" s="1015"/>
      <c r="I44" s="1015"/>
      <c r="J44" s="635"/>
    </row>
    <row r="45" spans="1:60" ht="85">
      <c r="A45" s="630" t="s">
        <v>831</v>
      </c>
      <c r="B45" s="630" t="s">
        <v>832</v>
      </c>
      <c r="C45" s="630" t="s">
        <v>736</v>
      </c>
      <c r="D45" s="51" t="s">
        <v>733</v>
      </c>
      <c r="E45" s="52" t="s">
        <v>448</v>
      </c>
      <c r="F45" s="52" t="s">
        <v>735</v>
      </c>
      <c r="G45" s="52" t="s">
        <v>451</v>
      </c>
      <c r="H45" s="629" t="s">
        <v>732</v>
      </c>
      <c r="I45" s="54" t="s">
        <v>452</v>
      </c>
      <c r="J45" s="627"/>
      <c r="BH45" s="125"/>
    </row>
    <row r="46" spans="1:60" ht="16">
      <c r="A46" s="631" t="s">
        <v>453</v>
      </c>
      <c r="B46" s="632" t="s">
        <v>356</v>
      </c>
      <c r="C46" s="632" t="s">
        <v>454</v>
      </c>
      <c r="D46" s="1011" t="s">
        <v>800</v>
      </c>
      <c r="E46" s="55" t="s">
        <v>456</v>
      </c>
      <c r="F46" s="55" t="s">
        <v>457</v>
      </c>
      <c r="G46" s="56">
        <f>'Financial activity types '!$C$7</f>
        <v>0</v>
      </c>
      <c r="H46" s="56">
        <f>INDEX('Climate-Alignment Target'!S20:S23, 1)</f>
        <v>0</v>
      </c>
      <c r="I46" s="641" t="str">
        <f>_xlfn.LET(_xlpm.value, INDEX('Climate-Alignment Target'!T20:T23, 1), IF(_xlpm.value = 0, "", _xlpm.value))</f>
        <v/>
      </c>
      <c r="J46" s="627"/>
      <c r="BH46" s="125"/>
    </row>
    <row r="47" spans="1:60" ht="16">
      <c r="A47" s="631" t="s">
        <v>453</v>
      </c>
      <c r="B47" s="632" t="s">
        <v>380</v>
      </c>
      <c r="C47" s="632" t="s">
        <v>454</v>
      </c>
      <c r="D47" s="1012"/>
      <c r="E47" s="55" t="s">
        <v>456</v>
      </c>
      <c r="F47" s="55" t="s">
        <v>458</v>
      </c>
      <c r="G47" s="56">
        <f>'Financial activity types '!$C$7</f>
        <v>0</v>
      </c>
      <c r="H47" s="56">
        <f>INDEX('Climate-Alignment Target'!S32:S39, 1)</f>
        <v>0</v>
      </c>
      <c r="I47" s="641" t="str">
        <f>_xlfn.LET(_xlpm.value, INDEX('Climate-Alignment Target'!T32:T39, 1), IF(_xlpm.value = 0, "", _xlpm.value))</f>
        <v/>
      </c>
      <c r="J47" s="627"/>
      <c r="BH47" s="125"/>
    </row>
    <row r="48" spans="1:60" ht="16">
      <c r="A48" s="631" t="s">
        <v>459</v>
      </c>
      <c r="B48" s="632" t="s">
        <v>356</v>
      </c>
      <c r="C48" s="632" t="s">
        <v>454</v>
      </c>
      <c r="D48" s="1012"/>
      <c r="E48" s="55" t="s">
        <v>456</v>
      </c>
      <c r="F48" s="55" t="s">
        <v>457</v>
      </c>
      <c r="G48" s="56">
        <f>'Financial activity types '!$C$7</f>
        <v>0</v>
      </c>
      <c r="H48" s="56">
        <f>INDEX('Climate-Alignment Target'!Q79:Q82, 1)</f>
        <v>0</v>
      </c>
      <c r="I48" s="641" t="str">
        <f>_xlfn.LET(_xlpm.value, INDEX('Climate-Alignment Target'!R79:R82, 1), IF(_xlpm.value = 0, "", _xlpm.value))</f>
        <v/>
      </c>
      <c r="J48" s="627"/>
      <c r="BH48" s="125"/>
    </row>
    <row r="49" spans="1:60" ht="16">
      <c r="A49" s="631" t="s">
        <v>459</v>
      </c>
      <c r="B49" s="632" t="s">
        <v>380</v>
      </c>
      <c r="C49" s="632" t="s">
        <v>454</v>
      </c>
      <c r="D49" s="1012"/>
      <c r="E49" s="55" t="s">
        <v>456</v>
      </c>
      <c r="F49" s="55" t="s">
        <v>458</v>
      </c>
      <c r="G49" s="56">
        <f>'Financial activity types '!$C$7</f>
        <v>0</v>
      </c>
      <c r="H49" s="56">
        <f>INDEX('Climate-Alignment Target'!R142:R149, 1)</f>
        <v>0</v>
      </c>
      <c r="I49" s="641" t="str">
        <f>_xlfn.LET(_xlpm.value, INDEX('Climate-Alignment Target'!S142:S149, 1), IF(_xlpm.value = 0, "", _xlpm.value))</f>
        <v/>
      </c>
      <c r="J49" s="627"/>
      <c r="BH49" s="125"/>
    </row>
    <row r="50" spans="1:60" ht="16">
      <c r="A50" s="631" t="s">
        <v>453</v>
      </c>
      <c r="B50" s="632" t="s">
        <v>356</v>
      </c>
      <c r="C50" s="632" t="s">
        <v>460</v>
      </c>
      <c r="D50" s="1012"/>
      <c r="E50" s="55" t="s">
        <v>456</v>
      </c>
      <c r="F50" s="55" t="s">
        <v>457</v>
      </c>
      <c r="G50" s="56">
        <f>'Financial activity types '!$C$7</f>
        <v>0</v>
      </c>
      <c r="H50" s="56">
        <f>INDEX('Climate-Alignment Target'!S171:S174, 1)</f>
        <v>0</v>
      </c>
      <c r="I50" s="641" t="str">
        <f>_xlfn.LET(_xlpm.value, INDEX('Climate-Alignment Target'!T171:T174, 1), IF(_xlpm.value = 0, "", _xlpm.value))</f>
        <v/>
      </c>
      <c r="J50" s="627"/>
      <c r="BH50" s="125"/>
    </row>
    <row r="51" spans="1:60" ht="16">
      <c r="A51" s="631" t="s">
        <v>453</v>
      </c>
      <c r="B51" s="632" t="s">
        <v>380</v>
      </c>
      <c r="C51" s="632" t="s">
        <v>460</v>
      </c>
      <c r="D51" s="1012"/>
      <c r="E51" s="55" t="s">
        <v>456</v>
      </c>
      <c r="F51" s="55" t="s">
        <v>458</v>
      </c>
      <c r="G51" s="56">
        <f>'Financial activity types '!$C$7</f>
        <v>0</v>
      </c>
      <c r="H51" s="56">
        <f>INDEX('Climate-Alignment Target'!S183:S190, 1)</f>
        <v>0</v>
      </c>
      <c r="I51" s="641" t="str">
        <f>_xlfn.LET(_xlpm.value, INDEX('Climate-Alignment Target'!T183:T190, 1), IF(_xlpm.value = 0, "", _xlpm.value))</f>
        <v/>
      </c>
      <c r="J51" s="627"/>
      <c r="BH51" s="125"/>
    </row>
    <row r="52" spans="1:60" ht="16">
      <c r="A52" s="631" t="s">
        <v>459</v>
      </c>
      <c r="B52" s="632" t="s">
        <v>356</v>
      </c>
      <c r="C52" s="632" t="s">
        <v>460</v>
      </c>
      <c r="D52" s="1012"/>
      <c r="E52" s="55" t="s">
        <v>456</v>
      </c>
      <c r="F52" s="55" t="s">
        <v>457</v>
      </c>
      <c r="G52" s="56">
        <f>'Financial activity types '!$C$7</f>
        <v>0</v>
      </c>
      <c r="H52" s="56">
        <f>INDEX('Climate-Alignment Target'!Q231:Q234, 1)</f>
        <v>0</v>
      </c>
      <c r="I52" s="641" t="str">
        <f>_xlfn.LET(_xlpm.value, INDEX('Climate-Alignment Target'!R231:R234, 1), IF(_xlpm.value = 0, "", _xlpm.value))</f>
        <v/>
      </c>
      <c r="J52" s="627"/>
      <c r="BH52" s="125"/>
    </row>
    <row r="53" spans="1:60" ht="16">
      <c r="A53" s="631" t="s">
        <v>459</v>
      </c>
      <c r="B53" s="632" t="s">
        <v>380</v>
      </c>
      <c r="C53" s="632" t="s">
        <v>460</v>
      </c>
      <c r="D53" s="1012"/>
      <c r="E53" s="55" t="s">
        <v>456</v>
      </c>
      <c r="F53" s="55" t="s">
        <v>458</v>
      </c>
      <c r="G53" s="56">
        <f>'Financial activity types '!$C$7</f>
        <v>0</v>
      </c>
      <c r="H53" s="56">
        <f>INDEX('Climate-Alignment Target'!R296:R303, 1)</f>
        <v>0</v>
      </c>
      <c r="I53" s="641" t="str">
        <f>_xlfn.LET(_xlpm.value, INDEX('Climate-Alignment Target'!S296:S303, 1), IF(_xlpm.value = 0, "", _xlpm.value))</f>
        <v/>
      </c>
      <c r="J53" s="627"/>
      <c r="BH53" s="125"/>
    </row>
    <row r="54" spans="1:60" ht="16">
      <c r="A54" s="631" t="s">
        <v>453</v>
      </c>
      <c r="B54" s="632" t="s">
        <v>356</v>
      </c>
      <c r="C54" s="632" t="s">
        <v>461</v>
      </c>
      <c r="D54" s="1012"/>
      <c r="E54" s="55" t="s">
        <v>456</v>
      </c>
      <c r="F54" s="55" t="s">
        <v>457</v>
      </c>
      <c r="G54" s="56">
        <f>'Financial activity types '!$C$7</f>
        <v>0</v>
      </c>
      <c r="H54" s="56">
        <f>INDEX('Climate-Alignment Target'!S324:S327, 1)</f>
        <v>0</v>
      </c>
      <c r="I54" s="641" t="str">
        <f>_xlfn.LET(_xlpm.value, INDEX('Climate-Alignment Target'!T324:T327, 1), IF(_xlpm.value = 0, "", _xlpm.value))</f>
        <v/>
      </c>
      <c r="J54" s="627"/>
      <c r="BH54" s="125"/>
    </row>
    <row r="55" spans="1:60" ht="16">
      <c r="A55" s="631" t="s">
        <v>453</v>
      </c>
      <c r="B55" s="632" t="s">
        <v>380</v>
      </c>
      <c r="C55" s="632" t="s">
        <v>461</v>
      </c>
      <c r="D55" s="1012"/>
      <c r="E55" s="55" t="s">
        <v>456</v>
      </c>
      <c r="F55" s="55" t="s">
        <v>458</v>
      </c>
      <c r="G55" s="56">
        <f>'Financial activity types '!$C$7</f>
        <v>0</v>
      </c>
      <c r="H55" s="56">
        <f>INDEX('Climate-Alignment Target'!S336:S343, 1)</f>
        <v>0</v>
      </c>
      <c r="I55" s="641" t="str">
        <f>_xlfn.LET(_xlpm.value, INDEX('Climate-Alignment Target'!T336:T343, 1), IF(_xlpm.value = 0, "", _xlpm.value))</f>
        <v/>
      </c>
      <c r="J55" s="627"/>
      <c r="BH55" s="125"/>
    </row>
    <row r="56" spans="1:60" ht="16">
      <c r="A56" s="631" t="s">
        <v>459</v>
      </c>
      <c r="B56" s="632" t="s">
        <v>356</v>
      </c>
      <c r="C56" s="632" t="s">
        <v>461</v>
      </c>
      <c r="D56" s="1012"/>
      <c r="E56" s="55" t="s">
        <v>456</v>
      </c>
      <c r="F56" s="55" t="s">
        <v>457</v>
      </c>
      <c r="G56" s="56">
        <f>'Financial activity types '!$C$7</f>
        <v>0</v>
      </c>
      <c r="H56" s="56">
        <f>INDEX('Climate-Alignment Target'!Q384:Q387, 1)</f>
        <v>0</v>
      </c>
      <c r="I56" s="641" t="str">
        <f>_xlfn.LET(_xlpm.value, INDEX('Climate-Alignment Target'!R384:R387, 1), IF(_xlpm.value = 0, "", _xlpm.value))</f>
        <v/>
      </c>
      <c r="J56" s="627"/>
      <c r="BH56" s="125"/>
    </row>
    <row r="57" spans="1:60" ht="16">
      <c r="A57" s="631" t="s">
        <v>459</v>
      </c>
      <c r="B57" s="632" t="s">
        <v>380</v>
      </c>
      <c r="C57" s="632" t="s">
        <v>461</v>
      </c>
      <c r="D57" s="1012"/>
      <c r="E57" s="55" t="s">
        <v>456</v>
      </c>
      <c r="F57" s="55" t="s">
        <v>458</v>
      </c>
      <c r="G57" s="56">
        <f>'Financial activity types '!$C$7</f>
        <v>0</v>
      </c>
      <c r="H57" s="56">
        <f>INDEX('Climate-Alignment Target'!R449:R456, 1)</f>
        <v>0</v>
      </c>
      <c r="I57" s="641" t="str">
        <f>_xlfn.LET(_xlpm.value, INDEX('Climate-Alignment Target'!S449:S456, 1), IF(_xlpm.value = 0, "", _xlpm.value))</f>
        <v/>
      </c>
      <c r="J57" s="627"/>
      <c r="BH57" s="125"/>
    </row>
    <row r="58" spans="1:60" ht="16">
      <c r="A58" s="631" t="s">
        <v>453</v>
      </c>
      <c r="B58" s="632" t="s">
        <v>356</v>
      </c>
      <c r="C58" s="632" t="s">
        <v>462</v>
      </c>
      <c r="D58" s="1012"/>
      <c r="E58" s="55" t="s">
        <v>456</v>
      </c>
      <c r="F58" s="55" t="s">
        <v>457</v>
      </c>
      <c r="G58" s="56">
        <f>'Financial activity types '!$C$7</f>
        <v>0</v>
      </c>
      <c r="H58" s="56">
        <f>INDEX('Climate-Alignment Target'!S477:S480, 1)</f>
        <v>0</v>
      </c>
      <c r="I58" s="641" t="str">
        <f>_xlfn.LET(_xlpm.value, INDEX('Climate-Alignment Target'!T477:T480, 1), IF(_xlpm.value = 0, "", _xlpm.value))</f>
        <v/>
      </c>
      <c r="J58" s="627"/>
      <c r="BH58" s="125"/>
    </row>
    <row r="59" spans="1:60" ht="16">
      <c r="A59" s="631" t="s">
        <v>453</v>
      </c>
      <c r="B59" s="632" t="s">
        <v>380</v>
      </c>
      <c r="C59" s="632" t="s">
        <v>462</v>
      </c>
      <c r="D59" s="1012"/>
      <c r="E59" s="55" t="s">
        <v>456</v>
      </c>
      <c r="F59" s="55" t="s">
        <v>458</v>
      </c>
      <c r="G59" s="56">
        <f>'Financial activity types '!$C$7</f>
        <v>0</v>
      </c>
      <c r="H59" s="56">
        <f>INDEX('Climate-Alignment Target'!S489:S496, 1)</f>
        <v>0</v>
      </c>
      <c r="I59" s="641" t="str">
        <f>_xlfn.LET(_xlpm.value, INDEX('Climate-Alignment Target'!T489:T496, 1), IF(_xlpm.value = 0, "", _xlpm.value))</f>
        <v/>
      </c>
      <c r="J59" s="627"/>
      <c r="BH59" s="125"/>
    </row>
    <row r="60" spans="1:60" ht="16">
      <c r="A60" s="631" t="s">
        <v>459</v>
      </c>
      <c r="B60" s="632" t="s">
        <v>356</v>
      </c>
      <c r="C60" s="632" t="s">
        <v>462</v>
      </c>
      <c r="D60" s="1012"/>
      <c r="E60" s="55" t="s">
        <v>456</v>
      </c>
      <c r="F60" s="55" t="s">
        <v>457</v>
      </c>
      <c r="G60" s="56">
        <f>'Financial activity types '!$C$7</f>
        <v>0</v>
      </c>
      <c r="H60" s="56">
        <f>INDEX('Climate-Alignment Target'!Q537:Q540, 1)</f>
        <v>0</v>
      </c>
      <c r="I60" s="641" t="str">
        <f>_xlfn.LET(_xlpm.value, INDEX('Climate-Alignment Target'!R537:R540, 1), IF(_xlpm.value = 0, "", _xlpm.value))</f>
        <v/>
      </c>
      <c r="J60" s="627"/>
      <c r="BH60" s="125"/>
    </row>
    <row r="61" spans="1:60" ht="16">
      <c r="A61" s="631" t="s">
        <v>459</v>
      </c>
      <c r="B61" s="632" t="s">
        <v>380</v>
      </c>
      <c r="C61" s="632" t="s">
        <v>462</v>
      </c>
      <c r="D61" s="1012"/>
      <c r="E61" s="55" t="s">
        <v>456</v>
      </c>
      <c r="F61" s="55" t="s">
        <v>458</v>
      </c>
      <c r="G61" s="56">
        <f>'Financial activity types '!$C$7</f>
        <v>0</v>
      </c>
      <c r="H61" s="56">
        <f>INDEX('Climate-Alignment Target'!R602:R609, 1)</f>
        <v>0</v>
      </c>
      <c r="I61" s="641" t="str">
        <f>_xlfn.LET(_xlpm.value, INDEX('Climate-Alignment Target'!S602:S609, 1), IF(_xlpm.value = 0, "", _xlpm.value))</f>
        <v/>
      </c>
      <c r="J61" s="627"/>
      <c r="BH61" s="125"/>
    </row>
    <row r="62" spans="1:60" ht="16">
      <c r="A62" s="631" t="s">
        <v>453</v>
      </c>
      <c r="B62" s="632" t="s">
        <v>356</v>
      </c>
      <c r="C62" s="632" t="s">
        <v>463</v>
      </c>
      <c r="D62" s="1012"/>
      <c r="E62" s="55" t="s">
        <v>456</v>
      </c>
      <c r="F62" s="55" t="s">
        <v>457</v>
      </c>
      <c r="G62" s="56">
        <f>'Financial activity types '!$C$7</f>
        <v>0</v>
      </c>
      <c r="H62" s="56">
        <f>INDEX('Climate-Alignment Target'!S630:S633, 1)</f>
        <v>0</v>
      </c>
      <c r="I62" s="641" t="str">
        <f>_xlfn.LET(_xlpm.value, INDEX('Climate-Alignment Target'!T630:T633, 1), IF(_xlpm.value = 0, "", _xlpm.value))</f>
        <v/>
      </c>
      <c r="J62" s="627"/>
      <c r="BH62" s="125"/>
    </row>
    <row r="63" spans="1:60" ht="16">
      <c r="A63" s="631" t="s">
        <v>453</v>
      </c>
      <c r="B63" s="632" t="s">
        <v>380</v>
      </c>
      <c r="C63" s="632" t="s">
        <v>463</v>
      </c>
      <c r="D63" s="1012"/>
      <c r="E63" s="55" t="s">
        <v>456</v>
      </c>
      <c r="F63" s="55" t="s">
        <v>458</v>
      </c>
      <c r="G63" s="56">
        <f>'Financial activity types '!$C$7</f>
        <v>0</v>
      </c>
      <c r="H63" s="56">
        <f>INDEX('Climate-Alignment Target'!S642:S649, 1)</f>
        <v>0</v>
      </c>
      <c r="I63" s="641" t="str">
        <f>_xlfn.LET(_xlpm.value, INDEX('Climate-Alignment Target'!T642:T649, 1), IF(_xlpm.value = 0, "", _xlpm.value))</f>
        <v/>
      </c>
      <c r="J63" s="627"/>
      <c r="BH63" s="125"/>
    </row>
    <row r="64" spans="1:60" ht="16">
      <c r="A64" s="631" t="s">
        <v>459</v>
      </c>
      <c r="B64" s="632" t="s">
        <v>356</v>
      </c>
      <c r="C64" s="632" t="s">
        <v>463</v>
      </c>
      <c r="D64" s="1012"/>
      <c r="E64" s="55" t="s">
        <v>456</v>
      </c>
      <c r="F64" s="55" t="s">
        <v>457</v>
      </c>
      <c r="G64" s="56">
        <f>'Financial activity types '!$C$7</f>
        <v>0</v>
      </c>
      <c r="H64" s="56">
        <f>INDEX('Climate-Alignment Target'!Q690:Q693, 1)</f>
        <v>0</v>
      </c>
      <c r="I64" s="641" t="str">
        <f>_xlfn.LET(_xlpm.value, INDEX('Climate-Alignment Target'!R690:R693, 1), IF(_xlpm.value = 0, "", _xlpm.value))</f>
        <v/>
      </c>
      <c r="J64" s="627"/>
      <c r="BH64" s="125"/>
    </row>
    <row r="65" spans="1:60" ht="16">
      <c r="A65" s="633" t="s">
        <v>459</v>
      </c>
      <c r="B65" s="634" t="s">
        <v>380</v>
      </c>
      <c r="C65" s="634" t="s">
        <v>463</v>
      </c>
      <c r="D65" s="1013"/>
      <c r="E65" s="55" t="s">
        <v>456</v>
      </c>
      <c r="F65" s="55" t="s">
        <v>458</v>
      </c>
      <c r="G65" s="56">
        <f>'Financial activity types '!$C$7</f>
        <v>0</v>
      </c>
      <c r="H65" s="56">
        <f>INDEX('Climate-Alignment Target'!R755:R762, 1)</f>
        <v>0</v>
      </c>
      <c r="I65" s="641" t="str">
        <f>_xlfn.LET(_xlpm.value, INDEX('Climate-Alignment Target'!S755:S762, 1), IF(_xlpm.value = 0, "", _xlpm.value))</f>
        <v/>
      </c>
      <c r="J65" s="627"/>
      <c r="BH65" s="125"/>
    </row>
    <row r="66" spans="1:60"/>
    <row r="67" spans="1:60"/>
    <row r="68" spans="1:60" s="640" customFormat="1" hidden="1">
      <c r="A68" s="637"/>
      <c r="B68" s="638"/>
      <c r="C68" s="638"/>
      <c r="D68" s="637"/>
      <c r="E68" s="637"/>
      <c r="F68" s="637"/>
      <c r="G68" s="637"/>
      <c r="H68" s="637"/>
      <c r="I68" s="637"/>
      <c r="J68" s="637"/>
      <c r="K68" s="639"/>
      <c r="L68" s="639"/>
      <c r="M68" s="639"/>
      <c r="N68" s="639"/>
      <c r="O68" s="639"/>
      <c r="P68" s="639"/>
      <c r="Q68" s="639"/>
      <c r="R68" s="639"/>
      <c r="S68" s="639"/>
      <c r="T68" s="639"/>
      <c r="U68" s="639"/>
      <c r="V68" s="639"/>
      <c r="W68" s="639"/>
      <c r="X68" s="639"/>
      <c r="Y68" s="639"/>
      <c r="Z68" s="639"/>
      <c r="AA68" s="639"/>
      <c r="AB68" s="639"/>
      <c r="AC68" s="639"/>
      <c r="AD68" s="639"/>
      <c r="AE68" s="639"/>
      <c r="AF68" s="639"/>
      <c r="AG68" s="639"/>
      <c r="AH68" s="639"/>
      <c r="AI68" s="639"/>
      <c r="AJ68" s="639"/>
      <c r="AK68" s="639"/>
      <c r="AL68" s="639"/>
      <c r="AM68" s="639"/>
      <c r="AN68" s="639"/>
      <c r="AO68" s="639"/>
      <c r="AP68" s="639"/>
      <c r="AQ68" s="639"/>
      <c r="AR68" s="639"/>
      <c r="AS68" s="639"/>
      <c r="AT68" s="639"/>
      <c r="AU68" s="639"/>
      <c r="AV68" s="639"/>
      <c r="AW68" s="639"/>
      <c r="AX68" s="639"/>
      <c r="AY68" s="639"/>
      <c r="AZ68" s="639"/>
      <c r="BA68" s="639"/>
      <c r="BB68" s="639"/>
      <c r="BC68" s="639"/>
      <c r="BD68" s="639"/>
      <c r="BE68" s="639"/>
      <c r="BF68" s="639"/>
      <c r="BG68" s="639"/>
      <c r="BH68" s="639"/>
    </row>
  </sheetData>
  <sheetProtection algorithmName="SHA-512" hashValue="zsQbVHEhbcP57Pm4oDkEIiUxAVLa0uU3QxieEx2UxRVfXfjNy12g1sII3QDmYznlr5ywJG4KdEc3FtV/Av8cdg==" saltValue="s9jxPe82MfsErlBInqq+MQ==" spinCount="100000" sheet="1" objects="1" scenarios="1" formatCells="0" formatColumns="0" formatRows="0" sort="0" autoFilter="0"/>
  <mergeCells count="8">
    <mergeCell ref="B1:J1"/>
    <mergeCell ref="D46:D65"/>
    <mergeCell ref="A44:C44"/>
    <mergeCell ref="E44:I44"/>
    <mergeCell ref="A3:D3"/>
    <mergeCell ref="E5:J5"/>
    <mergeCell ref="A5:C5"/>
    <mergeCell ref="D7:D36"/>
  </mergeCells>
  <pageMargins left="0.7" right="0.7" top="0.75" bottom="0.75" header="0.3" footer="0.3"/>
  <drawing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00546E"/>
  </sheetPr>
  <dimension ref="A1:J491"/>
  <sheetViews>
    <sheetView showGridLines="0" zoomScale="80" zoomScaleNormal="80" workbookViewId="0"/>
  </sheetViews>
  <sheetFormatPr baseColWidth="10" defaultColWidth="12" defaultRowHeight="16" zeroHeight="1" outlineLevelRow="1"/>
  <cols>
    <col min="1" max="1" width="3.5" style="226" customWidth="1"/>
    <col min="2" max="2" width="9.33203125" style="227" customWidth="1"/>
    <col min="3" max="3" width="63.5" style="229" customWidth="1"/>
    <col min="4" max="4" width="40.83203125" style="226" customWidth="1"/>
    <col min="5" max="5" width="103.33203125" style="229" customWidth="1"/>
    <col min="6" max="6" width="12" style="226"/>
    <col min="7" max="7" width="65.83203125" style="226" customWidth="1"/>
    <col min="8" max="8" width="40.83203125" style="226" customWidth="1"/>
    <col min="9" max="9" width="40.5" style="226" customWidth="1"/>
    <col min="10" max="16384" width="12" style="226"/>
  </cols>
  <sheetData>
    <row r="1" spans="1:10" s="134" customFormat="1" ht="20" customHeight="1">
      <c r="A1" s="41"/>
      <c r="B1" s="1024" t="s">
        <v>464</v>
      </c>
      <c r="C1" s="658"/>
      <c r="D1" s="658"/>
      <c r="E1" s="658"/>
      <c r="F1" s="658"/>
      <c r="G1" s="658"/>
      <c r="H1" s="658"/>
      <c r="I1" s="658"/>
    </row>
    <row r="2" spans="1:10" s="134" customFormat="1" ht="20" customHeight="1">
      <c r="A2" s="41"/>
      <c r="B2" s="658"/>
      <c r="C2" s="658"/>
      <c r="D2" s="658"/>
      <c r="E2" s="658"/>
      <c r="F2" s="658"/>
      <c r="G2" s="658"/>
      <c r="H2" s="658"/>
      <c r="I2" s="658"/>
    </row>
    <row r="3" spans="1:10" s="135" customFormat="1" ht="20" customHeight="1">
      <c r="B3" s="658"/>
      <c r="C3" s="658"/>
      <c r="D3" s="658"/>
      <c r="E3" s="658"/>
      <c r="F3" s="658"/>
      <c r="G3" s="658"/>
      <c r="H3" s="658"/>
      <c r="I3" s="658"/>
      <c r="J3" s="136"/>
    </row>
    <row r="4" spans="1:10" s="134" customFormat="1" ht="20" customHeight="1">
      <c r="B4" s="658"/>
      <c r="C4" s="658"/>
      <c r="D4" s="658"/>
      <c r="E4" s="658"/>
      <c r="F4" s="658"/>
      <c r="G4" s="658"/>
      <c r="H4" s="658"/>
      <c r="I4" s="658"/>
    </row>
    <row r="5" spans="1:10" s="134" customFormat="1" ht="20" customHeight="1">
      <c r="B5" s="658"/>
      <c r="C5" s="658"/>
      <c r="D5" s="658"/>
      <c r="E5" s="658"/>
      <c r="F5" s="658"/>
      <c r="G5" s="658"/>
      <c r="H5" s="658"/>
      <c r="I5" s="658"/>
    </row>
    <row r="6" spans="1:10" s="134" customFormat="1" ht="20" customHeight="1">
      <c r="B6" s="658"/>
      <c r="C6" s="658"/>
      <c r="D6" s="658"/>
      <c r="E6" s="658"/>
      <c r="F6" s="658"/>
      <c r="G6" s="658"/>
      <c r="H6" s="658"/>
      <c r="I6" s="658"/>
    </row>
    <row r="7" spans="1:10" s="134" customFormat="1" ht="20" customHeight="1">
      <c r="B7" s="658"/>
      <c r="C7" s="658"/>
      <c r="D7" s="658"/>
      <c r="E7" s="658"/>
      <c r="F7" s="658"/>
      <c r="G7" s="658"/>
      <c r="H7" s="658"/>
      <c r="I7" s="658"/>
    </row>
    <row r="8" spans="1:10" ht="30">
      <c r="C8" s="228"/>
    </row>
    <row r="9" spans="1:10" s="230" customFormat="1" ht="258" customHeight="1">
      <c r="B9" s="1025" t="s">
        <v>834</v>
      </c>
      <c r="C9" s="1025"/>
      <c r="D9" s="1025"/>
      <c r="E9" s="1025"/>
      <c r="F9" s="231"/>
      <c r="G9" s="231"/>
      <c r="H9" s="231"/>
    </row>
    <row r="10" spans="1:10" ht="30">
      <c r="B10" s="311"/>
      <c r="C10" s="228"/>
    </row>
    <row r="11" spans="1:10" ht="31">
      <c r="B11" s="232" t="s">
        <v>465</v>
      </c>
      <c r="C11" s="233" t="s">
        <v>266</v>
      </c>
    </row>
    <row r="12" spans="1:10" ht="147" hidden="1" customHeight="1" outlineLevel="1">
      <c r="B12" s="234"/>
      <c r="C12" s="1028" t="s">
        <v>466</v>
      </c>
      <c r="D12" s="1028"/>
    </row>
    <row r="13" spans="1:10" hidden="1" outlineLevel="1">
      <c r="C13" s="239"/>
      <c r="D13" s="245"/>
      <c r="E13" s="244"/>
    </row>
    <row r="14" spans="1:10" ht="48" hidden="1" customHeight="1" outlineLevel="1">
      <c r="C14" s="1027" t="s">
        <v>467</v>
      </c>
      <c r="D14" s="1027"/>
      <c r="E14" s="1027"/>
    </row>
    <row r="15" spans="1:10" hidden="1" outlineLevel="1">
      <c r="C15" s="469"/>
      <c r="D15" s="468"/>
      <c r="E15" s="244"/>
    </row>
    <row r="16" spans="1:10" ht="17" hidden="1" outlineLevel="1">
      <c r="C16" s="470" t="s">
        <v>468</v>
      </c>
      <c r="D16" s="471" t="s">
        <v>469</v>
      </c>
      <c r="E16" s="244"/>
    </row>
    <row r="17" spans="3:5" ht="17" hidden="1" outlineLevel="1">
      <c r="C17" s="470" t="s">
        <v>470</v>
      </c>
      <c r="D17" s="472" t="s">
        <v>471</v>
      </c>
      <c r="E17" s="244"/>
    </row>
    <row r="18" spans="3:5" ht="17" hidden="1" outlineLevel="1">
      <c r="C18" s="470" t="s">
        <v>472</v>
      </c>
      <c r="D18" s="240" t="s">
        <v>32</v>
      </c>
      <c r="E18" s="244"/>
    </row>
    <row r="19" spans="3:5" ht="17" hidden="1" outlineLevel="1">
      <c r="C19" s="239" t="s">
        <v>473</v>
      </c>
      <c r="D19" s="489"/>
      <c r="E19" s="242" t="s">
        <v>474</v>
      </c>
    </row>
    <row r="20" spans="3:5" ht="21" hidden="1" customHeight="1" outlineLevel="1">
      <c r="C20" s="239" t="s">
        <v>475</v>
      </c>
      <c r="D20" s="137"/>
      <c r="E20" s="241" t="s">
        <v>476</v>
      </c>
    </row>
    <row r="21" spans="3:5" ht="17" hidden="1" outlineLevel="1">
      <c r="C21" s="470" t="s">
        <v>477</v>
      </c>
      <c r="D21" s="474"/>
      <c r="E21" s="241" t="s">
        <v>478</v>
      </c>
    </row>
    <row r="22" spans="3:5" ht="17" hidden="1" outlineLevel="1">
      <c r="C22" s="470" t="s">
        <v>479</v>
      </c>
      <c r="D22" s="473"/>
      <c r="E22" s="241" t="s">
        <v>480</v>
      </c>
    </row>
    <row r="23" spans="3:5" ht="17" hidden="1" outlineLevel="1">
      <c r="C23" s="470" t="s">
        <v>481</v>
      </c>
      <c r="D23" s="477">
        <v>1</v>
      </c>
      <c r="E23" s="244"/>
    </row>
    <row r="24" spans="3:5" ht="17" hidden="1" outlineLevel="1">
      <c r="C24" s="470" t="s">
        <v>482</v>
      </c>
      <c r="D24" s="482"/>
      <c r="E24" s="242" t="s">
        <v>483</v>
      </c>
    </row>
    <row r="25" spans="3:5" ht="17" hidden="1" outlineLevel="1">
      <c r="C25" s="470" t="s">
        <v>484</v>
      </c>
      <c r="D25" s="472" t="str">
        <f>IF(AND(COUNTA(D19:D22)=4, D24=D23), "Yes", IF(COUNTA(D19:D22)&gt;0, "No", ""))</f>
        <v/>
      </c>
      <c r="E25" s="244"/>
    </row>
    <row r="26" spans="3:5" hidden="1" outlineLevel="1">
      <c r="C26" s="470"/>
      <c r="D26" s="478"/>
      <c r="E26" s="244"/>
    </row>
    <row r="27" spans="3:5" ht="48" hidden="1" customHeight="1" outlineLevel="1">
      <c r="C27" s="1027" t="s">
        <v>485</v>
      </c>
      <c r="D27" s="1027"/>
      <c r="E27" s="1027"/>
    </row>
    <row r="28" spans="3:5" hidden="1" outlineLevel="1">
      <c r="C28" s="469"/>
      <c r="D28" s="468"/>
      <c r="E28" s="244"/>
    </row>
    <row r="29" spans="3:5" ht="17" hidden="1" outlineLevel="1">
      <c r="C29" s="470" t="s">
        <v>468</v>
      </c>
      <c r="D29" s="471" t="s">
        <v>486</v>
      </c>
      <c r="E29" s="244"/>
    </row>
    <row r="30" spans="3:5" ht="17" hidden="1" outlineLevel="1">
      <c r="C30" s="470" t="s">
        <v>470</v>
      </c>
      <c r="D30" s="472" t="s">
        <v>487</v>
      </c>
      <c r="E30" s="244"/>
    </row>
    <row r="31" spans="3:5" ht="17" hidden="1" outlineLevel="1">
      <c r="C31" s="470" t="s">
        <v>472</v>
      </c>
      <c r="D31" s="473"/>
      <c r="E31" s="246" t="s">
        <v>489</v>
      </c>
    </row>
    <row r="32" spans="3:5" ht="17" hidden="1" outlineLevel="1">
      <c r="C32" s="529" t="s">
        <v>490</v>
      </c>
      <c r="D32" s="481"/>
      <c r="E32" s="493" t="s">
        <v>491</v>
      </c>
    </row>
    <row r="33" spans="3:5" hidden="1" outlineLevel="1">
      <c r="C33" s="470"/>
      <c r="D33" s="492" t="str">
        <f>IF($D31&lt;&gt;"",IF($D31="Other",IF($D32&lt;&gt;"",$D32,"Unspecified Currency"),$D31),"Unspecified Currency")</f>
        <v>Unspecified Currency</v>
      </c>
      <c r="E33" s="242"/>
    </row>
    <row r="34" spans="3:5" ht="17" hidden="1" outlineLevel="1">
      <c r="C34" s="470" t="str">
        <f>"Base Year Financial Exposure"&amp;" ["&amp;$D33&amp;"]"</f>
        <v>Base Year Financial Exposure [Unspecified Currency]</v>
      </c>
      <c r="D34" s="488"/>
      <c r="E34" s="242" t="s">
        <v>474</v>
      </c>
    </row>
    <row r="35" spans="3:5" ht="20" hidden="1" customHeight="1" outlineLevel="1">
      <c r="C35" s="239" t="s">
        <v>475</v>
      </c>
      <c r="D35" s="137"/>
      <c r="E35" s="241" t="s">
        <v>476</v>
      </c>
    </row>
    <row r="36" spans="3:5" ht="17" hidden="1" outlineLevel="1">
      <c r="C36" s="470" t="s">
        <v>477</v>
      </c>
      <c r="D36" s="474"/>
      <c r="E36" s="241" t="s">
        <v>478</v>
      </c>
    </row>
    <row r="37" spans="3:5" ht="17" hidden="1" outlineLevel="1">
      <c r="C37" s="470" t="s">
        <v>479</v>
      </c>
      <c r="D37" s="473"/>
      <c r="E37" s="241" t="s">
        <v>480</v>
      </c>
    </row>
    <row r="38" spans="3:5" ht="17" hidden="1" outlineLevel="1">
      <c r="C38" s="470" t="s">
        <v>481</v>
      </c>
      <c r="D38" s="477">
        <v>1</v>
      </c>
      <c r="E38" s="244"/>
    </row>
    <row r="39" spans="3:5" ht="17" hidden="1" outlineLevel="1">
      <c r="C39" s="470" t="s">
        <v>492</v>
      </c>
      <c r="D39" s="482"/>
      <c r="E39" s="242" t="s">
        <v>483</v>
      </c>
    </row>
    <row r="40" spans="3:5" ht="17" hidden="1" outlineLevel="1">
      <c r="C40" s="470" t="s">
        <v>484</v>
      </c>
      <c r="D40" s="472" t="str">
        <f>IF(AND(COUNTA(D31,D32,D34:D37,D39)=7, D39=D38), "Yes", IF(COUNTA(D31,D32,D34:D37,D39)&gt;0, "No", ""))</f>
        <v/>
      </c>
      <c r="E40" s="244"/>
    </row>
    <row r="41" spans="3:5" hidden="1" outlineLevel="1">
      <c r="C41" s="239"/>
      <c r="D41" s="245"/>
      <c r="E41" s="244"/>
    </row>
    <row r="42" spans="3:5" ht="48" hidden="1" customHeight="1" outlineLevel="1">
      <c r="C42" s="1027" t="s">
        <v>493</v>
      </c>
      <c r="D42" s="1027"/>
      <c r="E42" s="1027"/>
    </row>
    <row r="43" spans="3:5" hidden="1" outlineLevel="1">
      <c r="C43" s="469"/>
      <c r="D43" s="468"/>
      <c r="E43" s="244"/>
    </row>
    <row r="44" spans="3:5" ht="17" hidden="1" outlineLevel="1">
      <c r="C44" s="470" t="s">
        <v>468</v>
      </c>
      <c r="D44" s="471" t="s">
        <v>469</v>
      </c>
      <c r="E44" s="244"/>
    </row>
    <row r="45" spans="3:5" ht="17" hidden="1" outlineLevel="1">
      <c r="C45" s="470" t="s">
        <v>470</v>
      </c>
      <c r="D45" s="472" t="s">
        <v>471</v>
      </c>
      <c r="E45" s="244"/>
    </row>
    <row r="46" spans="3:5" ht="17" hidden="1" outlineLevel="1">
      <c r="C46" s="470" t="s">
        <v>472</v>
      </c>
      <c r="D46" s="240" t="s">
        <v>32</v>
      </c>
      <c r="E46" s="244"/>
    </row>
    <row r="47" spans="3:5" ht="17" hidden="1" outlineLevel="1">
      <c r="C47" s="239" t="s">
        <v>473</v>
      </c>
      <c r="D47" s="488"/>
      <c r="E47" s="242" t="s">
        <v>474</v>
      </c>
    </row>
    <row r="48" spans="3:5" ht="21" hidden="1" customHeight="1" outlineLevel="1">
      <c r="C48" s="239" t="s">
        <v>475</v>
      </c>
      <c r="D48" s="250" t="s">
        <v>494</v>
      </c>
      <c r="E48" s="241"/>
    </row>
    <row r="49" spans="1:10" ht="17" hidden="1" outlineLevel="1">
      <c r="C49" s="470" t="s">
        <v>477</v>
      </c>
      <c r="D49" s="474"/>
      <c r="E49" s="241" t="s">
        <v>478</v>
      </c>
    </row>
    <row r="50" spans="1:10" ht="17" hidden="1" outlineLevel="1">
      <c r="C50" s="470" t="s">
        <v>479</v>
      </c>
      <c r="D50" s="473"/>
      <c r="E50" s="241" t="s">
        <v>480</v>
      </c>
    </row>
    <row r="51" spans="1:10" ht="17" hidden="1" outlineLevel="1">
      <c r="C51" s="470" t="s">
        <v>481</v>
      </c>
      <c r="D51" s="477">
        <v>1</v>
      </c>
      <c r="E51" s="244"/>
    </row>
    <row r="52" spans="1:10" ht="17" hidden="1" outlineLevel="1">
      <c r="C52" s="470" t="s">
        <v>482</v>
      </c>
      <c r="D52" s="482"/>
      <c r="E52" s="242" t="s">
        <v>483</v>
      </c>
    </row>
    <row r="53" spans="1:10" ht="17" hidden="1" outlineLevel="1">
      <c r="C53" s="470" t="s">
        <v>484</v>
      </c>
      <c r="D53" s="472" t="str">
        <f>IF(AND(COUNTA(D47,D49,D50,D52)=4, D52=D51), "Yes", IF(COUNTA(D47,D49,D50,D52)&gt;0, "No", ""))</f>
        <v/>
      </c>
      <c r="E53" s="244"/>
    </row>
    <row r="54" spans="1:10" hidden="1" outlineLevel="1">
      <c r="C54" s="470"/>
      <c r="D54" s="478"/>
      <c r="E54" s="244"/>
    </row>
    <row r="55" spans="1:10" ht="17" hidden="1" outlineLevel="1">
      <c r="C55" s="470" t="s">
        <v>495</v>
      </c>
      <c r="D55" s="478"/>
      <c r="E55" s="244"/>
    </row>
    <row r="56" spans="1:10" ht="48" hidden="1" customHeight="1" outlineLevel="1">
      <c r="A56" s="468"/>
      <c r="B56" s="483"/>
      <c r="C56" s="1027" t="s">
        <v>496</v>
      </c>
      <c r="D56" s="1027"/>
      <c r="E56" s="1027"/>
      <c r="F56" s="468"/>
      <c r="G56" s="468"/>
      <c r="H56" s="468"/>
      <c r="I56" s="468"/>
      <c r="J56" s="468"/>
    </row>
    <row r="57" spans="1:10" hidden="1" outlineLevel="1">
      <c r="A57" s="468"/>
      <c r="B57" s="483"/>
      <c r="C57" s="1027"/>
      <c r="D57" s="1027"/>
      <c r="E57" s="1027"/>
      <c r="F57" s="468"/>
      <c r="G57" s="468"/>
      <c r="H57" s="468"/>
      <c r="I57" s="468"/>
      <c r="J57" s="468"/>
    </row>
    <row r="58" spans="1:10" ht="17" hidden="1" outlineLevel="1">
      <c r="A58" s="468"/>
      <c r="B58" s="483"/>
      <c r="C58" s="470" t="s">
        <v>468</v>
      </c>
      <c r="D58" s="471" t="s">
        <v>486</v>
      </c>
      <c r="E58" s="484"/>
      <c r="F58" s="468"/>
      <c r="G58" s="468"/>
      <c r="H58" s="468"/>
      <c r="I58" s="468"/>
      <c r="J58" s="468"/>
    </row>
    <row r="59" spans="1:10" ht="17" hidden="1" outlineLevel="1">
      <c r="A59" s="468"/>
      <c r="B59" s="483"/>
      <c r="C59" s="470" t="s">
        <v>470</v>
      </c>
      <c r="D59" s="472" t="s">
        <v>487</v>
      </c>
      <c r="E59" s="484"/>
      <c r="F59" s="468"/>
      <c r="G59" s="468"/>
      <c r="H59" s="468"/>
      <c r="I59" s="468"/>
      <c r="J59" s="468"/>
    </row>
    <row r="60" spans="1:10" ht="17" hidden="1" outlineLevel="1">
      <c r="A60" s="468"/>
      <c r="B60" s="483"/>
      <c r="C60" s="470" t="s">
        <v>472</v>
      </c>
      <c r="D60" s="473"/>
      <c r="E60" s="485" t="s">
        <v>489</v>
      </c>
      <c r="F60" s="468"/>
      <c r="G60" s="468"/>
      <c r="H60" s="468"/>
      <c r="I60" s="468"/>
      <c r="J60" s="468"/>
    </row>
    <row r="61" spans="1:10" ht="17" hidden="1" outlineLevel="1">
      <c r="A61" s="468"/>
      <c r="B61" s="483"/>
      <c r="C61" s="529" t="s">
        <v>490</v>
      </c>
      <c r="D61" s="486"/>
      <c r="E61" s="494" t="s">
        <v>491</v>
      </c>
      <c r="F61" s="468"/>
      <c r="G61" s="468"/>
      <c r="H61" s="468"/>
      <c r="I61" s="468"/>
      <c r="J61" s="468"/>
    </row>
    <row r="62" spans="1:10" hidden="1" outlineLevel="1">
      <c r="A62" s="468"/>
      <c r="B62" s="483"/>
      <c r="C62" s="470"/>
      <c r="D62" s="492" t="str">
        <f>IF($D60&lt;&gt;"",IF($D60="Other",IF($D61&lt;&gt;"",$D61,"Unspecified Currency"),$D60),"Unspecified Currency")</f>
        <v>Unspecified Currency</v>
      </c>
      <c r="E62" s="484"/>
      <c r="F62" s="468"/>
      <c r="G62" s="468"/>
      <c r="H62" s="468"/>
      <c r="I62" s="468"/>
      <c r="J62" s="468"/>
    </row>
    <row r="63" spans="1:10" ht="17" hidden="1" outlineLevel="1">
      <c r="A63" s="468"/>
      <c r="B63" s="483"/>
      <c r="C63" s="470" t="str">
        <f>"Base Year Financial Exposure"&amp;" ["&amp;$D62&amp;"]"</f>
        <v>Base Year Financial Exposure [Unspecified Currency]</v>
      </c>
      <c r="D63" s="488"/>
      <c r="E63" s="484" t="s">
        <v>474</v>
      </c>
      <c r="F63" s="468"/>
      <c r="G63" s="468"/>
      <c r="H63" s="468"/>
      <c r="I63" s="468"/>
      <c r="J63" s="468"/>
    </row>
    <row r="64" spans="1:10" ht="17" hidden="1" outlineLevel="1">
      <c r="A64" s="468"/>
      <c r="B64" s="483"/>
      <c r="C64" s="470" t="s">
        <v>475</v>
      </c>
      <c r="D64" s="487" t="s">
        <v>494</v>
      </c>
      <c r="E64" s="485"/>
      <c r="F64" s="468"/>
      <c r="G64" s="468"/>
      <c r="H64" s="468"/>
      <c r="I64" s="468"/>
      <c r="J64" s="468"/>
    </row>
    <row r="65" spans="1:10" ht="17" hidden="1" outlineLevel="1">
      <c r="A65" s="468"/>
      <c r="B65" s="483"/>
      <c r="C65" s="470" t="s">
        <v>477</v>
      </c>
      <c r="D65" s="473"/>
      <c r="E65" s="485" t="s">
        <v>478</v>
      </c>
      <c r="F65" s="468"/>
      <c r="G65" s="468"/>
      <c r="H65" s="468"/>
      <c r="I65" s="468"/>
      <c r="J65" s="468"/>
    </row>
    <row r="66" spans="1:10" ht="17" hidden="1" outlineLevel="1">
      <c r="A66" s="468"/>
      <c r="B66" s="483"/>
      <c r="C66" s="470" t="s">
        <v>479</v>
      </c>
      <c r="D66" s="473"/>
      <c r="E66" s="485" t="s">
        <v>480</v>
      </c>
      <c r="F66" s="468"/>
      <c r="G66" s="468"/>
      <c r="H66" s="468"/>
      <c r="I66" s="468"/>
      <c r="J66" s="468"/>
    </row>
    <row r="67" spans="1:10" ht="17" hidden="1" outlineLevel="1">
      <c r="A67" s="468"/>
      <c r="B67" s="483"/>
      <c r="C67" s="470" t="s">
        <v>481</v>
      </c>
      <c r="D67" s="477">
        <v>1</v>
      </c>
      <c r="E67" s="484"/>
      <c r="F67" s="468"/>
      <c r="G67" s="468"/>
      <c r="H67" s="468"/>
      <c r="I67" s="468"/>
      <c r="J67" s="468"/>
    </row>
    <row r="68" spans="1:10" ht="17" hidden="1" outlineLevel="1">
      <c r="A68" s="468"/>
      <c r="B68" s="483"/>
      <c r="C68" s="470" t="s">
        <v>492</v>
      </c>
      <c r="D68" s="482"/>
      <c r="E68" s="484" t="s">
        <v>483</v>
      </c>
      <c r="F68" s="468"/>
      <c r="G68" s="468"/>
      <c r="H68" s="468"/>
      <c r="I68" s="468"/>
      <c r="J68" s="468"/>
    </row>
    <row r="69" spans="1:10" ht="17" hidden="1" outlineLevel="1">
      <c r="A69" s="468"/>
      <c r="B69" s="483"/>
      <c r="C69" s="470" t="s">
        <v>484</v>
      </c>
      <c r="D69" s="472" t="str">
        <f>IF(AND(COUNTA(D60,D61,D63,D65,D68)=5, D68=D67), "Yes", IF(COUNTA(D60,D61,D63,D65,D68)&gt;0, "No", ""))</f>
        <v/>
      </c>
      <c r="E69" s="484"/>
      <c r="F69" s="468"/>
      <c r="G69" s="468"/>
      <c r="H69" s="468"/>
      <c r="I69" s="468"/>
      <c r="J69" s="468"/>
    </row>
    <row r="70" spans="1:10" hidden="1" outlineLevel="1">
      <c r="A70" s="468"/>
      <c r="B70" s="483"/>
      <c r="C70" s="470"/>
      <c r="D70" s="478"/>
      <c r="E70" s="484"/>
      <c r="F70" s="468"/>
      <c r="G70" s="468"/>
      <c r="H70" s="468"/>
      <c r="I70" s="468"/>
      <c r="J70" s="468"/>
    </row>
    <row r="71" spans="1:10" ht="48" hidden="1" customHeight="1" outlineLevel="1">
      <c r="B71" s="237"/>
      <c r="C71" s="1026" t="s">
        <v>497</v>
      </c>
      <c r="D71" s="1026"/>
      <c r="E71" s="1026"/>
    </row>
    <row r="72" spans="1:10" hidden="1" outlineLevel="1">
      <c r="B72" s="238"/>
      <c r="D72" s="235"/>
      <c r="E72" s="236"/>
    </row>
    <row r="73" spans="1:10" ht="17" hidden="1" outlineLevel="1">
      <c r="C73" s="470" t="s">
        <v>468</v>
      </c>
      <c r="D73" s="240" t="s">
        <v>498</v>
      </c>
    </row>
    <row r="74" spans="1:10" ht="17" hidden="1" outlineLevel="1">
      <c r="C74" s="239" t="s">
        <v>470</v>
      </c>
      <c r="D74" s="479" t="s">
        <v>471</v>
      </c>
      <c r="E74" s="241"/>
    </row>
    <row r="75" spans="1:10" ht="17" hidden="1" outlineLevel="1">
      <c r="C75" s="239" t="s">
        <v>475</v>
      </c>
      <c r="D75" s="240" t="s">
        <v>494</v>
      </c>
      <c r="E75" s="246"/>
    </row>
    <row r="76" spans="1:10" ht="17" hidden="1" outlineLevel="1">
      <c r="C76" s="239" t="s">
        <v>472</v>
      </c>
      <c r="D76" s="480" t="s">
        <v>32</v>
      </c>
      <c r="E76" s="241"/>
    </row>
    <row r="77" spans="1:10" ht="17" hidden="1" outlineLevel="1">
      <c r="C77" s="239" t="s">
        <v>477</v>
      </c>
      <c r="D77" s="137"/>
      <c r="E77" s="241" t="s">
        <v>478</v>
      </c>
    </row>
    <row r="78" spans="1:10" ht="17" hidden="1" outlineLevel="1">
      <c r="C78" s="239" t="s">
        <v>473</v>
      </c>
      <c r="D78" s="138"/>
      <c r="E78" s="242" t="s">
        <v>474</v>
      </c>
    </row>
    <row r="79" spans="1:10" ht="17" hidden="1" outlineLevel="1">
      <c r="C79" s="239" t="s">
        <v>479</v>
      </c>
      <c r="D79" s="137"/>
      <c r="E79" s="241" t="s">
        <v>480</v>
      </c>
    </row>
    <row r="80" spans="1:10" ht="19.25" hidden="1" customHeight="1" outlineLevel="1">
      <c r="C80" s="239" t="s">
        <v>499</v>
      </c>
      <c r="D80" s="490" t="str">
        <f>Calculator!$B379</f>
        <v/>
      </c>
      <c r="E80" s="610" t="s">
        <v>500</v>
      </c>
    </row>
    <row r="81" spans="2:6" ht="17" hidden="1" outlineLevel="1">
      <c r="C81" s="239" t="str">
        <f>"Proposed % Reduction in "&amp;$D74</f>
        <v>Proposed % Reduction in Absolute Emissions</v>
      </c>
      <c r="D81" s="491"/>
      <c r="E81" s="242" t="s">
        <v>501</v>
      </c>
    </row>
    <row r="82" spans="2:6" ht="17" hidden="1" outlineLevel="1">
      <c r="C82" s="239" t="s">
        <v>502</v>
      </c>
      <c r="D82" s="273" t="str">
        <f>IF(AND($D78&lt;&gt;"",$D81&lt;&gt;""), $D78 * (1 - $D81), "")</f>
        <v/>
      </c>
      <c r="E82" s="244"/>
    </row>
    <row r="83" spans="2:6" ht="17" hidden="1" outlineLevel="1">
      <c r="C83" s="239" t="s">
        <v>484</v>
      </c>
      <c r="D83" s="263" t="str">
        <f>Calculator!$B384</f>
        <v/>
      </c>
      <c r="E83" s="244"/>
    </row>
    <row r="84" spans="2:6" hidden="1" outlineLevel="1">
      <c r="C84" s="239"/>
      <c r="D84" s="245"/>
      <c r="E84" s="244"/>
    </row>
    <row r="85" spans="2:6" ht="48" hidden="1" customHeight="1" outlineLevel="1">
      <c r="B85" s="237"/>
      <c r="C85" s="1026" t="s">
        <v>503</v>
      </c>
      <c r="D85" s="1026"/>
      <c r="E85" s="1026"/>
      <c r="F85" s="1026"/>
    </row>
    <row r="86" spans="2:6" hidden="1" outlineLevel="1">
      <c r="B86" s="238"/>
      <c r="D86" s="235"/>
      <c r="E86" s="236"/>
    </row>
    <row r="87" spans="2:6" ht="17" hidden="1" outlineLevel="1">
      <c r="C87" s="470" t="s">
        <v>468</v>
      </c>
      <c r="D87" s="240" t="s">
        <v>504</v>
      </c>
    </row>
    <row r="88" spans="2:6" ht="17" hidden="1" outlineLevel="1">
      <c r="C88" s="239" t="s">
        <v>470</v>
      </c>
      <c r="D88" s="240" t="s">
        <v>487</v>
      </c>
      <c r="E88" s="241"/>
    </row>
    <row r="89" spans="2:6" ht="17" hidden="1" outlineLevel="1">
      <c r="C89" s="239" t="s">
        <v>475</v>
      </c>
      <c r="D89" s="240" t="s">
        <v>494</v>
      </c>
      <c r="E89" s="241"/>
    </row>
    <row r="90" spans="2:6" ht="17" hidden="1" outlineLevel="1">
      <c r="C90" s="239" t="s">
        <v>472</v>
      </c>
      <c r="D90" s="139"/>
      <c r="E90" s="246" t="s">
        <v>489</v>
      </c>
    </row>
    <row r="91" spans="2:6" ht="17" hidden="1" outlineLevel="1">
      <c r="C91" s="239" t="s">
        <v>490</v>
      </c>
      <c r="D91" s="495"/>
      <c r="E91" s="247" t="s">
        <v>491</v>
      </c>
    </row>
    <row r="92" spans="2:6" ht="15" hidden="1" customHeight="1" outlineLevel="1">
      <c r="C92" s="239"/>
      <c r="D92" s="240" t="str">
        <f>IF($D90&lt;&gt;"",IF($D90="Other",IF($D91&lt;&gt;"",$D91,"Unspecified Currency"),$D90),"Unspecified Currency")</f>
        <v>Unspecified Currency</v>
      </c>
      <c r="E92" s="247"/>
    </row>
    <row r="93" spans="2:6" ht="17" hidden="1" outlineLevel="1">
      <c r="C93" s="239" t="s">
        <v>477</v>
      </c>
      <c r="D93" s="137"/>
      <c r="E93" s="241" t="s">
        <v>478</v>
      </c>
    </row>
    <row r="94" spans="2:6" ht="17" hidden="1" outlineLevel="1">
      <c r="C94" s="239" t="str">
        <f>"Base Year Financial Exposure"&amp;" ["&amp;$D92&amp;"]"</f>
        <v>Base Year Financial Exposure [Unspecified Currency]</v>
      </c>
      <c r="D94" s="475"/>
      <c r="E94" s="242" t="s">
        <v>474</v>
      </c>
    </row>
    <row r="95" spans="2:6" ht="17" hidden="1" outlineLevel="1">
      <c r="C95" s="239" t="s">
        <v>479</v>
      </c>
      <c r="D95" s="137"/>
      <c r="E95" s="241" t="s">
        <v>480</v>
      </c>
    </row>
    <row r="96" spans="2:6" ht="17" hidden="1" outlineLevel="1">
      <c r="C96" s="239" t="s">
        <v>505</v>
      </c>
      <c r="D96" s="490" t="str">
        <f>Calculator!$B394</f>
        <v/>
      </c>
      <c r="E96" s="610" t="s">
        <v>506</v>
      </c>
    </row>
    <row r="97" spans="2:5" ht="17" hidden="1" outlineLevel="1">
      <c r="C97" s="239" t="str">
        <f>"Proposed % Reduction in "&amp;$D88</f>
        <v>Proposed % Reduction in Financial Exposure</v>
      </c>
      <c r="D97" s="491"/>
      <c r="E97" s="242" t="s">
        <v>483</v>
      </c>
    </row>
    <row r="98" spans="2:5" ht="17" hidden="1" outlineLevel="1">
      <c r="C98" s="239" t="str">
        <f>"Proposed Target Year Financial Exposure"&amp;" ["&amp;$D92&amp;"]"</f>
        <v>Proposed Target Year Financial Exposure [Unspecified Currency]</v>
      </c>
      <c r="D98" s="273" t="str">
        <f>IF(AND($D94&lt;&gt;"",$D97&lt;&gt;""), $D94 * (1 - $D97), "")</f>
        <v/>
      </c>
      <c r="E98" s="244"/>
    </row>
    <row r="99" spans="2:5" ht="17" hidden="1" outlineLevel="1">
      <c r="C99" s="239" t="s">
        <v>484</v>
      </c>
      <c r="D99" s="263" t="str">
        <f>Calculator!$B399</f>
        <v/>
      </c>
      <c r="E99" s="244"/>
    </row>
    <row r="100" spans="2:5" ht="30" collapsed="1">
      <c r="C100" s="228"/>
      <c r="D100" s="245"/>
      <c r="E100" s="244"/>
    </row>
    <row r="101" spans="2:5" ht="31">
      <c r="B101" s="248" t="s">
        <v>507</v>
      </c>
      <c r="C101" s="233" t="s">
        <v>727</v>
      </c>
    </row>
    <row r="102" spans="2:5" hidden="1" outlineLevel="1">
      <c r="B102" s="234"/>
      <c r="C102" s="249"/>
      <c r="D102" s="235"/>
      <c r="E102" s="236"/>
    </row>
    <row r="103" spans="2:5" ht="17" hidden="1" outlineLevel="1">
      <c r="C103" s="470" t="s">
        <v>468</v>
      </c>
      <c r="D103" s="240" t="s">
        <v>509</v>
      </c>
    </row>
    <row r="104" spans="2:5" ht="17" hidden="1" outlineLevel="1">
      <c r="C104" s="239" t="s">
        <v>470</v>
      </c>
      <c r="D104" s="240" t="s">
        <v>471</v>
      </c>
      <c r="E104" s="241"/>
    </row>
    <row r="105" spans="2:5" ht="17" hidden="1" outlineLevel="1">
      <c r="C105" s="239" t="s">
        <v>472</v>
      </c>
      <c r="D105" s="240" t="s">
        <v>32</v>
      </c>
      <c r="E105" s="241"/>
    </row>
    <row r="106" spans="2:5" ht="17" hidden="1" outlineLevel="1">
      <c r="C106" s="239" t="s">
        <v>510</v>
      </c>
      <c r="D106" s="250" t="s">
        <v>511</v>
      </c>
      <c r="E106" s="241"/>
    </row>
    <row r="107" spans="2:5" ht="17" hidden="1" outlineLevel="1">
      <c r="C107" s="239" t="s">
        <v>477</v>
      </c>
      <c r="D107" s="137"/>
      <c r="E107" s="241" t="s">
        <v>478</v>
      </c>
    </row>
    <row r="108" spans="2:5" ht="17" hidden="1" outlineLevel="1">
      <c r="C108" s="239" t="s">
        <v>473</v>
      </c>
      <c r="D108" s="138"/>
      <c r="E108" s="242" t="s">
        <v>474</v>
      </c>
    </row>
    <row r="109" spans="2:5" ht="17" hidden="1" outlineLevel="1">
      <c r="C109" s="239" t="s">
        <v>479</v>
      </c>
      <c r="D109" s="137"/>
      <c r="E109" s="241" t="s">
        <v>480</v>
      </c>
    </row>
    <row r="110" spans="2:5" ht="17" hidden="1" outlineLevel="1">
      <c r="C110" s="239" t="s">
        <v>499</v>
      </c>
      <c r="D110" s="243" t="str">
        <f>Calculator!$B368</f>
        <v/>
      </c>
      <c r="E110" s="242"/>
    </row>
    <row r="111" spans="2:5" ht="17" hidden="1" outlineLevel="1">
      <c r="C111" s="239" t="str">
        <f>"Proposed % Reduction in "&amp;$D104</f>
        <v>Proposed % Reduction in Absolute Emissions</v>
      </c>
      <c r="D111" s="138"/>
      <c r="E111" s="242" t="s">
        <v>483</v>
      </c>
    </row>
    <row r="112" spans="2:5" ht="17" hidden="1" outlineLevel="1">
      <c r="C112" s="239" t="s">
        <v>502</v>
      </c>
      <c r="D112" s="274" t="str">
        <f>IF(AND($D108&lt;&gt;"",$D111&lt;&gt;""),$D108*((100-D111)/100),"")</f>
        <v/>
      </c>
      <c r="E112" s="244"/>
    </row>
    <row r="113" spans="2:5" ht="17" hidden="1" outlineLevel="1">
      <c r="C113" s="239" t="s">
        <v>484</v>
      </c>
      <c r="D113" s="240" t="str">
        <f>Calculator!$B369</f>
        <v/>
      </c>
      <c r="E113" s="244"/>
    </row>
    <row r="114" spans="2:5" ht="30" collapsed="1">
      <c r="C114" s="228"/>
    </row>
    <row r="115" spans="2:5" ht="31">
      <c r="B115" s="312" t="s">
        <v>512</v>
      </c>
      <c r="C115" s="252" t="s">
        <v>513</v>
      </c>
    </row>
    <row r="116" spans="2:5" hidden="1" outlineLevel="1">
      <c r="B116" s="253"/>
    </row>
    <row r="117" spans="2:5" ht="24" hidden="1" outlineLevel="1">
      <c r="B117" s="237"/>
      <c r="C117" s="254" t="s">
        <v>514</v>
      </c>
    </row>
    <row r="118" spans="2:5" hidden="1" outlineLevel="1">
      <c r="B118" s="255"/>
      <c r="C118" s="249"/>
      <c r="D118" s="235"/>
      <c r="E118" s="236"/>
    </row>
    <row r="119" spans="2:5" ht="17" hidden="1" outlineLevel="1">
      <c r="C119" s="470" t="s">
        <v>468</v>
      </c>
      <c r="D119" s="240" t="s">
        <v>515</v>
      </c>
    </row>
    <row r="120" spans="2:5" ht="17" hidden="1" outlineLevel="1">
      <c r="C120" s="239" t="s">
        <v>470</v>
      </c>
      <c r="D120" s="240" t="s">
        <v>516</v>
      </c>
      <c r="E120" s="241"/>
    </row>
    <row r="121" spans="2:5" ht="17" hidden="1" outlineLevel="1">
      <c r="C121" s="239" t="s">
        <v>472</v>
      </c>
      <c r="D121" s="240" t="s">
        <v>517</v>
      </c>
      <c r="E121" s="241"/>
    </row>
    <row r="122" spans="2:5" ht="17" hidden="1" outlineLevel="1">
      <c r="C122" s="239" t="s">
        <v>510</v>
      </c>
      <c r="D122" s="250" t="s">
        <v>518</v>
      </c>
      <c r="E122" s="241"/>
    </row>
    <row r="123" spans="2:5" ht="17" hidden="1" outlineLevel="1">
      <c r="C123" s="239" t="s">
        <v>477</v>
      </c>
      <c r="D123" s="140"/>
      <c r="E123" s="241" t="s">
        <v>478</v>
      </c>
    </row>
    <row r="124" spans="2:5" ht="17" hidden="1" outlineLevel="1">
      <c r="C124" s="239" t="s">
        <v>473</v>
      </c>
      <c r="D124" s="138"/>
      <c r="E124" s="1021" t="s">
        <v>474</v>
      </c>
    </row>
    <row r="125" spans="2:5" ht="17" hidden="1" outlineLevel="1">
      <c r="C125" s="239" t="s">
        <v>519</v>
      </c>
      <c r="D125" s="138"/>
      <c r="E125" s="1021"/>
    </row>
    <row r="126" spans="2:5" ht="17" hidden="1" outlineLevel="1">
      <c r="C126" s="239" t="s">
        <v>520</v>
      </c>
      <c r="D126" s="243" t="str">
        <f>IF(AND($D124&gt;0,$D125&gt;0),$D124/$D125,"")</f>
        <v/>
      </c>
      <c r="E126" s="242"/>
    </row>
    <row r="127" spans="2:5" ht="17" hidden="1" outlineLevel="1">
      <c r="C127" s="256" t="s">
        <v>521</v>
      </c>
      <c r="D127" s="257" t="str">
        <f>Calculator!$B55</f>
        <v/>
      </c>
      <c r="E127" s="242"/>
    </row>
    <row r="128" spans="2:5" ht="17" hidden="1" outlineLevel="1">
      <c r="C128" s="239" t="s">
        <v>522</v>
      </c>
      <c r="D128" s="258" t="str">
        <f>Calculator!$B56</f>
        <v/>
      </c>
      <c r="E128" s="242"/>
    </row>
    <row r="129" spans="2:7" ht="17" hidden="1" outlineLevel="1">
      <c r="C129" s="239" t="s">
        <v>479</v>
      </c>
      <c r="D129" s="140"/>
      <c r="E129" s="241" t="s">
        <v>480</v>
      </c>
    </row>
    <row r="130" spans="2:7" ht="17" hidden="1" outlineLevel="1">
      <c r="C130" s="256" t="s">
        <v>523</v>
      </c>
      <c r="D130" s="259" t="str">
        <f>Calculator!$B57</f>
        <v/>
      </c>
      <c r="E130" s="242"/>
      <c r="F130" s="534" t="e">
        <f>D126-D130</f>
        <v>#VALUE!</v>
      </c>
      <c r="G130" s="526"/>
    </row>
    <row r="131" spans="2:7" ht="17" hidden="1" outlineLevel="1">
      <c r="C131" s="239" t="str">
        <f>"Proposed % Reduction in "&amp;$D120</f>
        <v>Proposed % Reduction in Emissions Intensity</v>
      </c>
      <c r="D131" s="141"/>
      <c r="E131" s="242" t="s">
        <v>483</v>
      </c>
      <c r="F131" s="535" t="e">
        <f>F130/D126</f>
        <v>#VALUE!</v>
      </c>
      <c r="G131" s="528"/>
    </row>
    <row r="132" spans="2:7" ht="17" hidden="1" outlineLevel="1">
      <c r="C132" s="239" t="s">
        <v>524</v>
      </c>
      <c r="D132" s="243" t="str">
        <f>IF(AND($D126&gt;0,$D131&gt;0,$D126&lt;&gt;""),$D126*((100-D131)/100),"")</f>
        <v/>
      </c>
      <c r="E132" s="242"/>
      <c r="F132" s="527"/>
      <c r="G132" s="528"/>
    </row>
    <row r="133" spans="2:7" ht="17" hidden="1" outlineLevel="1">
      <c r="B133" s="255"/>
      <c r="C133" s="239" t="s">
        <v>484</v>
      </c>
      <c r="D133" s="260" t="str">
        <f>Calculator!$B58</f>
        <v/>
      </c>
      <c r="E133" s="261"/>
    </row>
    <row r="134" spans="2:7" hidden="1" outlineLevel="1">
      <c r="C134" s="239"/>
      <c r="D134" s="245"/>
      <c r="E134" s="244"/>
    </row>
    <row r="135" spans="2:7" ht="24" hidden="1" outlineLevel="1">
      <c r="B135" s="237"/>
      <c r="C135" s="254" t="s">
        <v>525</v>
      </c>
    </row>
    <row r="136" spans="2:7" hidden="1" outlineLevel="1">
      <c r="B136" s="255"/>
      <c r="C136" s="249"/>
      <c r="D136" s="235"/>
      <c r="E136" s="236"/>
    </row>
    <row r="137" spans="2:7" ht="17" hidden="1" outlineLevel="1">
      <c r="C137" s="470" t="s">
        <v>468</v>
      </c>
      <c r="D137" s="240" t="s">
        <v>526</v>
      </c>
    </row>
    <row r="138" spans="2:7" ht="17" hidden="1" outlineLevel="1">
      <c r="C138" s="239" t="s">
        <v>470</v>
      </c>
      <c r="D138" s="240" t="s">
        <v>527</v>
      </c>
      <c r="E138" s="241"/>
    </row>
    <row r="139" spans="2:7" ht="17" hidden="1" outlineLevel="1">
      <c r="C139" s="239" t="s">
        <v>472</v>
      </c>
      <c r="D139" s="240" t="s">
        <v>528</v>
      </c>
      <c r="E139" s="241"/>
    </row>
    <row r="140" spans="2:7" ht="17" hidden="1" outlineLevel="1">
      <c r="C140" s="239" t="s">
        <v>510</v>
      </c>
      <c r="D140" s="250" t="s">
        <v>518</v>
      </c>
      <c r="E140" s="241"/>
    </row>
    <row r="141" spans="2:7" ht="17" hidden="1" outlineLevel="1">
      <c r="C141" s="239" t="s">
        <v>477</v>
      </c>
      <c r="D141" s="140"/>
      <c r="E141" s="241" t="s">
        <v>478</v>
      </c>
    </row>
    <row r="142" spans="2:7" ht="17" hidden="1" outlineLevel="1">
      <c r="C142" s="239" t="s">
        <v>529</v>
      </c>
      <c r="D142" s="138"/>
      <c r="E142" s="1021" t="s">
        <v>474</v>
      </c>
    </row>
    <row r="143" spans="2:7" ht="17" hidden="1" outlineLevel="1">
      <c r="C143" s="239" t="s">
        <v>530</v>
      </c>
      <c r="D143" s="138"/>
      <c r="E143" s="1021"/>
    </row>
    <row r="144" spans="2:7" ht="17" hidden="1" outlineLevel="1">
      <c r="C144" s="239" t="str">
        <f>"Base Year "&amp;$D139</f>
        <v>Base Year % Zero-Emissions Generation Capacity</v>
      </c>
      <c r="D144" s="243" t="str">
        <f>IF(AND($D142&gt;0,$D143&gt;0),100*$D142/$D143,"")</f>
        <v/>
      </c>
      <c r="E144" s="262" t="str">
        <f>IF(AND(ISNUMBER($D144),$D144&gt;100),"Error: Zero Carbon Generation Capacitiy Cannot Exceed Total Generation Capacity","")</f>
        <v/>
      </c>
    </row>
    <row r="145" spans="2:8" ht="17" hidden="1" outlineLevel="1">
      <c r="C145" s="239" t="str">
        <f>"Benchmark Base Year "&amp;$D139</f>
        <v>Benchmark Base Year % Zero-Emissions Generation Capacity</v>
      </c>
      <c r="D145" s="243" t="str">
        <f>Calculator!$B74</f>
        <v/>
      </c>
      <c r="E145" s="242"/>
    </row>
    <row r="146" spans="2:8" ht="17" hidden="1" outlineLevel="1">
      <c r="C146" s="239" t="s">
        <v>522</v>
      </c>
      <c r="D146" s="263" t="str">
        <f>Calculator!$B75</f>
        <v/>
      </c>
      <c r="E146" s="242"/>
    </row>
    <row r="147" spans="2:8" ht="17" hidden="1" outlineLevel="1">
      <c r="C147" s="239" t="s">
        <v>479</v>
      </c>
      <c r="D147" s="140"/>
      <c r="E147" s="241" t="s">
        <v>480</v>
      </c>
    </row>
    <row r="148" spans="2:8" ht="34" hidden="1" outlineLevel="1">
      <c r="C148" s="256" t="str">
        <f>"Minimum Acceptable Target Year "&amp;$D139</f>
        <v>Minimum Acceptable Target Year % Zero-Emissions Generation Capacity</v>
      </c>
      <c r="D148" s="259" t="str">
        <f>Calculator!$B76</f>
        <v/>
      </c>
      <c r="E148" s="242"/>
    </row>
    <row r="149" spans="2:8" ht="17" hidden="1" outlineLevel="1">
      <c r="C149" s="239" t="str">
        <f>"Proposed Target Year "&amp;$D139</f>
        <v>Proposed Target Year % Zero-Emissions Generation Capacity</v>
      </c>
      <c r="D149" s="141"/>
      <c r="E149" s="242" t="s">
        <v>531</v>
      </c>
    </row>
    <row r="150" spans="2:8" ht="17" hidden="1" outlineLevel="1">
      <c r="C150" s="239" t="str">
        <f>"Proposed % Growth in "&amp;$D138</f>
        <v>Proposed % Growth in Technology Share</v>
      </c>
      <c r="D150" s="243" t="str">
        <f>IF(AND($D144&gt;0,$D149&gt;0,$D144&lt;&gt;""),-100*($D144-$D149)/$D144,"")</f>
        <v/>
      </c>
      <c r="E150" s="242"/>
    </row>
    <row r="151" spans="2:8" ht="17" hidden="1" outlineLevel="1">
      <c r="C151" s="239" t="s">
        <v>484</v>
      </c>
      <c r="D151" s="240" t="str">
        <f>Calculator!$B77</f>
        <v/>
      </c>
      <c r="E151" s="242"/>
    </row>
    <row r="152" spans="2:8" ht="30" collapsed="1">
      <c r="C152" s="264"/>
      <c r="D152" s="245"/>
      <c r="E152" s="244"/>
      <c r="H152" s="235"/>
    </row>
    <row r="153" spans="2:8" s="235" customFormat="1" ht="31">
      <c r="B153" s="251" t="s">
        <v>532</v>
      </c>
      <c r="C153" s="265" t="s">
        <v>533</v>
      </c>
      <c r="D153" s="245"/>
      <c r="E153" s="564"/>
    </row>
    <row r="154" spans="2:8" s="235" customFormat="1" ht="51" hidden="1" outlineLevel="1">
      <c r="B154" s="251"/>
      <c r="C154" s="266" t="s">
        <v>534</v>
      </c>
      <c r="D154" s="245"/>
      <c r="E154" s="564"/>
    </row>
    <row r="155" spans="2:8" s="235" customFormat="1" hidden="1" outlineLevel="1">
      <c r="B155" s="267"/>
      <c r="C155" s="268"/>
      <c r="D155" s="269"/>
      <c r="E155" s="270"/>
    </row>
    <row r="156" spans="2:8" s="235" customFormat="1" ht="23" hidden="1" customHeight="1" outlineLevel="1">
      <c r="B156" s="237"/>
      <c r="C156" s="1019" t="s">
        <v>535</v>
      </c>
      <c r="D156" s="1019"/>
      <c r="E156" s="564"/>
    </row>
    <row r="157" spans="2:8" s="235" customFormat="1" hidden="1" outlineLevel="1">
      <c r="B157" s="227"/>
      <c r="C157" s="271"/>
      <c r="D157" s="271"/>
      <c r="E157" s="564"/>
    </row>
    <row r="158" spans="2:8" s="235" customFormat="1" ht="17" hidden="1" outlineLevel="1">
      <c r="B158" s="227"/>
      <c r="C158" s="470" t="s">
        <v>468</v>
      </c>
      <c r="D158" s="240" t="s">
        <v>536</v>
      </c>
      <c r="E158" s="564"/>
    </row>
    <row r="159" spans="2:8" s="235" customFormat="1" ht="17" hidden="1" outlineLevel="1">
      <c r="B159" s="227"/>
      <c r="C159" s="239" t="s">
        <v>470</v>
      </c>
      <c r="D159" s="240" t="s">
        <v>516</v>
      </c>
      <c r="E159" s="564"/>
    </row>
    <row r="160" spans="2:8" s="235" customFormat="1" ht="17" hidden="1" outlineLevel="1">
      <c r="B160" s="227"/>
      <c r="C160" s="239" t="s">
        <v>472</v>
      </c>
      <c r="D160" s="240" t="s">
        <v>537</v>
      </c>
      <c r="E160" s="564"/>
    </row>
    <row r="161" spans="2:5" s="235" customFormat="1" ht="34.25" hidden="1" customHeight="1" outlineLevel="1">
      <c r="B161" s="227"/>
      <c r="C161" s="239" t="s">
        <v>510</v>
      </c>
      <c r="D161" s="530" t="s">
        <v>538</v>
      </c>
      <c r="E161" s="564"/>
    </row>
    <row r="162" spans="2:5" s="235" customFormat="1" ht="17" hidden="1" outlineLevel="1">
      <c r="B162" s="227"/>
      <c r="C162" s="239" t="s">
        <v>477</v>
      </c>
      <c r="D162" s="140"/>
      <c r="E162" s="241" t="s">
        <v>478</v>
      </c>
    </row>
    <row r="163" spans="2:5" s="235" customFormat="1" ht="17" hidden="1" outlineLevel="1">
      <c r="B163" s="227"/>
      <c r="C163" s="239" t="s">
        <v>539</v>
      </c>
      <c r="D163" s="142"/>
      <c r="E163" s="272" t="s">
        <v>541</v>
      </c>
    </row>
    <row r="164" spans="2:5" s="235" customFormat="1" ht="34.25" hidden="1" customHeight="1" outlineLevel="1">
      <c r="B164" s="227"/>
      <c r="C164" s="239" t="str">
        <f>"Base Year Passenger Aircraft"&amp;CHAR(10)&amp;IF(NOT(ISBLANK($D163)),$D163,"")&amp;" Emissions [tCO2e]"</f>
        <v>Base Year Passenger Aircraft
 Emissions [tCO2e]</v>
      </c>
      <c r="D164" s="143"/>
      <c r="E164" s="1021" t="str">
        <f>"Provide base year data for"&amp;CHAR(10)&amp;"applicable business activities."</f>
        <v>Provide base year data for
applicable business activities.</v>
      </c>
    </row>
    <row r="165" spans="2:5" s="235" customFormat="1" ht="34" hidden="1" outlineLevel="1">
      <c r="B165" s="227"/>
      <c r="C165" s="239" t="str">
        <f>"Base Year Passenger Aircraft"&amp;CHAR(10)&amp;"Total Flown Passengers [RPK]"</f>
        <v>Base Year Passenger Aircraft
Total Flown Passengers [RPK]</v>
      </c>
      <c r="D165" s="143"/>
      <c r="E165" s="1021"/>
    </row>
    <row r="166" spans="2:5" s="235" customFormat="1" ht="51" hidden="1" outlineLevel="1">
      <c r="B166" s="227"/>
      <c r="C166" s="239" t="str">
        <f>"Base Year Passenger Aircraft"&amp;CHAR(10)&amp;"% Total Flown Passengers"&amp;CHAR(10)&amp;"on Short-Haul Flights (OPTIONAL)"</f>
        <v>Base Year Passenger Aircraft
% Total Flown Passengers
on Short-Haul Flights (OPTIONAL)</v>
      </c>
      <c r="D166" s="141"/>
      <c r="E166" s="1021"/>
    </row>
    <row r="167" spans="2:5" s="235" customFormat="1" ht="34" hidden="1" outlineLevel="1">
      <c r="B167" s="227"/>
      <c r="C167" s="239" t="str">
        <f>"Base Year Passenger Aircraft"&amp;CHAR(10)&amp;"Total Flown Belly Freight [RTK]"</f>
        <v>Base Year Passenger Aircraft
Total Flown Belly Freight [RTK]</v>
      </c>
      <c r="D167" s="143"/>
      <c r="E167" s="1021"/>
    </row>
    <row r="168" spans="2:5" s="235" customFormat="1" ht="34.25" hidden="1" customHeight="1" outlineLevel="1">
      <c r="B168" s="227"/>
      <c r="C168" s="239" t="str">
        <f>"Base Year Dedicated Freighters"&amp;CHAR(10)&amp;IF(NOT(ISBLANK($D163)),$D163,"")&amp;" Emissions [tCO2e]"</f>
        <v>Base Year Dedicated Freighters
 Emissions [tCO2e]</v>
      </c>
      <c r="D168" s="143"/>
      <c r="E168" s="1021"/>
    </row>
    <row r="169" spans="2:5" s="235" customFormat="1" ht="34" hidden="1" outlineLevel="1">
      <c r="B169" s="227"/>
      <c r="C169" s="239" t="str">
        <f>"Base Year Dedicated Freighters"&amp;CHAR(10)&amp;"Total Flown Freight [RTK]"</f>
        <v>Base Year Dedicated Freighters
Total Flown Freight [RTK]</v>
      </c>
      <c r="D169" s="143"/>
      <c r="E169" s="1021"/>
    </row>
    <row r="170" spans="2:5" s="235" customFormat="1" ht="51" hidden="1" outlineLevel="1">
      <c r="B170" s="227"/>
      <c r="C170" s="239" t="str">
        <f>"Base Year Dedicated Freighters"&amp;CHAR(10)&amp;"% Total Flown Freight"&amp;CHAR(10)&amp;"on Short-Haul Flights (OPTIONAL)"</f>
        <v>Base Year Dedicated Freighters
% Total Flown Freight
on Short-Haul Flights (OPTIONAL)</v>
      </c>
      <c r="D170" s="141"/>
      <c r="E170" s="1021"/>
    </row>
    <row r="171" spans="2:5" s="235" customFormat="1" ht="0.5" hidden="1" customHeight="1" outlineLevel="1">
      <c r="B171" s="227"/>
      <c r="C171" s="239" t="s">
        <v>542</v>
      </c>
      <c r="D171" s="611" t="str">
        <f>IF(NOT(OR(ISBLANK($D163),_xlfn.XOR($D164=0,$D165=0),_xlfn.XOR($D168=0,$D169=0),AND($D164=0,$D165=0,$D168=0,$D169=0))),"Complete","")</f>
        <v/>
      </c>
      <c r="E171" s="229"/>
    </row>
    <row r="172" spans="2:5" s="235" customFormat="1" ht="17" hidden="1" outlineLevel="1">
      <c r="B172" s="227"/>
      <c r="C172" s="239" t="s">
        <v>543</v>
      </c>
      <c r="D172" s="273" t="str">
        <f>IF($D171="Complete",IF($D163="Tank-to-Wake",89.7/71.5,1)*($D164+$D168),"")</f>
        <v/>
      </c>
      <c r="E172" s="229"/>
    </row>
    <row r="173" spans="2:5" s="235" customFormat="1" ht="17" hidden="1" outlineLevel="1">
      <c r="B173" s="227"/>
      <c r="C173" s="239" t="s">
        <v>544</v>
      </c>
      <c r="D173" s="273" t="str">
        <f>IF($D171="Complete",0.1*$D165+$D167+$D169,"")</f>
        <v/>
      </c>
      <c r="E173" s="229"/>
    </row>
    <row r="174" spans="2:5" s="235" customFormat="1" ht="17" hidden="1" outlineLevel="1">
      <c r="B174" s="227"/>
      <c r="C174" s="239" t="s">
        <v>545</v>
      </c>
      <c r="D174" s="274" t="str">
        <f>IF($D171="Complete",1000000*$D172/$D173,"")</f>
        <v/>
      </c>
      <c r="E174" s="229"/>
    </row>
    <row r="175" spans="2:5" s="235" customFormat="1" ht="17" hidden="1" outlineLevel="1">
      <c r="B175" s="227"/>
      <c r="C175" s="239" t="s">
        <v>546</v>
      </c>
      <c r="D175" s="275" t="str">
        <f>Calculator!$B99</f>
        <v/>
      </c>
      <c r="E175" s="229"/>
    </row>
    <row r="176" spans="2:5" s="235" customFormat="1" ht="17" hidden="1" outlineLevel="1">
      <c r="B176" s="227"/>
      <c r="C176" s="239" t="s">
        <v>522</v>
      </c>
      <c r="D176" s="258" t="str">
        <f>Calculator!$B100</f>
        <v/>
      </c>
      <c r="E176" s="229"/>
    </row>
    <row r="177" spans="2:5" s="235" customFormat="1" ht="17" hidden="1" outlineLevel="1">
      <c r="B177" s="227"/>
      <c r="C177" s="239" t="s">
        <v>479</v>
      </c>
      <c r="D177" s="140"/>
      <c r="E177" s="241" t="s">
        <v>480</v>
      </c>
    </row>
    <row r="178" spans="2:5" s="235" customFormat="1" ht="17" hidden="1" outlineLevel="1">
      <c r="B178" s="227"/>
      <c r="C178" s="256" t="s">
        <v>547</v>
      </c>
      <c r="D178" s="275" t="str">
        <f>Calculator!$B101</f>
        <v/>
      </c>
      <c r="E178" s="276"/>
    </row>
    <row r="179" spans="2:5" s="235" customFormat="1" ht="17" hidden="1" outlineLevel="1">
      <c r="B179" s="227"/>
      <c r="C179" s="239" t="str">
        <f>"Proposed % Reduction in "&amp;$D159</f>
        <v>Proposed % Reduction in Emissions Intensity</v>
      </c>
      <c r="D179" s="144"/>
      <c r="E179" s="276" t="s">
        <v>483</v>
      </c>
    </row>
    <row r="180" spans="2:5" s="235" customFormat="1" ht="17" hidden="1" outlineLevel="1">
      <c r="B180" s="227"/>
      <c r="C180" s="239" t="s">
        <v>548</v>
      </c>
      <c r="D180" s="274" t="str">
        <f>IF(AND($D174&gt;0,$D179&gt;0,$D174&lt;&gt;""),$D174*((100-D179)/100),"")</f>
        <v/>
      </c>
      <c r="E180" s="276"/>
    </row>
    <row r="181" spans="2:5" s="235" customFormat="1" ht="17" hidden="1" outlineLevel="1">
      <c r="B181" s="255"/>
      <c r="C181" s="239" t="s">
        <v>484</v>
      </c>
      <c r="D181" s="260" t="str">
        <f>Calculator!$B102</f>
        <v/>
      </c>
      <c r="E181" s="236"/>
    </row>
    <row r="182" spans="2:5" s="235" customFormat="1" hidden="1" outlineLevel="1">
      <c r="B182" s="227"/>
      <c r="C182" s="277"/>
      <c r="D182" s="245"/>
      <c r="E182" s="229"/>
    </row>
    <row r="183" spans="2:5" s="235" customFormat="1" ht="23" hidden="1" customHeight="1" outlineLevel="1">
      <c r="B183" s="237"/>
      <c r="C183" s="1019" t="s">
        <v>549</v>
      </c>
      <c r="D183" s="1019"/>
      <c r="E183" s="564"/>
    </row>
    <row r="184" spans="2:5" s="235" customFormat="1" hidden="1" outlineLevel="1">
      <c r="B184" s="227"/>
      <c r="C184" s="271"/>
      <c r="D184" s="271"/>
      <c r="E184" s="564"/>
    </row>
    <row r="185" spans="2:5" s="235" customFormat="1" ht="17" hidden="1" outlineLevel="1">
      <c r="B185" s="227"/>
      <c r="C185" s="470" t="s">
        <v>468</v>
      </c>
      <c r="D185" s="240" t="s">
        <v>536</v>
      </c>
      <c r="E185" s="564"/>
    </row>
    <row r="186" spans="2:5" s="235" customFormat="1" ht="17" hidden="1" outlineLevel="1">
      <c r="B186" s="227"/>
      <c r="C186" s="239" t="s">
        <v>470</v>
      </c>
      <c r="D186" s="240" t="s">
        <v>516</v>
      </c>
      <c r="E186" s="564"/>
    </row>
    <row r="187" spans="2:5" s="235" customFormat="1" ht="17" hidden="1" outlineLevel="1">
      <c r="B187" s="227"/>
      <c r="C187" s="239" t="s">
        <v>472</v>
      </c>
      <c r="D187" s="240" t="s">
        <v>537</v>
      </c>
      <c r="E187" s="564"/>
    </row>
    <row r="188" spans="2:5" s="235" customFormat="1" ht="34" hidden="1" outlineLevel="1">
      <c r="B188" s="227"/>
      <c r="C188" s="239" t="s">
        <v>510</v>
      </c>
      <c r="D188" s="530" t="s">
        <v>538</v>
      </c>
      <c r="E188" s="564"/>
    </row>
    <row r="189" spans="2:5" s="235" customFormat="1" ht="17" hidden="1" outlineLevel="1">
      <c r="B189" s="227"/>
      <c r="C189" s="239" t="s">
        <v>477</v>
      </c>
      <c r="D189" s="140"/>
      <c r="E189" s="241" t="s">
        <v>478</v>
      </c>
    </row>
    <row r="190" spans="2:5" s="235" customFormat="1" ht="17" hidden="1" outlineLevel="1">
      <c r="B190" s="227"/>
      <c r="C190" s="239" t="s">
        <v>539</v>
      </c>
      <c r="D190" s="142"/>
      <c r="E190" s="272" t="s">
        <v>541</v>
      </c>
    </row>
    <row r="191" spans="2:5" s="235" customFormat="1" ht="17" hidden="1" outlineLevel="1">
      <c r="B191" s="227"/>
      <c r="C191" s="239" t="str">
        <f>"Base Year"&amp;IF(NOT(ISBLANK($D190))," "&amp;$D190&amp;" "," ")&amp;"Emissions [tCO2e]"</f>
        <v>Base Year Emissions [tCO2e]</v>
      </c>
      <c r="D191" s="138"/>
      <c r="E191" s="1021" t="s">
        <v>474</v>
      </c>
    </row>
    <row r="192" spans="2:5" s="235" customFormat="1" ht="17" hidden="1" outlineLevel="1">
      <c r="B192" s="227"/>
      <c r="C192" s="239" t="s">
        <v>550</v>
      </c>
      <c r="D192" s="138"/>
      <c r="E192" s="1021"/>
    </row>
    <row r="193" spans="2:5" s="235" customFormat="1" ht="0.5" hidden="1" customHeight="1" outlineLevel="1">
      <c r="B193" s="227"/>
      <c r="C193" s="239" t="s">
        <v>542</v>
      </c>
      <c r="D193" s="278" t="str">
        <f>IF(AND($D190&lt;&gt;"",$D191&gt;0,$D192&gt;0),"Complete","")</f>
        <v/>
      </c>
      <c r="E193" s="276"/>
    </row>
    <row r="194" spans="2:5" s="235" customFormat="1" ht="17" hidden="1" outlineLevel="1">
      <c r="B194" s="227"/>
      <c r="C194" s="239" t="s">
        <v>545</v>
      </c>
      <c r="D194" s="274" t="str">
        <f>IF($D193="Complete",IF($D190="Tank-to-Wake",89.7/71.5,1)*1000000*D191/D192,"")</f>
        <v/>
      </c>
      <c r="E194" s="229"/>
    </row>
    <row r="195" spans="2:5" s="235" customFormat="1" ht="17" hidden="1" outlineLevel="1">
      <c r="B195" s="227"/>
      <c r="C195" s="239" t="s">
        <v>546</v>
      </c>
      <c r="D195" s="274" t="str">
        <f>IF($D193="Complete",Calculator!$B118,"")</f>
        <v/>
      </c>
      <c r="E195" s="229"/>
    </row>
    <row r="196" spans="2:5" s="235" customFormat="1" ht="17" hidden="1" outlineLevel="1">
      <c r="B196" s="227"/>
      <c r="C196" s="239" t="s">
        <v>522</v>
      </c>
      <c r="D196" s="263" t="str">
        <f>Calculator!$B119</f>
        <v/>
      </c>
      <c r="E196" s="229"/>
    </row>
    <row r="197" spans="2:5" s="235" customFormat="1" ht="17" hidden="1" outlineLevel="1">
      <c r="B197" s="227"/>
      <c r="C197" s="239" t="s">
        <v>479</v>
      </c>
      <c r="D197" s="140"/>
      <c r="E197" s="241" t="s">
        <v>480</v>
      </c>
    </row>
    <row r="198" spans="2:5" s="235" customFormat="1" ht="17" hidden="1" outlineLevel="1">
      <c r="B198" s="227"/>
      <c r="C198" s="256" t="s">
        <v>551</v>
      </c>
      <c r="D198" s="274" t="str">
        <f>Calculator!$B120</f>
        <v/>
      </c>
      <c r="E198" s="276"/>
    </row>
    <row r="199" spans="2:5" s="235" customFormat="1" ht="17" hidden="1" outlineLevel="1">
      <c r="B199" s="227"/>
      <c r="C199" s="239" t="str">
        <f>"Proposed % Reduction in "&amp;$D186</f>
        <v>Proposed % Reduction in Emissions Intensity</v>
      </c>
      <c r="D199" s="144"/>
      <c r="E199" s="276" t="s">
        <v>483</v>
      </c>
    </row>
    <row r="200" spans="2:5" s="235" customFormat="1" ht="17" hidden="1" outlineLevel="1">
      <c r="B200" s="227"/>
      <c r="C200" s="239" t="s">
        <v>548</v>
      </c>
      <c r="D200" s="274" t="str">
        <f>IF(AND($D194&gt;0,$D199&gt;0,$D194&lt;&gt;""),$D194*((100-D199)/100),"")</f>
        <v/>
      </c>
      <c r="E200" s="276"/>
    </row>
    <row r="201" spans="2:5" s="235" customFormat="1" ht="17" hidden="1" outlineLevel="1">
      <c r="B201" s="227"/>
      <c r="C201" s="239" t="s">
        <v>484</v>
      </c>
      <c r="D201" s="240" t="str">
        <f>Calculator!$B121</f>
        <v/>
      </c>
      <c r="E201" s="229"/>
    </row>
    <row r="202" spans="2:5" s="235" customFormat="1" ht="30" collapsed="1">
      <c r="B202" s="227"/>
      <c r="C202" s="279"/>
      <c r="D202" s="245"/>
      <c r="E202" s="229"/>
    </row>
    <row r="203" spans="2:5" s="235" customFormat="1" ht="31">
      <c r="B203" s="280" t="s">
        <v>552</v>
      </c>
      <c r="C203" s="265" t="s">
        <v>184</v>
      </c>
      <c r="D203" s="245"/>
      <c r="E203" s="229"/>
    </row>
    <row r="204" spans="2:5" s="235" customFormat="1" ht="34">
      <c r="B204" s="227"/>
      <c r="C204" s="266" t="s">
        <v>553</v>
      </c>
      <c r="D204" s="245"/>
      <c r="E204" s="229"/>
    </row>
    <row r="205" spans="2:5" s="235" customFormat="1" ht="30">
      <c r="B205" s="227"/>
      <c r="C205" s="264"/>
      <c r="D205" s="245"/>
      <c r="E205" s="229"/>
    </row>
    <row r="206" spans="2:5" s="235" customFormat="1" ht="31">
      <c r="B206" s="251" t="s">
        <v>554</v>
      </c>
      <c r="C206" s="252" t="s">
        <v>555</v>
      </c>
      <c r="D206" s="226"/>
      <c r="E206" s="229"/>
    </row>
    <row r="207" spans="2:5" s="235" customFormat="1" hidden="1" outlineLevel="1">
      <c r="B207" s="267"/>
      <c r="C207" s="249"/>
      <c r="E207" s="236"/>
    </row>
    <row r="208" spans="2:5" s="235" customFormat="1" ht="24" hidden="1" outlineLevel="1">
      <c r="B208" s="281"/>
      <c r="C208" s="254" t="s">
        <v>514</v>
      </c>
      <c r="D208" s="226"/>
      <c r="E208" s="229"/>
    </row>
    <row r="209" spans="2:5" s="235" customFormat="1" hidden="1" outlineLevel="1">
      <c r="B209" s="255"/>
      <c r="C209" s="249"/>
      <c r="E209" s="236"/>
    </row>
    <row r="210" spans="2:5" s="235" customFormat="1" ht="17" hidden="1" outlineLevel="1">
      <c r="B210" s="227"/>
      <c r="C210" s="470" t="s">
        <v>468</v>
      </c>
      <c r="D210" s="240" t="s">
        <v>556</v>
      </c>
      <c r="E210" s="229"/>
    </row>
    <row r="211" spans="2:5" s="235" customFormat="1" ht="17" hidden="1" outlineLevel="1">
      <c r="B211" s="227"/>
      <c r="C211" s="239" t="s">
        <v>470</v>
      </c>
      <c r="D211" s="240" t="s">
        <v>516</v>
      </c>
      <c r="E211" s="241"/>
    </row>
    <row r="212" spans="2:5" s="235" customFormat="1" ht="17" hidden="1" outlineLevel="1">
      <c r="B212" s="227"/>
      <c r="C212" s="239" t="s">
        <v>472</v>
      </c>
      <c r="D212" s="240" t="s">
        <v>557</v>
      </c>
      <c r="E212" s="241"/>
    </row>
    <row r="213" spans="2:5" s="235" customFormat="1" ht="17" hidden="1" outlineLevel="1">
      <c r="B213" s="227"/>
      <c r="C213" s="239" t="s">
        <v>510</v>
      </c>
      <c r="D213" s="240" t="s">
        <v>511</v>
      </c>
      <c r="E213" s="241"/>
    </row>
    <row r="214" spans="2:5" s="235" customFormat="1" ht="17" hidden="1" outlineLevel="1">
      <c r="B214" s="227"/>
      <c r="C214" s="239" t="s">
        <v>477</v>
      </c>
      <c r="D214" s="140"/>
      <c r="E214" s="241" t="s">
        <v>478</v>
      </c>
    </row>
    <row r="215" spans="2:5" s="235" customFormat="1" ht="17" hidden="1" outlineLevel="1">
      <c r="B215" s="227"/>
      <c r="C215" s="239" t="s">
        <v>558</v>
      </c>
      <c r="D215" s="138"/>
      <c r="E215" s="1021" t="s">
        <v>474</v>
      </c>
    </row>
    <row r="216" spans="2:5" s="235" customFormat="1" ht="17" hidden="1" outlineLevel="1">
      <c r="B216" s="227"/>
      <c r="C216" s="239" t="s">
        <v>559</v>
      </c>
      <c r="D216" s="138"/>
      <c r="E216" s="1021"/>
    </row>
    <row r="217" spans="2:5" s="235" customFormat="1" ht="17" hidden="1" outlineLevel="1">
      <c r="B217" s="227"/>
      <c r="C217" s="239" t="s">
        <v>560</v>
      </c>
      <c r="D217" s="243" t="str">
        <f>IF(AND($D215&gt;0,$D216&gt;0),$D215/$D216,"")</f>
        <v/>
      </c>
      <c r="E217" s="242"/>
    </row>
    <row r="218" spans="2:5" s="235" customFormat="1" ht="17" hidden="1" outlineLevel="1">
      <c r="B218" s="227"/>
      <c r="C218" s="239" t="s">
        <v>561</v>
      </c>
      <c r="D218" s="243" t="str">
        <f>Calculator!$B138</f>
        <v/>
      </c>
      <c r="E218" s="242"/>
    </row>
    <row r="219" spans="2:5" s="235" customFormat="1" ht="17" hidden="1" outlineLevel="1">
      <c r="B219" s="227"/>
      <c r="C219" s="239" t="s">
        <v>522</v>
      </c>
      <c r="D219" s="263" t="str">
        <f>Calculator!$B139</f>
        <v/>
      </c>
      <c r="E219" s="242"/>
    </row>
    <row r="220" spans="2:5" s="235" customFormat="1" ht="17" hidden="1" outlineLevel="1">
      <c r="B220" s="227"/>
      <c r="C220" s="239" t="s">
        <v>479</v>
      </c>
      <c r="D220" s="140"/>
      <c r="E220" s="241" t="s">
        <v>480</v>
      </c>
    </row>
    <row r="221" spans="2:5" s="235" customFormat="1" ht="17" hidden="1" outlineLevel="1">
      <c r="B221" s="227"/>
      <c r="C221" s="256" t="s">
        <v>562</v>
      </c>
      <c r="D221" s="243" t="str">
        <f>Calculator!$B140</f>
        <v/>
      </c>
      <c r="E221" s="242"/>
    </row>
    <row r="222" spans="2:5" s="235" customFormat="1" ht="17" hidden="1" outlineLevel="1">
      <c r="B222" s="227"/>
      <c r="C222" s="239" t="str">
        <f>"Proposed % Reduction in "&amp;$D211</f>
        <v>Proposed % Reduction in Emissions Intensity</v>
      </c>
      <c r="D222" s="141"/>
      <c r="E222" s="242" t="s">
        <v>483</v>
      </c>
    </row>
    <row r="223" spans="2:5" s="235" customFormat="1" ht="17" hidden="1" outlineLevel="1">
      <c r="B223" s="227"/>
      <c r="C223" s="239" t="s">
        <v>563</v>
      </c>
      <c r="D223" s="243" t="str">
        <f>IF(AND($D217&gt;0,$D222&gt;0,$D217&lt;&gt;""),$D217*((100-D222)/100),"")</f>
        <v/>
      </c>
      <c r="E223" s="242"/>
    </row>
    <row r="224" spans="2:5" s="235" customFormat="1" ht="17" hidden="1" outlineLevel="1">
      <c r="B224" s="227"/>
      <c r="C224" s="239" t="s">
        <v>484</v>
      </c>
      <c r="D224" s="240" t="str">
        <f>Calculator!$B141</f>
        <v/>
      </c>
      <c r="E224" s="242"/>
    </row>
    <row r="225" spans="2:5" s="235" customFormat="1" hidden="1" outlineLevel="1">
      <c r="B225" s="255"/>
      <c r="C225" s="282"/>
      <c r="D225" s="269"/>
      <c r="E225" s="283"/>
    </row>
    <row r="226" spans="2:5" s="235" customFormat="1" ht="24" hidden="1" outlineLevel="1">
      <c r="B226" s="281"/>
      <c r="C226" s="254" t="s">
        <v>525</v>
      </c>
      <c r="D226" s="245"/>
      <c r="E226" s="244"/>
    </row>
    <row r="227" spans="2:5" s="235" customFormat="1" hidden="1" outlineLevel="1">
      <c r="B227" s="255"/>
      <c r="C227" s="249"/>
      <c r="D227" s="269"/>
      <c r="E227" s="236"/>
    </row>
    <row r="228" spans="2:5" s="235" customFormat="1" ht="17" hidden="1" outlineLevel="1">
      <c r="B228" s="227"/>
      <c r="C228" s="470" t="s">
        <v>468</v>
      </c>
      <c r="D228" s="240" t="s">
        <v>564</v>
      </c>
      <c r="E228" s="244"/>
    </row>
    <row r="229" spans="2:5" s="235" customFormat="1" ht="17" hidden="1" outlineLevel="1">
      <c r="B229" s="227"/>
      <c r="C229" s="239" t="s">
        <v>470</v>
      </c>
      <c r="D229" s="240" t="s">
        <v>527</v>
      </c>
      <c r="E229" s="241"/>
    </row>
    <row r="230" spans="2:5" s="235" customFormat="1" ht="17" hidden="1" outlineLevel="1">
      <c r="B230" s="227"/>
      <c r="C230" s="239" t="s">
        <v>472</v>
      </c>
      <c r="D230" s="240" t="s">
        <v>565</v>
      </c>
      <c r="E230" s="241"/>
    </row>
    <row r="231" spans="2:5" s="235" customFormat="1" ht="17" hidden="1" outlineLevel="1">
      <c r="B231" s="227"/>
      <c r="C231" s="239" t="s">
        <v>510</v>
      </c>
      <c r="D231" s="240" t="s">
        <v>511</v>
      </c>
      <c r="E231" s="241"/>
    </row>
    <row r="232" spans="2:5" s="235" customFormat="1" ht="17" hidden="1" outlineLevel="1">
      <c r="B232" s="227"/>
      <c r="C232" s="239" t="s">
        <v>477</v>
      </c>
      <c r="D232" s="140"/>
      <c r="E232" s="241" t="s">
        <v>478</v>
      </c>
    </row>
    <row r="233" spans="2:5" s="235" customFormat="1" ht="17" hidden="1" outlineLevel="1">
      <c r="B233" s="227"/>
      <c r="C233" s="239" t="s">
        <v>566</v>
      </c>
      <c r="D233" s="138"/>
      <c r="E233" s="1021" t="s">
        <v>474</v>
      </c>
    </row>
    <row r="234" spans="2:5" s="235" customFormat="1" ht="17" hidden="1" outlineLevel="1">
      <c r="B234" s="227"/>
      <c r="C234" s="239" t="s">
        <v>567</v>
      </c>
      <c r="D234" s="138"/>
      <c r="E234" s="1021"/>
    </row>
    <row r="235" spans="2:5" s="235" customFormat="1" ht="17" hidden="1" outlineLevel="1">
      <c r="B235" s="227"/>
      <c r="C235" s="239" t="str">
        <f>"Base Year "&amp;$D230</f>
        <v>Base Year % New Zero-Emissions Vehicles</v>
      </c>
      <c r="D235" s="243" t="str">
        <f>IF(AND($D233&gt;0,$D234&gt;0),100*$D233/$D234,"")</f>
        <v/>
      </c>
      <c r="E235" s="262" t="str">
        <f>IF(AND(ISNUMBER($D235),$D235&gt;100),"Error: ZEV Production Cannot Exceed Total Vehicle Production","")</f>
        <v/>
      </c>
    </row>
    <row r="236" spans="2:5" s="235" customFormat="1" ht="17" hidden="1" outlineLevel="1">
      <c r="B236" s="227"/>
      <c r="C236" s="239" t="str">
        <f>"Benchmark Base Year "&amp;$D230</f>
        <v>Benchmark Base Year % New Zero-Emissions Vehicles</v>
      </c>
      <c r="D236" s="243" t="str">
        <f>Calculator!$B157</f>
        <v/>
      </c>
      <c r="E236" s="242"/>
    </row>
    <row r="237" spans="2:5" s="235" customFormat="1" ht="17" hidden="1" outlineLevel="1">
      <c r="B237" s="227"/>
      <c r="C237" s="239" t="s">
        <v>522</v>
      </c>
      <c r="D237" s="263" t="str">
        <f>Calculator!$B158</f>
        <v/>
      </c>
      <c r="E237" s="242"/>
    </row>
    <row r="238" spans="2:5" s="235" customFormat="1" ht="17" hidden="1" outlineLevel="1">
      <c r="B238" s="227"/>
      <c r="C238" s="239" t="s">
        <v>479</v>
      </c>
      <c r="D238" s="140"/>
      <c r="E238" s="241" t="s">
        <v>480</v>
      </c>
    </row>
    <row r="239" spans="2:5" s="235" customFormat="1" ht="34" hidden="1" outlineLevel="1">
      <c r="B239" s="227"/>
      <c r="C239" s="256" t="str">
        <f>"Minimum Acceptable Target Year  "&amp;$D230</f>
        <v>Minimum Acceptable Target Year  % New Zero-Emissions Vehicles</v>
      </c>
      <c r="D239" s="243" t="str">
        <f>Calculator!$B159</f>
        <v/>
      </c>
      <c r="E239" s="242"/>
    </row>
    <row r="240" spans="2:5" s="235" customFormat="1" ht="17" hidden="1" outlineLevel="1">
      <c r="B240" s="227"/>
      <c r="C240" s="239" t="str">
        <f>"Proposed Target Year "&amp;$D230</f>
        <v>Proposed Target Year % New Zero-Emissions Vehicles</v>
      </c>
      <c r="D240" s="141"/>
      <c r="E240" s="242" t="s">
        <v>568</v>
      </c>
    </row>
    <row r="241" spans="2:8" s="235" customFormat="1" ht="17" hidden="1" outlineLevel="1">
      <c r="B241" s="227"/>
      <c r="C241" s="239" t="str">
        <f>"Proposed % Growth in "&amp;$D229</f>
        <v>Proposed % Growth in Technology Share</v>
      </c>
      <c r="D241" s="243" t="str">
        <f>IF(AND($D235&gt;0,$D240&gt;0,$D235&lt;&gt;""),-100*($D235-$D240)/$D235,"")</f>
        <v/>
      </c>
      <c r="E241" s="242"/>
    </row>
    <row r="242" spans="2:8" s="235" customFormat="1" ht="17" hidden="1" outlineLevel="1">
      <c r="B242" s="227"/>
      <c r="C242" s="239" t="s">
        <v>484</v>
      </c>
      <c r="D242" s="240" t="str">
        <f>Calculator!$B160</f>
        <v/>
      </c>
      <c r="E242" s="242"/>
      <c r="H242" s="226"/>
    </row>
    <row r="243" spans="2:8" ht="30" collapsed="1">
      <c r="C243" s="228"/>
    </row>
    <row r="244" spans="2:8" ht="31">
      <c r="B244" s="251" t="s">
        <v>569</v>
      </c>
      <c r="C244" s="252" t="s">
        <v>198</v>
      </c>
      <c r="H244" s="235"/>
    </row>
    <row r="245" spans="2:8" s="235" customFormat="1" hidden="1" outlineLevel="1">
      <c r="B245" s="267"/>
      <c r="C245" s="249"/>
      <c r="E245" s="236"/>
      <c r="H245" s="226"/>
    </row>
    <row r="246" spans="2:8" ht="17" hidden="1" outlineLevel="1">
      <c r="C246" s="470" t="s">
        <v>468</v>
      </c>
      <c r="D246" s="240" t="s">
        <v>570</v>
      </c>
    </row>
    <row r="247" spans="2:8" ht="17" hidden="1" outlineLevel="1">
      <c r="C247" s="239" t="s">
        <v>470</v>
      </c>
      <c r="D247" s="240" t="s">
        <v>516</v>
      </c>
    </row>
    <row r="248" spans="2:8" ht="17" hidden="1" outlineLevel="1">
      <c r="C248" s="239" t="s">
        <v>472</v>
      </c>
      <c r="D248" s="240" t="s">
        <v>571</v>
      </c>
    </row>
    <row r="249" spans="2:8" ht="17" hidden="1" outlineLevel="1">
      <c r="C249" s="239" t="s">
        <v>510</v>
      </c>
      <c r="D249" s="250" t="s">
        <v>572</v>
      </c>
      <c r="E249" s="1022" t="s">
        <v>573</v>
      </c>
    </row>
    <row r="250" spans="2:8" ht="17" hidden="1" outlineLevel="1">
      <c r="C250" s="239" t="s">
        <v>477</v>
      </c>
      <c r="D250" s="140"/>
      <c r="E250" s="1022"/>
    </row>
    <row r="251" spans="2:8" ht="17" hidden="1" outlineLevel="1">
      <c r="C251" s="239" t="s">
        <v>473</v>
      </c>
      <c r="D251" s="138"/>
      <c r="E251" s="1021" t="s">
        <v>474</v>
      </c>
    </row>
    <row r="252" spans="2:8" ht="17" hidden="1" outlineLevel="1">
      <c r="C252" s="239" t="s">
        <v>574</v>
      </c>
      <c r="D252" s="138"/>
      <c r="E252" s="1021"/>
    </row>
    <row r="253" spans="2:8" ht="17" hidden="1" outlineLevel="1">
      <c r="C253" s="239" t="s">
        <v>575</v>
      </c>
      <c r="D253" s="243" t="str">
        <f>IF(AND($D251&gt;0,$D252&gt;0),$D251/$D252,"")</f>
        <v/>
      </c>
      <c r="E253" s="242"/>
    </row>
    <row r="254" spans="2:8" ht="17" hidden="1" outlineLevel="1">
      <c r="C254" s="239" t="s">
        <v>576</v>
      </c>
      <c r="D254" s="243" t="str">
        <f>Calculator!$B15</f>
        <v/>
      </c>
      <c r="E254" s="531"/>
    </row>
    <row r="255" spans="2:8" ht="17" hidden="1" outlineLevel="1">
      <c r="C255" s="239" t="s">
        <v>522</v>
      </c>
      <c r="D255" s="263" t="str">
        <f>Calculator!$B16</f>
        <v/>
      </c>
      <c r="E255" s="242"/>
    </row>
    <row r="256" spans="2:8" ht="17" hidden="1" outlineLevel="1">
      <c r="C256" s="239" t="s">
        <v>479</v>
      </c>
      <c r="D256" s="140"/>
      <c r="E256" s="241" t="s">
        <v>480</v>
      </c>
    </row>
    <row r="257" spans="2:8" ht="17" hidden="1" outlineLevel="1">
      <c r="C257" s="256" t="s">
        <v>577</v>
      </c>
      <c r="D257" s="259" t="str">
        <f>Calculator!$B17</f>
        <v/>
      </c>
      <c r="E257" s="532"/>
    </row>
    <row r="258" spans="2:8" ht="17" hidden="1" outlineLevel="1">
      <c r="C258" s="239" t="str">
        <f>"Proposed % Reduction in "&amp;$D247</f>
        <v>Proposed % Reduction in Emissions Intensity</v>
      </c>
      <c r="D258" s="141"/>
      <c r="E258" s="242" t="s">
        <v>568</v>
      </c>
    </row>
    <row r="259" spans="2:8" ht="17" hidden="1" outlineLevel="1">
      <c r="C259" s="239" t="s">
        <v>578</v>
      </c>
      <c r="D259" s="243" t="str">
        <f>IF(AND($D253&gt;0,$D258&gt;0,$D253&lt;&gt;""),$D253*((100-D258)/100),"")</f>
        <v/>
      </c>
      <c r="E259" s="242"/>
    </row>
    <row r="260" spans="2:8" ht="17" hidden="1" customHeight="1" outlineLevel="1">
      <c r="C260" s="239" t="s">
        <v>484</v>
      </c>
      <c r="D260" s="240" t="str">
        <f>Calculator!$B18</f>
        <v/>
      </c>
      <c r="E260" s="531"/>
    </row>
    <row r="261" spans="2:8" ht="30" collapsed="1">
      <c r="C261" s="279"/>
      <c r="D261" s="245"/>
    </row>
    <row r="262" spans="2:8" ht="31">
      <c r="B262" s="251" t="s">
        <v>579</v>
      </c>
      <c r="C262" s="252" t="s">
        <v>580</v>
      </c>
      <c r="H262" s="235"/>
    </row>
    <row r="263" spans="2:8" s="235" customFormat="1" hidden="1" outlineLevel="1">
      <c r="B263" s="267"/>
      <c r="C263" s="249"/>
      <c r="E263" s="236"/>
      <c r="H263" s="226"/>
    </row>
    <row r="264" spans="2:8" ht="17" hidden="1" outlineLevel="1">
      <c r="C264" s="470" t="s">
        <v>468</v>
      </c>
      <c r="D264" s="240" t="s">
        <v>581</v>
      </c>
    </row>
    <row r="265" spans="2:8" ht="17" hidden="1" outlineLevel="1">
      <c r="C265" s="239" t="s">
        <v>470</v>
      </c>
      <c r="D265" s="240" t="s">
        <v>516</v>
      </c>
    </row>
    <row r="266" spans="2:8" ht="17" hidden="1" outlineLevel="1">
      <c r="C266" s="239" t="s">
        <v>472</v>
      </c>
      <c r="D266" s="240" t="s">
        <v>582</v>
      </c>
    </row>
    <row r="267" spans="2:8" ht="17" hidden="1" outlineLevel="1">
      <c r="C267" s="239" t="s">
        <v>510</v>
      </c>
      <c r="D267" s="250" t="s">
        <v>572</v>
      </c>
      <c r="E267" s="241"/>
    </row>
    <row r="268" spans="2:8" ht="17" hidden="1" outlineLevel="1">
      <c r="C268" s="239" t="s">
        <v>477</v>
      </c>
      <c r="D268" s="140"/>
      <c r="E268" s="241" t="s">
        <v>478</v>
      </c>
    </row>
    <row r="269" spans="2:8" ht="17" hidden="1" outlineLevel="1">
      <c r="C269" s="239" t="s">
        <v>473</v>
      </c>
      <c r="D269" s="138"/>
      <c r="E269" s="1023" t="s">
        <v>474</v>
      </c>
    </row>
    <row r="270" spans="2:8" ht="17" hidden="1" outlineLevel="1">
      <c r="C270" s="239" t="s">
        <v>583</v>
      </c>
      <c r="D270" s="138"/>
      <c r="E270" s="1023"/>
    </row>
    <row r="271" spans="2:8" ht="17" hidden="1" outlineLevel="1">
      <c r="C271" s="239" t="s">
        <v>584</v>
      </c>
      <c r="D271" s="141"/>
      <c r="E271" s="242" t="s">
        <v>585</v>
      </c>
    </row>
    <row r="272" spans="2:8" ht="17" hidden="1" outlineLevel="1">
      <c r="C272" s="239" t="s">
        <v>586</v>
      </c>
      <c r="D272" s="243" t="str">
        <f>IF(AND($D269&gt;0,$D270&gt;0),$D269/$D270,"")</f>
        <v/>
      </c>
      <c r="E272" s="242"/>
    </row>
    <row r="273" spans="2:8" ht="17" hidden="1" outlineLevel="1">
      <c r="C273" s="239" t="s">
        <v>587</v>
      </c>
      <c r="D273" s="243" t="str">
        <f>Calculator!$B35</f>
        <v/>
      </c>
      <c r="E273" s="531"/>
    </row>
    <row r="274" spans="2:8" ht="17" hidden="1" outlineLevel="1">
      <c r="C274" s="239" t="s">
        <v>522</v>
      </c>
      <c r="D274" s="263" t="str">
        <f>Calculator!$B36</f>
        <v/>
      </c>
      <c r="E274" s="242"/>
    </row>
    <row r="275" spans="2:8" ht="17" hidden="1" outlineLevel="1">
      <c r="C275" s="239" t="s">
        <v>479</v>
      </c>
      <c r="D275" s="140"/>
      <c r="E275" s="241" t="s">
        <v>480</v>
      </c>
    </row>
    <row r="276" spans="2:8" ht="34" hidden="1" outlineLevel="1">
      <c r="C276" s="256" t="s">
        <v>588</v>
      </c>
      <c r="D276" s="259" t="str">
        <f>Calculator!$B37</f>
        <v/>
      </c>
      <c r="E276" s="242"/>
    </row>
    <row r="277" spans="2:8" ht="17" hidden="1" outlineLevel="1">
      <c r="C277" s="239" t="str">
        <f>"Proposed % Reduction in "&amp;$D265</f>
        <v>Proposed % Reduction in Emissions Intensity</v>
      </c>
      <c r="D277" s="141"/>
      <c r="E277" s="242" t="s">
        <v>483</v>
      </c>
    </row>
    <row r="278" spans="2:8" ht="17" hidden="1" outlineLevel="1">
      <c r="C278" s="239" t="s">
        <v>589</v>
      </c>
      <c r="D278" s="243" t="str">
        <f>IF(AND($D272&gt;0,$D277&gt;0,$D272&lt;&gt;""),$D272*((100-D277)/100),"")</f>
        <v/>
      </c>
      <c r="E278" s="242"/>
    </row>
    <row r="279" spans="2:8" ht="17" hidden="1" outlineLevel="1">
      <c r="C279" s="239" t="s">
        <v>484</v>
      </c>
      <c r="D279" s="240" t="str">
        <f>Calculator!$B38</f>
        <v/>
      </c>
      <c r="E279" s="242"/>
    </row>
    <row r="280" spans="2:8" ht="30" collapsed="1">
      <c r="C280" s="264"/>
      <c r="D280" s="245"/>
    </row>
    <row r="281" spans="2:8" ht="31">
      <c r="B281" s="251" t="s">
        <v>590</v>
      </c>
      <c r="C281" s="252" t="s">
        <v>208</v>
      </c>
      <c r="D281" s="245"/>
      <c r="E281" s="244"/>
    </row>
    <row r="282" spans="2:8" ht="34">
      <c r="C282" s="266" t="s">
        <v>591</v>
      </c>
      <c r="D282" s="245"/>
      <c r="E282" s="244"/>
    </row>
    <row r="283" spans="2:8" ht="30">
      <c r="C283" s="264"/>
      <c r="D283" s="245"/>
      <c r="E283" s="244"/>
    </row>
    <row r="284" spans="2:8" ht="31">
      <c r="B284" s="251" t="s">
        <v>592</v>
      </c>
      <c r="C284" s="252" t="s">
        <v>16</v>
      </c>
      <c r="H284" s="235"/>
    </row>
    <row r="285" spans="2:8" ht="34">
      <c r="B285" s="251"/>
      <c r="C285" s="266" t="s">
        <v>593</v>
      </c>
      <c r="H285" s="235"/>
    </row>
    <row r="286" spans="2:8" s="286" customFormat="1" hidden="1">
      <c r="B286" s="284"/>
      <c r="C286" s="285"/>
      <c r="E286" s="287"/>
    </row>
    <row r="287" spans="2:8" s="286" customFormat="1" ht="23" hidden="1">
      <c r="B287" s="288"/>
      <c r="C287" s="289" t="s">
        <v>594</v>
      </c>
      <c r="E287" s="287"/>
      <c r="H287" s="290"/>
    </row>
    <row r="288" spans="2:8" s="286" customFormat="1" hidden="1">
      <c r="B288" s="288"/>
      <c r="C288" s="291"/>
      <c r="D288" s="292"/>
      <c r="E288" s="287"/>
      <c r="H288" s="290"/>
    </row>
    <row r="289" spans="2:8" s="290" customFormat="1" ht="17" hidden="1">
      <c r="B289" s="293"/>
      <c r="C289" s="294" t="s">
        <v>595</v>
      </c>
      <c r="D289" s="295" t="s">
        <v>596</v>
      </c>
      <c r="E289" s="296"/>
    </row>
    <row r="290" spans="2:8" s="290" customFormat="1" ht="17" hidden="1">
      <c r="B290" s="293"/>
      <c r="C290" s="294" t="s">
        <v>470</v>
      </c>
      <c r="D290" s="295" t="s">
        <v>516</v>
      </c>
      <c r="E290" s="297"/>
    </row>
    <row r="291" spans="2:8" s="290" customFormat="1" ht="17" hidden="1">
      <c r="B291" s="293"/>
      <c r="C291" s="294" t="s">
        <v>472</v>
      </c>
      <c r="D291" s="295" t="s">
        <v>597</v>
      </c>
      <c r="E291" s="297"/>
    </row>
    <row r="292" spans="2:8" s="290" customFormat="1" ht="17" hidden="1">
      <c r="B292" s="293"/>
      <c r="C292" s="294" t="s">
        <v>510</v>
      </c>
      <c r="D292" s="295" t="s">
        <v>598</v>
      </c>
      <c r="E292" s="297"/>
    </row>
    <row r="293" spans="2:8" s="290" customFormat="1" ht="17" hidden="1">
      <c r="B293" s="293"/>
      <c r="C293" s="294" t="s">
        <v>477</v>
      </c>
      <c r="D293" s="298"/>
      <c r="E293" s="297" t="s">
        <v>478</v>
      </c>
    </row>
    <row r="294" spans="2:8" s="290" customFormat="1" ht="17" hidden="1">
      <c r="B294" s="293"/>
      <c r="C294" s="294" t="s">
        <v>473</v>
      </c>
      <c r="D294" s="299"/>
      <c r="E294" s="1020" t="s">
        <v>474</v>
      </c>
    </row>
    <row r="295" spans="2:8" s="290" customFormat="1" ht="17" hidden="1">
      <c r="B295" s="293"/>
      <c r="C295" s="294" t="s">
        <v>599</v>
      </c>
      <c r="D295" s="299"/>
      <c r="E295" s="1020"/>
    </row>
    <row r="296" spans="2:8" s="290" customFormat="1" ht="17" hidden="1">
      <c r="B296" s="293"/>
      <c r="C296" s="294" t="s">
        <v>600</v>
      </c>
      <c r="D296" s="300" t="str">
        <f>IF(AND($D294&gt;0,$D295&gt;0),$D294/$D295,"")</f>
        <v/>
      </c>
      <c r="E296" s="301"/>
    </row>
    <row r="297" spans="2:8" s="290" customFormat="1" ht="17" hidden="1">
      <c r="B297" s="293"/>
      <c r="C297" s="294" t="s">
        <v>601</v>
      </c>
      <c r="D297" s="300" t="str">
        <f>Calculator!$B177</f>
        <v/>
      </c>
      <c r="E297" s="301"/>
    </row>
    <row r="298" spans="2:8" s="290" customFormat="1" ht="17" hidden="1">
      <c r="B298" s="293"/>
      <c r="C298" s="294" t="s">
        <v>522</v>
      </c>
      <c r="D298" s="300" t="str">
        <f>Calculator!$B178</f>
        <v/>
      </c>
      <c r="E298" s="301"/>
    </row>
    <row r="299" spans="2:8" s="290" customFormat="1" ht="17" hidden="1">
      <c r="B299" s="293"/>
      <c r="C299" s="294" t="s">
        <v>479</v>
      </c>
      <c r="D299" s="298"/>
      <c r="E299" s="297" t="s">
        <v>480</v>
      </c>
    </row>
    <row r="300" spans="2:8" s="290" customFormat="1" ht="17" hidden="1">
      <c r="B300" s="293"/>
      <c r="C300" s="302" t="s">
        <v>602</v>
      </c>
      <c r="D300" s="300" t="str">
        <f>Calculator!$B179</f>
        <v/>
      </c>
      <c r="E300" s="303"/>
    </row>
    <row r="301" spans="2:8" s="290" customFormat="1" ht="17" hidden="1">
      <c r="B301" s="293"/>
      <c r="C301" s="294" t="s">
        <v>603</v>
      </c>
      <c r="D301" s="299"/>
      <c r="E301" s="301" t="s">
        <v>568</v>
      </c>
    </row>
    <row r="302" spans="2:8" s="290" customFormat="1" ht="17" hidden="1">
      <c r="B302" s="293"/>
      <c r="C302" s="294" t="str">
        <f>"Proposed % Reduction in "&amp;$D290</f>
        <v>Proposed % Reduction in Emissions Intensity</v>
      </c>
      <c r="D302" s="300" t="str">
        <f>IF(AND($D296&gt;0,$D301&gt;0,$D296&lt;&gt;""),100*($D296-$D301)/$D296,"")</f>
        <v/>
      </c>
      <c r="E302" s="303"/>
    </row>
    <row r="303" spans="2:8" s="290" customFormat="1" ht="17" hidden="1">
      <c r="B303" s="293"/>
      <c r="C303" s="294" t="s">
        <v>484</v>
      </c>
      <c r="D303" s="295" t="str">
        <f>Calculator!$B180</f>
        <v/>
      </c>
      <c r="E303" s="303"/>
    </row>
    <row r="304" spans="2:8" s="290" customFormat="1" hidden="1">
      <c r="B304" s="293"/>
      <c r="C304" s="294"/>
      <c r="D304" s="304"/>
      <c r="E304" s="305"/>
      <c r="H304" s="286"/>
    </row>
    <row r="305" spans="2:8" s="286" customFormat="1" ht="23" hidden="1">
      <c r="B305" s="288"/>
      <c r="C305" s="289" t="s">
        <v>604</v>
      </c>
      <c r="E305" s="287"/>
      <c r="H305" s="290"/>
    </row>
    <row r="306" spans="2:8" s="286" customFormat="1" hidden="1">
      <c r="B306" s="288"/>
      <c r="C306" s="291"/>
      <c r="D306" s="292"/>
      <c r="E306" s="287"/>
      <c r="H306" s="290"/>
    </row>
    <row r="307" spans="2:8" s="290" customFormat="1" ht="17" hidden="1">
      <c r="B307" s="293"/>
      <c r="C307" s="294" t="s">
        <v>595</v>
      </c>
      <c r="D307" s="295" t="s">
        <v>596</v>
      </c>
      <c r="E307" s="296"/>
    </row>
    <row r="308" spans="2:8" s="290" customFormat="1" ht="17" hidden="1">
      <c r="B308" s="293"/>
      <c r="C308" s="294" t="s">
        <v>470</v>
      </c>
      <c r="D308" s="295" t="s">
        <v>516</v>
      </c>
      <c r="E308" s="297"/>
    </row>
    <row r="309" spans="2:8" s="290" customFormat="1" ht="17" hidden="1">
      <c r="B309" s="293"/>
      <c r="C309" s="294" t="s">
        <v>472</v>
      </c>
      <c r="D309" s="295" t="s">
        <v>597</v>
      </c>
      <c r="E309" s="297"/>
    </row>
    <row r="310" spans="2:8" s="290" customFormat="1" ht="17" hidden="1">
      <c r="B310" s="293"/>
      <c r="C310" s="294" t="s">
        <v>510</v>
      </c>
      <c r="D310" s="295" t="s">
        <v>598</v>
      </c>
      <c r="E310" s="297"/>
    </row>
    <row r="311" spans="2:8" s="290" customFormat="1" ht="17" hidden="1">
      <c r="B311" s="293"/>
      <c r="C311" s="294" t="s">
        <v>477</v>
      </c>
      <c r="D311" s="298"/>
      <c r="E311" s="297" t="s">
        <v>478</v>
      </c>
    </row>
    <row r="312" spans="2:8" s="290" customFormat="1" ht="17" hidden="1">
      <c r="B312" s="293"/>
      <c r="C312" s="294" t="s">
        <v>473</v>
      </c>
      <c r="D312" s="299"/>
      <c r="E312" s="1020" t="s">
        <v>474</v>
      </c>
    </row>
    <row r="313" spans="2:8" s="290" customFormat="1" ht="17" hidden="1">
      <c r="B313" s="293"/>
      <c r="C313" s="294" t="s">
        <v>599</v>
      </c>
      <c r="D313" s="299"/>
      <c r="E313" s="1020"/>
    </row>
    <row r="314" spans="2:8" s="290" customFormat="1" ht="17" hidden="1">
      <c r="B314" s="293"/>
      <c r="C314" s="294" t="s">
        <v>600</v>
      </c>
      <c r="D314" s="300" t="str">
        <f>IF(AND($D312&gt;0,$D313&gt;0),$D312/$D313,"")</f>
        <v/>
      </c>
      <c r="E314" s="301"/>
    </row>
    <row r="315" spans="2:8" s="290" customFormat="1" ht="17" hidden="1">
      <c r="B315" s="293"/>
      <c r="C315" s="294" t="s">
        <v>601</v>
      </c>
      <c r="D315" s="300" t="str">
        <f>Calculator!$B196</f>
        <v/>
      </c>
      <c r="E315" s="301"/>
    </row>
    <row r="316" spans="2:8" s="290" customFormat="1" ht="17" hidden="1">
      <c r="B316" s="293"/>
      <c r="C316" s="294" t="s">
        <v>522</v>
      </c>
      <c r="D316" s="300" t="str">
        <f>Calculator!$B197</f>
        <v/>
      </c>
      <c r="E316" s="301"/>
    </row>
    <row r="317" spans="2:8" s="290" customFormat="1" ht="17" hidden="1">
      <c r="B317" s="293"/>
      <c r="C317" s="294" t="s">
        <v>479</v>
      </c>
      <c r="D317" s="298"/>
      <c r="E317" s="297" t="s">
        <v>480</v>
      </c>
    </row>
    <row r="318" spans="2:8" s="290" customFormat="1" ht="17" hidden="1">
      <c r="B318" s="293"/>
      <c r="C318" s="302" t="s">
        <v>602</v>
      </c>
      <c r="D318" s="300" t="str">
        <f>Calculator!$B198</f>
        <v/>
      </c>
      <c r="E318" s="303"/>
    </row>
    <row r="319" spans="2:8" s="290" customFormat="1" ht="17" hidden="1">
      <c r="B319" s="293"/>
      <c r="C319" s="294" t="s">
        <v>603</v>
      </c>
      <c r="D319" s="299"/>
      <c r="E319" s="301" t="s">
        <v>568</v>
      </c>
    </row>
    <row r="320" spans="2:8" s="290" customFormat="1" ht="17" hidden="1">
      <c r="B320" s="293"/>
      <c r="C320" s="294" t="str">
        <f>"Proposed % Reduction in "&amp;$D308</f>
        <v>Proposed % Reduction in Emissions Intensity</v>
      </c>
      <c r="D320" s="300" t="str">
        <f>IF(AND($D314&gt;0,$D319&gt;0,$D314&lt;&gt;""),100*($D314-$D319)/$D314,"")</f>
        <v/>
      </c>
      <c r="E320" s="303"/>
    </row>
    <row r="321" spans="2:8" s="290" customFormat="1" ht="17" hidden="1">
      <c r="B321" s="293"/>
      <c r="C321" s="294" t="s">
        <v>484</v>
      </c>
      <c r="D321" s="295" t="str">
        <f>Calculator!$B199</f>
        <v/>
      </c>
      <c r="E321" s="303"/>
    </row>
    <row r="322" spans="2:8" s="290" customFormat="1" hidden="1">
      <c r="B322" s="293"/>
      <c r="E322" s="296"/>
      <c r="H322" s="286"/>
    </row>
    <row r="323" spans="2:8" s="286" customFormat="1" ht="23" hidden="1">
      <c r="B323" s="288"/>
      <c r="C323" s="289" t="s">
        <v>605</v>
      </c>
      <c r="E323" s="287"/>
      <c r="H323" s="290"/>
    </row>
    <row r="324" spans="2:8" s="286" customFormat="1" hidden="1">
      <c r="B324" s="288"/>
      <c r="C324" s="291"/>
      <c r="D324" s="292"/>
      <c r="E324" s="287"/>
      <c r="H324" s="290"/>
    </row>
    <row r="325" spans="2:8" s="290" customFormat="1" ht="17" hidden="1">
      <c r="B325" s="293"/>
      <c r="C325" s="294" t="s">
        <v>595</v>
      </c>
      <c r="D325" s="295" t="s">
        <v>596</v>
      </c>
      <c r="E325" s="296"/>
    </row>
    <row r="326" spans="2:8" s="290" customFormat="1" ht="17" hidden="1">
      <c r="B326" s="293"/>
      <c r="C326" s="294" t="s">
        <v>470</v>
      </c>
      <c r="D326" s="295" t="s">
        <v>516</v>
      </c>
      <c r="E326" s="297"/>
    </row>
    <row r="327" spans="2:8" s="290" customFormat="1" ht="17" hidden="1">
      <c r="B327" s="293"/>
      <c r="C327" s="294" t="s">
        <v>472</v>
      </c>
      <c r="D327" s="295" t="s">
        <v>606</v>
      </c>
      <c r="E327" s="297"/>
    </row>
    <row r="328" spans="2:8" s="290" customFormat="1" ht="17" hidden="1">
      <c r="B328" s="293"/>
      <c r="C328" s="294" t="s">
        <v>510</v>
      </c>
      <c r="D328" s="295" t="s">
        <v>598</v>
      </c>
      <c r="E328" s="297"/>
    </row>
    <row r="329" spans="2:8" s="290" customFormat="1" ht="17" hidden="1">
      <c r="B329" s="293"/>
      <c r="C329" s="294" t="s">
        <v>477</v>
      </c>
      <c r="D329" s="298"/>
      <c r="E329" s="297" t="s">
        <v>478</v>
      </c>
    </row>
    <row r="330" spans="2:8" s="290" customFormat="1" ht="17" hidden="1">
      <c r="B330" s="293"/>
      <c r="C330" s="294" t="s">
        <v>473</v>
      </c>
      <c r="D330" s="299"/>
      <c r="E330" s="1020" t="s">
        <v>474</v>
      </c>
    </row>
    <row r="331" spans="2:8" s="290" customFormat="1" ht="17" hidden="1">
      <c r="B331" s="293"/>
      <c r="C331" s="294" t="s">
        <v>607</v>
      </c>
      <c r="D331" s="299"/>
      <c r="E331" s="1020"/>
    </row>
    <row r="332" spans="2:8" s="290" customFormat="1" ht="17" hidden="1">
      <c r="B332" s="293"/>
      <c r="C332" s="294" t="s">
        <v>608</v>
      </c>
      <c r="D332" s="300" t="str">
        <f>IF(AND($D330&gt;0,$D331&gt;0),$D330/$D331,"")</f>
        <v/>
      </c>
      <c r="E332" s="301"/>
    </row>
    <row r="333" spans="2:8" s="290" customFormat="1" ht="17" hidden="1">
      <c r="B333" s="293"/>
      <c r="C333" s="302" t="s">
        <v>609</v>
      </c>
      <c r="D333" s="300" t="str">
        <f>Calculator!$B215</f>
        <v/>
      </c>
      <c r="E333" s="301"/>
    </row>
    <row r="334" spans="2:8" s="290" customFormat="1" ht="17" hidden="1">
      <c r="B334" s="293"/>
      <c r="C334" s="294" t="s">
        <v>522</v>
      </c>
      <c r="D334" s="300" t="str">
        <f>Calculator!$B216</f>
        <v/>
      </c>
      <c r="E334" s="301"/>
    </row>
    <row r="335" spans="2:8" s="290" customFormat="1" ht="17" hidden="1">
      <c r="B335" s="293"/>
      <c r="C335" s="294" t="s">
        <v>479</v>
      </c>
      <c r="D335" s="298"/>
      <c r="E335" s="297" t="s">
        <v>480</v>
      </c>
    </row>
    <row r="336" spans="2:8" s="290" customFormat="1" ht="17" hidden="1">
      <c r="B336" s="293"/>
      <c r="C336" s="302" t="s">
        <v>610</v>
      </c>
      <c r="D336" s="300" t="str">
        <f>Calculator!$B217</f>
        <v/>
      </c>
      <c r="E336" s="303"/>
    </row>
    <row r="337" spans="2:8" s="290" customFormat="1" ht="17" hidden="1">
      <c r="B337" s="293"/>
      <c r="C337" s="294" t="s">
        <v>611</v>
      </c>
      <c r="D337" s="299"/>
      <c r="E337" s="301" t="s">
        <v>568</v>
      </c>
    </row>
    <row r="338" spans="2:8" s="290" customFormat="1" ht="17" hidden="1">
      <c r="B338" s="293"/>
      <c r="C338" s="294" t="str">
        <f>"Proposed % Reduction in "&amp;$D326</f>
        <v>Proposed % Reduction in Emissions Intensity</v>
      </c>
      <c r="D338" s="300" t="str">
        <f>IF(AND($D332&gt;0,$D337&gt;0,$D332&lt;&gt;""),100*($D332-$D337)/$D332,"")</f>
        <v/>
      </c>
      <c r="E338" s="303"/>
    </row>
    <row r="339" spans="2:8" s="290" customFormat="1" ht="17" hidden="1">
      <c r="B339" s="293"/>
      <c r="C339" s="294" t="s">
        <v>484</v>
      </c>
      <c r="D339" s="295" t="str">
        <f>Calculator!$B218</f>
        <v/>
      </c>
      <c r="E339" s="303"/>
      <c r="H339" s="286"/>
    </row>
    <row r="340" spans="2:8" s="286" customFormat="1" hidden="1">
      <c r="B340" s="288"/>
      <c r="C340" s="306"/>
      <c r="D340" s="307"/>
      <c r="E340" s="308"/>
    </row>
    <row r="341" spans="2:8" s="286" customFormat="1" ht="23" hidden="1">
      <c r="B341" s="288"/>
      <c r="C341" s="289" t="s">
        <v>612</v>
      </c>
      <c r="E341" s="287"/>
      <c r="H341" s="290"/>
    </row>
    <row r="342" spans="2:8" s="286" customFormat="1" hidden="1">
      <c r="B342" s="288"/>
      <c r="C342" s="291"/>
      <c r="D342" s="292"/>
      <c r="E342" s="287"/>
      <c r="H342" s="290"/>
    </row>
    <row r="343" spans="2:8" s="290" customFormat="1" ht="17" hidden="1">
      <c r="B343" s="293"/>
      <c r="C343" s="294" t="s">
        <v>595</v>
      </c>
      <c r="D343" s="295" t="s">
        <v>596</v>
      </c>
      <c r="E343" s="296"/>
    </row>
    <row r="344" spans="2:8" s="290" customFormat="1" ht="17" hidden="1">
      <c r="B344" s="293"/>
      <c r="C344" s="294" t="s">
        <v>470</v>
      </c>
      <c r="D344" s="295" t="s">
        <v>516</v>
      </c>
      <c r="E344" s="297"/>
    </row>
    <row r="345" spans="2:8" s="290" customFormat="1" ht="17" hidden="1">
      <c r="B345" s="293"/>
      <c r="C345" s="294" t="s">
        <v>472</v>
      </c>
      <c r="D345" s="295" t="s">
        <v>597</v>
      </c>
      <c r="E345" s="297"/>
    </row>
    <row r="346" spans="2:8" s="290" customFormat="1" ht="17" hidden="1">
      <c r="B346" s="293"/>
      <c r="C346" s="294" t="s">
        <v>510</v>
      </c>
      <c r="D346" s="295" t="s">
        <v>598</v>
      </c>
      <c r="E346" s="297"/>
    </row>
    <row r="347" spans="2:8" s="290" customFormat="1" ht="17" hidden="1">
      <c r="B347" s="293"/>
      <c r="C347" s="294" t="s">
        <v>477</v>
      </c>
      <c r="D347" s="298"/>
      <c r="E347" s="297" t="s">
        <v>478</v>
      </c>
    </row>
    <row r="348" spans="2:8" s="290" customFormat="1" ht="17" hidden="1">
      <c r="B348" s="293"/>
      <c r="C348" s="294" t="s">
        <v>473</v>
      </c>
      <c r="D348" s="299"/>
      <c r="E348" s="1020" t="s">
        <v>474</v>
      </c>
    </row>
    <row r="349" spans="2:8" s="290" customFormat="1" ht="17" hidden="1">
      <c r="B349" s="293"/>
      <c r="C349" s="294" t="s">
        <v>599</v>
      </c>
      <c r="D349" s="299"/>
      <c r="E349" s="1020"/>
    </row>
    <row r="350" spans="2:8" s="290" customFormat="1" ht="17" hidden="1">
      <c r="B350" s="293"/>
      <c r="C350" s="294" t="s">
        <v>600</v>
      </c>
      <c r="D350" s="300" t="str">
        <f>IF(AND($D348&gt;0,$D349&gt;0),$D348/$D349,"")</f>
        <v/>
      </c>
      <c r="E350" s="301"/>
    </row>
    <row r="351" spans="2:8" s="290" customFormat="1" ht="17" hidden="1">
      <c r="B351" s="293"/>
      <c r="C351" s="294" t="s">
        <v>601</v>
      </c>
      <c r="D351" s="300" t="str">
        <f>Calculator!$B234</f>
        <v/>
      </c>
      <c r="E351" s="301"/>
    </row>
    <row r="352" spans="2:8" s="290" customFormat="1" ht="17" hidden="1">
      <c r="B352" s="293"/>
      <c r="C352" s="294" t="s">
        <v>522</v>
      </c>
      <c r="D352" s="300" t="str">
        <f>Calculator!$B235</f>
        <v/>
      </c>
      <c r="E352" s="301"/>
    </row>
    <row r="353" spans="2:8" s="290" customFormat="1" ht="17" hidden="1">
      <c r="B353" s="293"/>
      <c r="C353" s="294" t="s">
        <v>479</v>
      </c>
      <c r="D353" s="298"/>
      <c r="E353" s="297" t="s">
        <v>480</v>
      </c>
    </row>
    <row r="354" spans="2:8" s="290" customFormat="1" ht="17" hidden="1">
      <c r="B354" s="293"/>
      <c r="C354" s="302" t="s">
        <v>602</v>
      </c>
      <c r="D354" s="300" t="str">
        <f>Calculator!$B236</f>
        <v/>
      </c>
      <c r="E354" s="301"/>
    </row>
    <row r="355" spans="2:8" s="290" customFormat="1" ht="17" hidden="1">
      <c r="B355" s="293"/>
      <c r="C355" s="294" t="s">
        <v>603</v>
      </c>
      <c r="D355" s="299"/>
      <c r="E355" s="301" t="s">
        <v>568</v>
      </c>
    </row>
    <row r="356" spans="2:8" s="290" customFormat="1" ht="17" hidden="1">
      <c r="B356" s="293"/>
      <c r="C356" s="294" t="str">
        <f>"Proposed % Reduction in "&amp;$D344</f>
        <v>Proposed % Reduction in Emissions Intensity</v>
      </c>
      <c r="D356" s="300" t="str">
        <f>IF(AND($D350&gt;0,$D355&gt;0,$D350&lt;&gt;""),100*($D350-$D355)/$D350,"")</f>
        <v/>
      </c>
      <c r="E356" s="303"/>
    </row>
    <row r="357" spans="2:8" s="290" customFormat="1" ht="17" hidden="1">
      <c r="B357" s="293"/>
      <c r="C357" s="294" t="s">
        <v>484</v>
      </c>
      <c r="D357" s="295" t="str">
        <f>Calculator!$B237</f>
        <v/>
      </c>
      <c r="E357" s="303"/>
      <c r="H357" s="286"/>
    </row>
    <row r="358" spans="2:8" s="286" customFormat="1" hidden="1">
      <c r="B358" s="288"/>
      <c r="C358" s="306"/>
      <c r="D358" s="307"/>
      <c r="E358" s="308"/>
    </row>
    <row r="359" spans="2:8" s="286" customFormat="1" ht="23" hidden="1">
      <c r="B359" s="288"/>
      <c r="C359" s="289" t="s">
        <v>613</v>
      </c>
      <c r="E359" s="287"/>
      <c r="H359" s="290"/>
    </row>
    <row r="360" spans="2:8" s="286" customFormat="1" hidden="1">
      <c r="B360" s="288"/>
      <c r="C360" s="291"/>
      <c r="D360" s="292"/>
      <c r="E360" s="287"/>
      <c r="H360" s="290"/>
    </row>
    <row r="361" spans="2:8" s="290" customFormat="1" ht="17" hidden="1">
      <c r="B361" s="293"/>
      <c r="C361" s="294" t="s">
        <v>595</v>
      </c>
      <c r="D361" s="295" t="s">
        <v>596</v>
      </c>
      <c r="E361" s="296"/>
    </row>
    <row r="362" spans="2:8" s="290" customFormat="1" ht="17" hidden="1">
      <c r="B362" s="293"/>
      <c r="C362" s="294" t="s">
        <v>470</v>
      </c>
      <c r="D362" s="295" t="s">
        <v>516</v>
      </c>
      <c r="E362" s="297"/>
    </row>
    <row r="363" spans="2:8" s="290" customFormat="1" ht="17" hidden="1">
      <c r="B363" s="293"/>
      <c r="C363" s="294" t="s">
        <v>472</v>
      </c>
      <c r="D363" s="295" t="s">
        <v>597</v>
      </c>
      <c r="E363" s="297"/>
    </row>
    <row r="364" spans="2:8" s="290" customFormat="1" ht="17" hidden="1">
      <c r="B364" s="293"/>
      <c r="C364" s="294" t="s">
        <v>510</v>
      </c>
      <c r="D364" s="295" t="s">
        <v>598</v>
      </c>
      <c r="E364" s="297"/>
    </row>
    <row r="365" spans="2:8" s="290" customFormat="1" ht="17" hidden="1">
      <c r="B365" s="293"/>
      <c r="C365" s="294" t="s">
        <v>477</v>
      </c>
      <c r="D365" s="298"/>
      <c r="E365" s="297" t="s">
        <v>478</v>
      </c>
    </row>
    <row r="366" spans="2:8" s="290" customFormat="1" ht="17" hidden="1">
      <c r="B366" s="293"/>
      <c r="C366" s="294" t="s">
        <v>473</v>
      </c>
      <c r="D366" s="299"/>
      <c r="E366" s="1020" t="s">
        <v>474</v>
      </c>
    </row>
    <row r="367" spans="2:8" s="290" customFormat="1" ht="17" hidden="1">
      <c r="B367" s="293"/>
      <c r="C367" s="294" t="s">
        <v>599</v>
      </c>
      <c r="D367" s="299"/>
      <c r="E367" s="1020"/>
    </row>
    <row r="368" spans="2:8" s="290" customFormat="1" ht="17" hidden="1">
      <c r="B368" s="293"/>
      <c r="C368" s="294" t="s">
        <v>600</v>
      </c>
      <c r="D368" s="300" t="str">
        <f>IF(AND($D366&gt;0,$D367&gt;0),$D366/$D367,"")</f>
        <v/>
      </c>
      <c r="E368" s="301"/>
    </row>
    <row r="369" spans="2:8" s="290" customFormat="1" ht="17" hidden="1">
      <c r="B369" s="293"/>
      <c r="C369" s="294" t="s">
        <v>601</v>
      </c>
      <c r="D369" s="300" t="str">
        <f>Calculator!$B253</f>
        <v/>
      </c>
      <c r="E369" s="301"/>
    </row>
    <row r="370" spans="2:8" s="290" customFormat="1" ht="17" hidden="1">
      <c r="B370" s="293"/>
      <c r="C370" s="294" t="s">
        <v>522</v>
      </c>
      <c r="D370" s="300" t="str">
        <f>Calculator!$B254</f>
        <v/>
      </c>
      <c r="E370" s="301"/>
    </row>
    <row r="371" spans="2:8" s="290" customFormat="1" ht="17" hidden="1">
      <c r="B371" s="293"/>
      <c r="C371" s="294" t="s">
        <v>479</v>
      </c>
      <c r="D371" s="298"/>
      <c r="E371" s="297" t="s">
        <v>480</v>
      </c>
    </row>
    <row r="372" spans="2:8" s="290" customFormat="1" ht="17" hidden="1">
      <c r="B372" s="293"/>
      <c r="C372" s="302" t="s">
        <v>602</v>
      </c>
      <c r="D372" s="300" t="str">
        <f>Calculator!$B255</f>
        <v/>
      </c>
      <c r="E372" s="301"/>
    </row>
    <row r="373" spans="2:8" s="290" customFormat="1" ht="17" hidden="1">
      <c r="B373" s="293"/>
      <c r="C373" s="294" t="s">
        <v>603</v>
      </c>
      <c r="D373" s="299"/>
      <c r="E373" s="301" t="s">
        <v>568</v>
      </c>
    </row>
    <row r="374" spans="2:8" s="290" customFormat="1" ht="17" hidden="1">
      <c r="B374" s="293"/>
      <c r="C374" s="294" t="str">
        <f>"Proposed % Reduction in "&amp;$D362</f>
        <v>Proposed % Reduction in Emissions Intensity</v>
      </c>
      <c r="D374" s="300" t="str">
        <f>IF(AND($D368&gt;0,$D373&gt;0,$D368&lt;&gt;""),100*($D368-$D373)/$D368,"")</f>
        <v/>
      </c>
      <c r="E374" s="303"/>
    </row>
    <row r="375" spans="2:8" s="290" customFormat="1" ht="17" hidden="1">
      <c r="B375" s="293"/>
      <c r="C375" s="294" t="s">
        <v>484</v>
      </c>
      <c r="D375" s="295" t="str">
        <f>Calculator!$B256</f>
        <v/>
      </c>
      <c r="E375" s="303"/>
      <c r="H375" s="286"/>
    </row>
    <row r="376" spans="2:8" s="286" customFormat="1" hidden="1">
      <c r="B376" s="288"/>
      <c r="C376" s="306"/>
      <c r="D376" s="307"/>
      <c r="E376" s="308"/>
    </row>
    <row r="377" spans="2:8" s="286" customFormat="1" ht="23" hidden="1">
      <c r="B377" s="288"/>
      <c r="C377" s="289" t="s">
        <v>614</v>
      </c>
      <c r="E377" s="287"/>
      <c r="H377" s="290"/>
    </row>
    <row r="378" spans="2:8" s="286" customFormat="1" hidden="1">
      <c r="B378" s="288"/>
      <c r="C378" s="291"/>
      <c r="D378" s="292"/>
      <c r="E378" s="287"/>
      <c r="H378" s="290"/>
    </row>
    <row r="379" spans="2:8" s="290" customFormat="1" ht="17" hidden="1">
      <c r="B379" s="293"/>
      <c r="C379" s="294" t="s">
        <v>595</v>
      </c>
      <c r="D379" s="295" t="s">
        <v>596</v>
      </c>
      <c r="E379" s="296"/>
    </row>
    <row r="380" spans="2:8" s="290" customFormat="1" ht="17" hidden="1">
      <c r="B380" s="293"/>
      <c r="C380" s="294" t="s">
        <v>470</v>
      </c>
      <c r="D380" s="295" t="s">
        <v>516</v>
      </c>
      <c r="E380" s="297"/>
    </row>
    <row r="381" spans="2:8" s="290" customFormat="1" ht="17" hidden="1">
      <c r="B381" s="293"/>
      <c r="C381" s="294" t="s">
        <v>472</v>
      </c>
      <c r="D381" s="295" t="s">
        <v>615</v>
      </c>
      <c r="E381" s="297"/>
    </row>
    <row r="382" spans="2:8" s="290" customFormat="1" ht="17" hidden="1">
      <c r="B382" s="293"/>
      <c r="C382" s="294" t="s">
        <v>510</v>
      </c>
      <c r="D382" s="295" t="s">
        <v>598</v>
      </c>
      <c r="E382" s="297"/>
    </row>
    <row r="383" spans="2:8" s="290" customFormat="1" ht="17" hidden="1">
      <c r="B383" s="293"/>
      <c r="C383" s="294" t="s">
        <v>477</v>
      </c>
      <c r="D383" s="298"/>
      <c r="E383" s="297" t="s">
        <v>478</v>
      </c>
    </row>
    <row r="384" spans="2:8" s="290" customFormat="1" ht="17" hidden="1">
      <c r="B384" s="293"/>
      <c r="C384" s="294" t="s">
        <v>473</v>
      </c>
      <c r="D384" s="299"/>
      <c r="E384" s="1020" t="s">
        <v>474</v>
      </c>
    </row>
    <row r="385" spans="2:8" s="290" customFormat="1" ht="17" hidden="1">
      <c r="B385" s="293"/>
      <c r="C385" s="294" t="s">
        <v>616</v>
      </c>
      <c r="D385" s="299"/>
      <c r="E385" s="1020"/>
    </row>
    <row r="386" spans="2:8" s="290" customFormat="1" ht="17" hidden="1">
      <c r="B386" s="293"/>
      <c r="C386" s="294" t="s">
        <v>617</v>
      </c>
      <c r="D386" s="300" t="str">
        <f>IF(AND($D384&gt;0,$D385&gt;0),$D384/$D385,"")</f>
        <v/>
      </c>
      <c r="E386" s="301"/>
    </row>
    <row r="387" spans="2:8" s="290" customFormat="1" ht="17" hidden="1">
      <c r="B387" s="293"/>
      <c r="C387" s="294" t="s">
        <v>618</v>
      </c>
      <c r="D387" s="300" t="str">
        <f>Calculator!$B272</f>
        <v/>
      </c>
      <c r="E387" s="301"/>
    </row>
    <row r="388" spans="2:8" s="290" customFormat="1" ht="17" hidden="1">
      <c r="B388" s="293"/>
      <c r="C388" s="294" t="s">
        <v>522</v>
      </c>
      <c r="D388" s="300" t="str">
        <f>Calculator!$B273</f>
        <v/>
      </c>
      <c r="E388" s="301"/>
    </row>
    <row r="389" spans="2:8" s="290" customFormat="1" ht="17" hidden="1">
      <c r="B389" s="293"/>
      <c r="C389" s="294" t="s">
        <v>479</v>
      </c>
      <c r="D389" s="298"/>
      <c r="E389" s="297" t="s">
        <v>480</v>
      </c>
    </row>
    <row r="390" spans="2:8" s="290" customFormat="1" ht="17" hidden="1">
      <c r="B390" s="293"/>
      <c r="C390" s="302" t="s">
        <v>619</v>
      </c>
      <c r="D390" s="300" t="str">
        <f>Calculator!$B274</f>
        <v/>
      </c>
      <c r="E390" s="301"/>
    </row>
    <row r="391" spans="2:8" s="290" customFormat="1" ht="17" hidden="1">
      <c r="B391" s="293"/>
      <c r="C391" s="294" t="s">
        <v>620</v>
      </c>
      <c r="D391" s="299"/>
      <c r="E391" s="301" t="s">
        <v>568</v>
      </c>
    </row>
    <row r="392" spans="2:8" s="290" customFormat="1" ht="17" hidden="1">
      <c r="B392" s="293"/>
      <c r="C392" s="294" t="str">
        <f>"Proposed % Reduction in "&amp;$D380</f>
        <v>Proposed % Reduction in Emissions Intensity</v>
      </c>
      <c r="D392" s="300" t="str">
        <f>IF(AND($D386&gt;0,$D391&gt;0,$D386&lt;&gt;""),100*($D386-$D391)/$D386,"")</f>
        <v/>
      </c>
      <c r="E392" s="303"/>
    </row>
    <row r="393" spans="2:8" s="290" customFormat="1" ht="17" hidden="1">
      <c r="B393" s="293"/>
      <c r="C393" s="294" t="s">
        <v>484</v>
      </c>
      <c r="D393" s="295" t="str">
        <f>Calculator!$B275</f>
        <v/>
      </c>
      <c r="E393" s="303"/>
      <c r="H393" s="286"/>
    </row>
    <row r="394" spans="2:8" s="286" customFormat="1" hidden="1">
      <c r="B394" s="288"/>
      <c r="C394" s="306"/>
      <c r="D394" s="307"/>
      <c r="E394" s="308"/>
    </row>
    <row r="395" spans="2:8" s="286" customFormat="1" ht="23" hidden="1">
      <c r="B395" s="288"/>
      <c r="C395" s="289" t="s">
        <v>621</v>
      </c>
      <c r="E395" s="287"/>
      <c r="H395" s="290"/>
    </row>
    <row r="396" spans="2:8" s="286" customFormat="1" hidden="1">
      <c r="B396" s="288"/>
      <c r="C396" s="291"/>
      <c r="D396" s="292"/>
      <c r="E396" s="287"/>
      <c r="H396" s="290"/>
    </row>
    <row r="397" spans="2:8" s="290" customFormat="1" ht="17" hidden="1">
      <c r="B397" s="293"/>
      <c r="C397" s="294" t="s">
        <v>595</v>
      </c>
      <c r="D397" s="295" t="s">
        <v>596</v>
      </c>
      <c r="E397" s="296"/>
    </row>
    <row r="398" spans="2:8" s="290" customFormat="1" ht="17" hidden="1">
      <c r="B398" s="293"/>
      <c r="C398" s="294" t="s">
        <v>470</v>
      </c>
      <c r="D398" s="295" t="s">
        <v>516</v>
      </c>
      <c r="E398" s="297"/>
    </row>
    <row r="399" spans="2:8" s="290" customFormat="1" ht="17" hidden="1">
      <c r="B399" s="293"/>
      <c r="C399" s="294" t="s">
        <v>472</v>
      </c>
      <c r="D399" s="295" t="s">
        <v>597</v>
      </c>
      <c r="E399" s="297"/>
    </row>
    <row r="400" spans="2:8" s="290" customFormat="1" ht="17" hidden="1">
      <c r="B400" s="293"/>
      <c r="C400" s="294" t="s">
        <v>510</v>
      </c>
      <c r="D400" s="295" t="s">
        <v>598</v>
      </c>
      <c r="E400" s="297"/>
    </row>
    <row r="401" spans="2:8" s="290" customFormat="1" ht="17" hidden="1">
      <c r="B401" s="293"/>
      <c r="C401" s="294" t="s">
        <v>477</v>
      </c>
      <c r="D401" s="298"/>
      <c r="E401" s="297" t="s">
        <v>478</v>
      </c>
    </row>
    <row r="402" spans="2:8" s="290" customFormat="1" ht="17" hidden="1">
      <c r="B402" s="293"/>
      <c r="C402" s="294" t="s">
        <v>473</v>
      </c>
      <c r="D402" s="299"/>
      <c r="E402" s="1020" t="s">
        <v>474</v>
      </c>
    </row>
    <row r="403" spans="2:8" s="290" customFormat="1" ht="17" hidden="1">
      <c r="B403" s="293"/>
      <c r="C403" s="294" t="s">
        <v>599</v>
      </c>
      <c r="D403" s="299"/>
      <c r="E403" s="1020"/>
    </row>
    <row r="404" spans="2:8" s="290" customFormat="1" ht="17" hidden="1">
      <c r="B404" s="293"/>
      <c r="C404" s="294" t="s">
        <v>600</v>
      </c>
      <c r="D404" s="300" t="str">
        <f>IF(AND($D402&gt;0,$D403&gt;0),$D402/$D403,"")</f>
        <v/>
      </c>
      <c r="E404" s="301"/>
    </row>
    <row r="405" spans="2:8" s="290" customFormat="1" ht="17" hidden="1">
      <c r="B405" s="293"/>
      <c r="C405" s="294" t="s">
        <v>601</v>
      </c>
      <c r="D405" s="300" t="str">
        <f>Calculator!$B291</f>
        <v/>
      </c>
      <c r="E405" s="301"/>
    </row>
    <row r="406" spans="2:8" s="290" customFormat="1" ht="17" hidden="1">
      <c r="B406" s="293"/>
      <c r="C406" s="294" t="s">
        <v>522</v>
      </c>
      <c r="D406" s="300" t="str">
        <f>Calculator!$B292</f>
        <v/>
      </c>
      <c r="E406" s="301"/>
    </row>
    <row r="407" spans="2:8" s="290" customFormat="1" ht="17" hidden="1">
      <c r="B407" s="293"/>
      <c r="C407" s="294" t="s">
        <v>479</v>
      </c>
      <c r="D407" s="298"/>
      <c r="E407" s="297" t="s">
        <v>480</v>
      </c>
    </row>
    <row r="408" spans="2:8" s="290" customFormat="1" ht="17" hidden="1">
      <c r="B408" s="293"/>
      <c r="C408" s="302" t="s">
        <v>602</v>
      </c>
      <c r="D408" s="300" t="str">
        <f>Calculator!$B293</f>
        <v/>
      </c>
      <c r="E408" s="301"/>
    </row>
    <row r="409" spans="2:8" s="290" customFormat="1" ht="17" hidden="1">
      <c r="B409" s="293"/>
      <c r="C409" s="294" t="s">
        <v>603</v>
      </c>
      <c r="D409" s="299"/>
      <c r="E409" s="301" t="s">
        <v>568</v>
      </c>
    </row>
    <row r="410" spans="2:8" s="290" customFormat="1" ht="17" hidden="1">
      <c r="B410" s="293"/>
      <c r="C410" s="294" t="str">
        <f>"Proposed % Reduction in "&amp;$D398</f>
        <v>Proposed % Reduction in Emissions Intensity</v>
      </c>
      <c r="D410" s="300" t="str">
        <f>IF(AND($D404&gt;0,$D409&gt;0,$D404&lt;&gt;""),100*($D404-$D409)/$D404,"")</f>
        <v/>
      </c>
      <c r="E410" s="303"/>
    </row>
    <row r="411" spans="2:8" s="290" customFormat="1" ht="17" hidden="1">
      <c r="B411" s="293"/>
      <c r="C411" s="294" t="s">
        <v>484</v>
      </c>
      <c r="D411" s="295" t="str">
        <f>Calculator!$B294</f>
        <v/>
      </c>
      <c r="E411" s="303"/>
      <c r="H411" s="286"/>
    </row>
    <row r="412" spans="2:8" s="286" customFormat="1" hidden="1">
      <c r="B412" s="288"/>
      <c r="C412" s="306"/>
      <c r="D412" s="307"/>
      <c r="E412" s="308"/>
    </row>
    <row r="413" spans="2:8" s="286" customFormat="1" ht="23" hidden="1">
      <c r="B413" s="288"/>
      <c r="C413" s="289" t="s">
        <v>622</v>
      </c>
      <c r="E413" s="287"/>
      <c r="H413" s="290"/>
    </row>
    <row r="414" spans="2:8" s="286" customFormat="1" hidden="1">
      <c r="B414" s="288"/>
      <c r="C414" s="291"/>
      <c r="D414" s="292"/>
      <c r="E414" s="287"/>
      <c r="H414" s="290"/>
    </row>
    <row r="415" spans="2:8" s="290" customFormat="1" ht="17" hidden="1">
      <c r="B415" s="293"/>
      <c r="C415" s="294" t="s">
        <v>595</v>
      </c>
      <c r="D415" s="295" t="s">
        <v>596</v>
      </c>
      <c r="E415" s="296"/>
    </row>
    <row r="416" spans="2:8" s="290" customFormat="1" ht="17" hidden="1">
      <c r="B416" s="293"/>
      <c r="C416" s="294" t="s">
        <v>470</v>
      </c>
      <c r="D416" s="295" t="s">
        <v>516</v>
      </c>
      <c r="E416" s="297"/>
    </row>
    <row r="417" spans="2:8" s="290" customFormat="1" ht="17" hidden="1">
      <c r="B417" s="293"/>
      <c r="C417" s="294" t="s">
        <v>472</v>
      </c>
      <c r="D417" s="295" t="s">
        <v>597</v>
      </c>
      <c r="E417" s="297"/>
    </row>
    <row r="418" spans="2:8" s="290" customFormat="1" ht="17" hidden="1">
      <c r="B418" s="293"/>
      <c r="C418" s="294" t="s">
        <v>510</v>
      </c>
      <c r="D418" s="295" t="s">
        <v>598</v>
      </c>
      <c r="E418" s="297"/>
    </row>
    <row r="419" spans="2:8" s="290" customFormat="1" ht="17" hidden="1">
      <c r="B419" s="293"/>
      <c r="C419" s="294" t="s">
        <v>477</v>
      </c>
      <c r="D419" s="298"/>
      <c r="E419" s="297" t="s">
        <v>478</v>
      </c>
    </row>
    <row r="420" spans="2:8" s="290" customFormat="1" ht="17" hidden="1">
      <c r="B420" s="293"/>
      <c r="C420" s="294" t="s">
        <v>473</v>
      </c>
      <c r="D420" s="299"/>
      <c r="E420" s="1020" t="s">
        <v>474</v>
      </c>
    </row>
    <row r="421" spans="2:8" s="290" customFormat="1" ht="17" hidden="1">
      <c r="B421" s="293"/>
      <c r="C421" s="294" t="s">
        <v>599</v>
      </c>
      <c r="D421" s="299"/>
      <c r="E421" s="1020"/>
    </row>
    <row r="422" spans="2:8" s="290" customFormat="1" ht="17" hidden="1">
      <c r="B422" s="293"/>
      <c r="C422" s="294" t="s">
        <v>600</v>
      </c>
      <c r="D422" s="300" t="str">
        <f>IF(AND($D420&gt;0,$D421&gt;0),$D420/$D421,"")</f>
        <v/>
      </c>
      <c r="E422" s="301"/>
    </row>
    <row r="423" spans="2:8" s="290" customFormat="1" ht="17" hidden="1">
      <c r="B423" s="293"/>
      <c r="C423" s="294" t="s">
        <v>601</v>
      </c>
      <c r="D423" s="300" t="str">
        <f>Calculator!$B310</f>
        <v/>
      </c>
      <c r="E423" s="301"/>
    </row>
    <row r="424" spans="2:8" s="290" customFormat="1" ht="17" hidden="1">
      <c r="B424" s="293"/>
      <c r="C424" s="294" t="s">
        <v>522</v>
      </c>
      <c r="D424" s="300" t="str">
        <f>Calculator!$B311</f>
        <v/>
      </c>
      <c r="E424" s="301"/>
    </row>
    <row r="425" spans="2:8" s="290" customFormat="1" ht="17" hidden="1">
      <c r="B425" s="293"/>
      <c r="C425" s="294" t="s">
        <v>479</v>
      </c>
      <c r="D425" s="298"/>
      <c r="E425" s="297" t="s">
        <v>480</v>
      </c>
    </row>
    <row r="426" spans="2:8" s="290" customFormat="1" ht="17" hidden="1">
      <c r="B426" s="293"/>
      <c r="C426" s="302" t="s">
        <v>602</v>
      </c>
      <c r="D426" s="300" t="str">
        <f>Calculator!$B312</f>
        <v/>
      </c>
      <c r="E426" s="301"/>
    </row>
    <row r="427" spans="2:8" s="290" customFormat="1" ht="17" hidden="1">
      <c r="B427" s="293"/>
      <c r="C427" s="294" t="s">
        <v>603</v>
      </c>
      <c r="D427" s="299"/>
      <c r="E427" s="301" t="s">
        <v>568</v>
      </c>
    </row>
    <row r="428" spans="2:8" s="290" customFormat="1" ht="17" hidden="1">
      <c r="B428" s="293"/>
      <c r="C428" s="294" t="str">
        <f>"Proposed % Reduction in "&amp;$D416</f>
        <v>Proposed % Reduction in Emissions Intensity</v>
      </c>
      <c r="D428" s="300" t="str">
        <f>IF(AND($D422&gt;0,$D427&gt;0,$D422&lt;&gt;""),100*($D422-$D427)/$D422,"")</f>
        <v/>
      </c>
      <c r="E428" s="303"/>
    </row>
    <row r="429" spans="2:8" s="290" customFormat="1" ht="17" hidden="1">
      <c r="B429" s="293"/>
      <c r="C429" s="294" t="s">
        <v>484</v>
      </c>
      <c r="D429" s="295" t="str">
        <f>Calculator!$B313</f>
        <v/>
      </c>
      <c r="E429" s="303"/>
      <c r="H429" s="286"/>
    </row>
    <row r="430" spans="2:8" s="286" customFormat="1" hidden="1">
      <c r="B430" s="288"/>
      <c r="C430" s="306"/>
      <c r="D430" s="307"/>
      <c r="E430" s="308"/>
    </row>
    <row r="431" spans="2:8" s="286" customFormat="1" ht="23" hidden="1">
      <c r="B431" s="288"/>
      <c r="C431" s="289" t="s">
        <v>623</v>
      </c>
      <c r="E431" s="287"/>
      <c r="H431" s="290"/>
    </row>
    <row r="432" spans="2:8" s="286" customFormat="1" hidden="1">
      <c r="B432" s="288"/>
      <c r="C432" s="291"/>
      <c r="D432" s="292"/>
      <c r="E432" s="287"/>
      <c r="H432" s="290"/>
    </row>
    <row r="433" spans="2:8" s="290" customFormat="1" ht="17" hidden="1">
      <c r="B433" s="293"/>
      <c r="C433" s="294" t="s">
        <v>595</v>
      </c>
      <c r="D433" s="295" t="s">
        <v>596</v>
      </c>
      <c r="E433" s="296"/>
    </row>
    <row r="434" spans="2:8" s="290" customFormat="1" ht="17" hidden="1">
      <c r="B434" s="293"/>
      <c r="C434" s="294" t="s">
        <v>470</v>
      </c>
      <c r="D434" s="295" t="s">
        <v>516</v>
      </c>
      <c r="E434" s="297"/>
    </row>
    <row r="435" spans="2:8" s="290" customFormat="1" ht="17" hidden="1">
      <c r="B435" s="293"/>
      <c r="C435" s="294" t="s">
        <v>472</v>
      </c>
      <c r="D435" s="295" t="s">
        <v>597</v>
      </c>
      <c r="E435" s="297"/>
    </row>
    <row r="436" spans="2:8" s="290" customFormat="1" ht="17" hidden="1">
      <c r="B436" s="293"/>
      <c r="C436" s="294" t="s">
        <v>510</v>
      </c>
      <c r="D436" s="295" t="s">
        <v>598</v>
      </c>
      <c r="E436" s="297"/>
    </row>
    <row r="437" spans="2:8" s="290" customFormat="1" ht="17" hidden="1">
      <c r="B437" s="293"/>
      <c r="C437" s="294" t="s">
        <v>477</v>
      </c>
      <c r="D437" s="298"/>
      <c r="E437" s="297" t="s">
        <v>478</v>
      </c>
    </row>
    <row r="438" spans="2:8" s="290" customFormat="1" ht="17" hidden="1">
      <c r="B438" s="293"/>
      <c r="C438" s="294" t="s">
        <v>473</v>
      </c>
      <c r="D438" s="299"/>
      <c r="E438" s="1020" t="s">
        <v>474</v>
      </c>
    </row>
    <row r="439" spans="2:8" s="290" customFormat="1" ht="17" hidden="1">
      <c r="B439" s="293"/>
      <c r="C439" s="294" t="s">
        <v>599</v>
      </c>
      <c r="D439" s="299"/>
      <c r="E439" s="1020"/>
    </row>
    <row r="440" spans="2:8" s="290" customFormat="1" ht="17" hidden="1">
      <c r="B440" s="293"/>
      <c r="C440" s="294" t="s">
        <v>600</v>
      </c>
      <c r="D440" s="300" t="str">
        <f>IF(AND($D438&gt;0,$D439&gt;0),$D438/$D439,"")</f>
        <v/>
      </c>
      <c r="E440" s="301"/>
    </row>
    <row r="441" spans="2:8" s="290" customFormat="1" ht="17" hidden="1">
      <c r="B441" s="293"/>
      <c r="C441" s="294" t="s">
        <v>601</v>
      </c>
      <c r="D441" s="300" t="str">
        <f>Calculator!$B329</f>
        <v/>
      </c>
      <c r="E441" s="301"/>
    </row>
    <row r="442" spans="2:8" s="290" customFormat="1" ht="17" hidden="1">
      <c r="B442" s="293"/>
      <c r="C442" s="294" t="s">
        <v>522</v>
      </c>
      <c r="D442" s="309" t="str">
        <f>Calculator!$B330</f>
        <v/>
      </c>
      <c r="E442" s="301"/>
    </row>
    <row r="443" spans="2:8" s="290" customFormat="1" ht="17" hidden="1">
      <c r="B443" s="293"/>
      <c r="C443" s="294" t="s">
        <v>479</v>
      </c>
      <c r="D443" s="298"/>
      <c r="E443" s="297" t="s">
        <v>480</v>
      </c>
    </row>
    <row r="444" spans="2:8" s="290" customFormat="1" ht="17" hidden="1">
      <c r="B444" s="293"/>
      <c r="C444" s="302" t="s">
        <v>602</v>
      </c>
      <c r="D444" s="300" t="str">
        <f>Calculator!$B331</f>
        <v/>
      </c>
      <c r="E444" s="301"/>
    </row>
    <row r="445" spans="2:8" s="290" customFormat="1" ht="17" hidden="1">
      <c r="B445" s="293"/>
      <c r="C445" s="294" t="s">
        <v>603</v>
      </c>
      <c r="D445" s="299"/>
      <c r="E445" s="301" t="s">
        <v>568</v>
      </c>
    </row>
    <row r="446" spans="2:8" s="290" customFormat="1" ht="17" hidden="1">
      <c r="B446" s="293"/>
      <c r="C446" s="294" t="str">
        <f>"Proposed % Reduction in "&amp;$D434</f>
        <v>Proposed % Reduction in Emissions Intensity</v>
      </c>
      <c r="D446" s="300" t="str">
        <f>IF(AND($D440&gt;0,$D445&gt;0,$D440&lt;&gt;""),100*($D440-$D445)/$D440,"")</f>
        <v/>
      </c>
      <c r="E446" s="303"/>
    </row>
    <row r="447" spans="2:8" s="290" customFormat="1" ht="17" hidden="1">
      <c r="B447" s="293"/>
      <c r="C447" s="294" t="s">
        <v>484</v>
      </c>
      <c r="D447" s="309" t="str">
        <f>Calculator!$B332</f>
        <v/>
      </c>
      <c r="E447" s="303"/>
      <c r="H447" s="286"/>
    </row>
    <row r="448" spans="2:8" s="286" customFormat="1" hidden="1">
      <c r="B448" s="288"/>
      <c r="C448" s="306"/>
      <c r="D448" s="307"/>
      <c r="E448" s="308"/>
    </row>
    <row r="449" spans="2:8" s="286" customFormat="1" ht="23" hidden="1">
      <c r="B449" s="288"/>
      <c r="C449" s="289" t="s">
        <v>624</v>
      </c>
      <c r="D449" s="310"/>
      <c r="E449" s="287"/>
      <c r="H449" s="290"/>
    </row>
    <row r="450" spans="2:8" s="286" customFormat="1" hidden="1">
      <c r="B450" s="288"/>
      <c r="C450" s="291"/>
      <c r="D450" s="292"/>
      <c r="E450" s="287"/>
      <c r="H450" s="290"/>
    </row>
    <row r="451" spans="2:8" s="290" customFormat="1" ht="17" hidden="1">
      <c r="B451" s="293"/>
      <c r="C451" s="294" t="s">
        <v>595</v>
      </c>
      <c r="D451" s="295" t="s">
        <v>596</v>
      </c>
      <c r="E451" s="296"/>
    </row>
    <row r="452" spans="2:8" s="290" customFormat="1" ht="17" hidden="1">
      <c r="B452" s="293"/>
      <c r="C452" s="294" t="s">
        <v>470</v>
      </c>
      <c r="D452" s="295" t="s">
        <v>516</v>
      </c>
      <c r="E452" s="297"/>
    </row>
    <row r="453" spans="2:8" s="290" customFormat="1" ht="17" hidden="1">
      <c r="B453" s="293"/>
      <c r="C453" s="294" t="s">
        <v>472</v>
      </c>
      <c r="D453" s="295" t="s">
        <v>597</v>
      </c>
      <c r="E453" s="297"/>
    </row>
    <row r="454" spans="2:8" s="290" customFormat="1" ht="17" hidden="1">
      <c r="B454" s="293"/>
      <c r="C454" s="294" t="s">
        <v>510</v>
      </c>
      <c r="D454" s="295" t="s">
        <v>598</v>
      </c>
      <c r="E454" s="297"/>
    </row>
    <row r="455" spans="2:8" s="290" customFormat="1" ht="17" hidden="1">
      <c r="B455" s="293"/>
      <c r="C455" s="294" t="s">
        <v>477</v>
      </c>
      <c r="D455" s="298"/>
      <c r="E455" s="297" t="s">
        <v>478</v>
      </c>
    </row>
    <row r="456" spans="2:8" s="290" customFormat="1" ht="17" hidden="1">
      <c r="B456" s="293"/>
      <c r="C456" s="294" t="s">
        <v>473</v>
      </c>
      <c r="D456" s="299"/>
      <c r="E456" s="1020" t="s">
        <v>474</v>
      </c>
    </row>
    <row r="457" spans="2:8" s="290" customFormat="1" ht="17" hidden="1">
      <c r="B457" s="293"/>
      <c r="C457" s="294" t="s">
        <v>599</v>
      </c>
      <c r="D457" s="299"/>
      <c r="E457" s="1020"/>
    </row>
    <row r="458" spans="2:8" s="290" customFormat="1" ht="17" hidden="1">
      <c r="B458" s="293"/>
      <c r="C458" s="294" t="s">
        <v>600</v>
      </c>
      <c r="D458" s="300" t="str">
        <f>IF(AND($D456&gt;0,$D457&gt;0),$D456/$D457,"")</f>
        <v/>
      </c>
      <c r="E458" s="301"/>
    </row>
    <row r="459" spans="2:8" s="290" customFormat="1" ht="17" hidden="1">
      <c r="B459" s="293"/>
      <c r="C459" s="294" t="s">
        <v>601</v>
      </c>
      <c r="D459" s="300" t="str">
        <f>Calculator!$B348</f>
        <v/>
      </c>
      <c r="E459" s="301"/>
    </row>
    <row r="460" spans="2:8" s="290" customFormat="1" ht="17" hidden="1">
      <c r="B460" s="293"/>
      <c r="C460" s="294" t="s">
        <v>522</v>
      </c>
      <c r="D460" s="300" t="str">
        <f>Calculator!$B349</f>
        <v/>
      </c>
      <c r="E460" s="301"/>
    </row>
    <row r="461" spans="2:8" s="290" customFormat="1" ht="17" hidden="1">
      <c r="B461" s="293"/>
      <c r="C461" s="294" t="s">
        <v>479</v>
      </c>
      <c r="D461" s="298"/>
      <c r="E461" s="297" t="s">
        <v>480</v>
      </c>
    </row>
    <row r="462" spans="2:8" s="290" customFormat="1" ht="17" hidden="1">
      <c r="B462" s="293"/>
      <c r="C462" s="302" t="s">
        <v>602</v>
      </c>
      <c r="D462" s="300" t="str">
        <f>Calculator!$B350</f>
        <v/>
      </c>
      <c r="E462" s="301"/>
    </row>
    <row r="463" spans="2:8" s="290" customFormat="1" ht="17" hidden="1">
      <c r="B463" s="293"/>
      <c r="C463" s="294" t="s">
        <v>603</v>
      </c>
      <c r="D463" s="299"/>
      <c r="E463" s="301" t="s">
        <v>568</v>
      </c>
    </row>
    <row r="464" spans="2:8" s="290" customFormat="1" ht="17" hidden="1">
      <c r="B464" s="293"/>
      <c r="C464" s="294" t="str">
        <f>"Proposed % Reduction in "&amp;$D452</f>
        <v>Proposed % Reduction in Emissions Intensity</v>
      </c>
      <c r="D464" s="300" t="str">
        <f>IF(AND($D458&gt;0,$D463&gt;0,$D458&lt;&gt;""),100*($D458-$D463)/$D458,"")</f>
        <v/>
      </c>
      <c r="E464" s="303"/>
    </row>
    <row r="465" spans="2:8" s="290" customFormat="1" ht="17" hidden="1">
      <c r="B465" s="293"/>
      <c r="C465" s="294" t="s">
        <v>484</v>
      </c>
      <c r="D465" s="295" t="str">
        <f>Calculator!$B351</f>
        <v/>
      </c>
      <c r="E465" s="303"/>
    </row>
    <row r="466" spans="2:8" s="290" customFormat="1" hidden="1">
      <c r="H466" s="286"/>
    </row>
    <row r="467" spans="2:8" s="286" customFormat="1" hidden="1">
      <c r="H467" s="290"/>
    </row>
    <row r="468" spans="2:8" hidden="1">
      <c r="B468" s="226"/>
      <c r="C468" s="226"/>
      <c r="E468" s="226"/>
    </row>
    <row r="469" spans="2:8" hidden="1">
      <c r="B469" s="226"/>
      <c r="C469" s="226"/>
      <c r="E469" s="226"/>
    </row>
    <row r="470" spans="2:8" hidden="1">
      <c r="B470" s="226"/>
      <c r="C470" s="226"/>
      <c r="E470" s="226"/>
    </row>
    <row r="471" spans="2:8" hidden="1">
      <c r="B471" s="226"/>
      <c r="C471" s="226"/>
      <c r="E471" s="226"/>
    </row>
    <row r="472" spans="2:8" hidden="1">
      <c r="B472" s="226"/>
      <c r="C472" s="226"/>
      <c r="E472" s="226"/>
    </row>
    <row r="473" spans="2:8" hidden="1">
      <c r="B473" s="226"/>
      <c r="C473" s="226"/>
      <c r="E473" s="226"/>
    </row>
    <row r="474" spans="2:8" hidden="1">
      <c r="B474" s="226"/>
      <c r="C474" s="226"/>
      <c r="E474" s="226"/>
    </row>
    <row r="475" spans="2:8" hidden="1">
      <c r="B475" s="226"/>
      <c r="C475" s="226"/>
      <c r="E475" s="226"/>
    </row>
    <row r="476" spans="2:8" hidden="1">
      <c r="B476" s="226"/>
      <c r="C476" s="226"/>
      <c r="E476" s="226"/>
    </row>
    <row r="477" spans="2:8" hidden="1">
      <c r="B477" s="226"/>
      <c r="C477" s="226"/>
      <c r="E477" s="226"/>
    </row>
    <row r="478" spans="2:8" hidden="1">
      <c r="B478" s="226"/>
      <c r="C478" s="226"/>
      <c r="E478" s="226"/>
    </row>
    <row r="479" spans="2:8" hidden="1">
      <c r="B479" s="226"/>
      <c r="C479" s="226"/>
      <c r="E479" s="226"/>
    </row>
    <row r="480" spans="2:8" hidden="1">
      <c r="B480" s="226"/>
      <c r="C480" s="226"/>
      <c r="E480" s="226"/>
      <c r="H480" s="235"/>
    </row>
    <row r="481" spans="2:8" s="235" customFormat="1" hidden="1">
      <c r="H481" s="226"/>
    </row>
    <row r="482" spans="2:8" hidden="1">
      <c r="B482" s="226"/>
      <c r="C482" s="226"/>
      <c r="E482" s="226"/>
    </row>
    <row r="483" spans="2:8" hidden="1">
      <c r="B483" s="226"/>
      <c r="C483" s="226"/>
      <c r="E483" s="226"/>
    </row>
    <row r="484" spans="2:8" hidden="1">
      <c r="B484" s="226"/>
      <c r="C484" s="226"/>
      <c r="E484" s="226"/>
    </row>
    <row r="485" spans="2:8" hidden="1">
      <c r="B485" s="226"/>
      <c r="C485" s="226"/>
      <c r="E485" s="226"/>
    </row>
    <row r="486" spans="2:8" hidden="1">
      <c r="B486" s="226"/>
      <c r="C486" s="226"/>
      <c r="E486" s="226"/>
    </row>
    <row r="487" spans="2:8" hidden="1">
      <c r="B487" s="226"/>
      <c r="C487" s="226"/>
      <c r="E487" s="226"/>
    </row>
    <row r="488" spans="2:8" hidden="1">
      <c r="B488" s="226"/>
      <c r="C488" s="226"/>
      <c r="E488" s="226"/>
    </row>
    <row r="489" spans="2:8" hidden="1">
      <c r="B489" s="226"/>
      <c r="C489" s="226"/>
      <c r="E489" s="226"/>
    </row>
    <row r="490" spans="2:8" hidden="1">
      <c r="B490" s="226"/>
      <c r="C490" s="226"/>
      <c r="E490" s="226"/>
    </row>
    <row r="491" spans="2:8" hidden="1">
      <c r="B491" s="226"/>
      <c r="C491" s="226"/>
      <c r="E491" s="226"/>
    </row>
  </sheetData>
  <sheetProtection algorithmName="SHA-512" hashValue="QoGaSjEvm8cG11EihRa69k53b/37P+X3xvZhn9PE4kSOOlLD15KskMsPoQYsh+xgg017qLiuR7HlxpXqEOkbOw==" saltValue="awyhjsf0B+uUuMnjzpciLw==" spinCount="100000" sheet="1" formatCells="0" formatRows="0"/>
  <mergeCells count="30">
    <mergeCell ref="E164:E170"/>
    <mergeCell ref="B1:I7"/>
    <mergeCell ref="B9:E9"/>
    <mergeCell ref="E124:E125"/>
    <mergeCell ref="E142:E143"/>
    <mergeCell ref="C156:D156"/>
    <mergeCell ref="C71:E71"/>
    <mergeCell ref="C56:E57"/>
    <mergeCell ref="C85:F85"/>
    <mergeCell ref="C42:E42"/>
    <mergeCell ref="C27:E27"/>
    <mergeCell ref="C14:E14"/>
    <mergeCell ref="C12:D12"/>
    <mergeCell ref="E456:E457"/>
    <mergeCell ref="E366:E367"/>
    <mergeCell ref="E191:E192"/>
    <mergeCell ref="E215:E216"/>
    <mergeCell ref="E233:E234"/>
    <mergeCell ref="E249:E250"/>
    <mergeCell ref="E251:E252"/>
    <mergeCell ref="E294:E295"/>
    <mergeCell ref="E312:E313"/>
    <mergeCell ref="E330:E331"/>
    <mergeCell ref="E348:E349"/>
    <mergeCell ref="E269:E270"/>
    <mergeCell ref="C183:D183"/>
    <mergeCell ref="E384:E385"/>
    <mergeCell ref="E402:E403"/>
    <mergeCell ref="E420:E421"/>
    <mergeCell ref="E438:E439"/>
  </mergeCells>
  <conditionalFormatting sqref="D32">
    <cfRule type="expression" dxfId="32" priority="3" stopIfTrue="1">
      <formula>$D31="Other"</formula>
    </cfRule>
  </conditionalFormatting>
  <conditionalFormatting sqref="D61">
    <cfRule type="expression" dxfId="31" priority="4">
      <formula>$D60="Other"</formula>
    </cfRule>
  </conditionalFormatting>
  <conditionalFormatting sqref="D91">
    <cfRule type="expression" dxfId="30" priority="7" stopIfTrue="1">
      <formula>$D90="Other"</formula>
    </cfRule>
  </conditionalFormatting>
  <conditionalFormatting sqref="E31">
    <cfRule type="expression" dxfId="29" priority="8">
      <formula>#REF!="Other"</formula>
    </cfRule>
  </conditionalFormatting>
  <conditionalFormatting sqref="E32">
    <cfRule type="expression" dxfId="28" priority="1">
      <formula>$D31="Other"</formula>
    </cfRule>
  </conditionalFormatting>
  <conditionalFormatting sqref="E61">
    <cfRule type="expression" dxfId="27" priority="2">
      <formula>$D60="Other"</formula>
    </cfRule>
  </conditionalFormatting>
  <conditionalFormatting sqref="E90">
    <cfRule type="expression" dxfId="26" priority="5">
      <formula>#REF!="Other"</formula>
    </cfRule>
  </conditionalFormatting>
  <conditionalFormatting sqref="E91">
    <cfRule type="expression" dxfId="25" priority="6" stopIfTrue="1">
      <formula>$D90="Other"</formula>
    </cfRule>
  </conditionalFormatting>
  <dataValidations count="12">
    <dataValidation type="list" allowBlank="1" showInputMessage="1" showErrorMessage="1" sqref="D60 D90" xr:uid="{00000000-0002-0000-0A00-000000000000}">
      <formula1>coal_currency_options</formula1>
    </dataValidation>
    <dataValidation allowBlank="1" showInputMessage="1" showErrorMessage="1" sqref="D140 C449:D450 C431 C432:D432 C413 C414:D414 C395 C396:D396 C377 C378:D378 C359 C360:D360 C341 C342:D342 C323 C324:D324 C305" xr:uid="{00000000-0002-0000-0A00-000001000000}"/>
    <dataValidation type="list" allowBlank="1" showInputMessage="1" showErrorMessage="1" sqref="D163 D190" xr:uid="{00000000-0002-0000-0A00-000002000000}">
      <formula1>air_transport_wtw_ttw</formula1>
    </dataValidation>
    <dataValidation type="decimal" allowBlank="1" showInputMessage="1" showErrorMessage="1" sqref="D166 D240 D271 D170 D149" xr:uid="{00000000-0002-0000-0A00-000004000000}">
      <formula1>0</formula1>
      <formula2>100</formula2>
    </dataValidation>
    <dataValidation type="list" allowBlank="1" showInputMessage="1" showErrorMessage="1" sqref="D129 D220 D299 D177 D197 D256 D109 D147 D238 D317 D335 D353 D371 D389 D407 D425 D443 D461 D95 D275 D79" xr:uid="{00000000-0002-0000-0A00-000005000000}">
      <formula1>target_year_options</formula1>
    </dataValidation>
    <dataValidation type="list" allowBlank="1" showInputMessage="1" showErrorMessage="1" sqref="D141 D268 D214 D293 D162 D189 D107 D123 D232 D311 D329 D347 D365 D383 D401 D419 D437 D455 D93 D21 D49 D36 D65 D77 D250" xr:uid="{00000000-0002-0000-0A00-000006000000}">
      <formula1>base_year_options</formula1>
    </dataValidation>
    <dataValidation type="decimal" allowBlank="1" showInputMessage="1" showErrorMessage="1" sqref="D124:D125 D277 D269:D270 D319 D215:D216 D294:D295 D179 D131 D337 D463 D233:D234 D312:D313 D199 D330:D331 D301 D348:D349 D355 D366:D367 D373 D384:D385 D391 D402:D403 D409 D420:D421 D427 D438:D439 D445 D456:D457 D167:D169 D258:D259 D108 D164:D165 D142:D143 D222 D111 D251:D253 D81 D78 D97" xr:uid="{00000000-0002-0000-0A00-000007000000}">
      <formula1>0</formula1>
      <formula2>1E+99</formula2>
    </dataValidation>
    <dataValidation type="list" allowBlank="1" showInputMessage="1" showErrorMessage="1" sqref="D20 D35" xr:uid="{61F54089-64EC-7C4E-9DAD-203DC56F116B}">
      <formula1>coal_geography_options</formula1>
    </dataValidation>
    <dataValidation type="list" allowBlank="1" showInputMessage="1" showErrorMessage="1" sqref="D22 D37" xr:uid="{45BADD4F-D2EB-0945-80F9-3B3DB1A88A77}">
      <formula1>coal_OECDorGlobal_target_years</formula1>
    </dataValidation>
    <dataValidation operator="equal" allowBlank="1" showInputMessage="1" showErrorMessage="1" sqref="D40" xr:uid="{3056CD9E-134C-D84F-B52C-FE0EC8F153FA}"/>
    <dataValidation type="list" errorStyle="information" allowBlank="1" showInputMessage="1" showErrorMessage="1" error="Unspecified Currency" sqref="D31" xr:uid="{87F0E1CC-2510-194D-8977-2ED86D3D5C73}">
      <formula1>coal_currency_options</formula1>
    </dataValidation>
    <dataValidation type="list" allowBlank="1" showInputMessage="1" showErrorMessage="1" sqref="D50 D66" xr:uid="{DD4F5AC6-F4D1-9041-AF7C-6DC42522F36C}">
      <formula1>coal_nonOECD_target_years</formula1>
    </dataValidation>
  </dataValidations>
  <pageMargins left="0.7" right="0.7" top="0.75" bottom="0.75" header="0" footer="0"/>
  <pageSetup orientation="landscape"/>
  <ignoredErrors>
    <ignoredError sqref="B284 B101 B115 B153 B203 B11 B262 B244 B206 B281" numberStoredAsText="1"/>
  </ignoredError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C00000"/>
  </sheetPr>
  <dimension ref="A1:T57"/>
  <sheetViews>
    <sheetView showGridLines="0" zoomScale="80" zoomScaleNormal="80" workbookViewId="0"/>
  </sheetViews>
  <sheetFormatPr baseColWidth="10" defaultColWidth="10.83203125" defaultRowHeight="16"/>
  <cols>
    <col min="1" max="1" width="3.5" style="145" customWidth="1"/>
    <col min="2" max="2" width="5.1640625" style="145" bestFit="1" customWidth="1"/>
    <col min="3" max="3" width="69.5" style="147" customWidth="1"/>
    <col min="4" max="6" width="25.83203125" style="147" customWidth="1"/>
    <col min="7" max="7" width="30" style="145" customWidth="1"/>
    <col min="8" max="19" width="25.83203125" style="145" customWidth="1"/>
    <col min="20" max="20" width="19.5" style="145" customWidth="1"/>
    <col min="21" max="16384" width="10.83203125" style="145"/>
  </cols>
  <sheetData>
    <row r="1" spans="1:20" s="134" customFormat="1" ht="20" customHeight="1">
      <c r="A1" s="41"/>
      <c r="B1" s="658" t="s">
        <v>625</v>
      </c>
      <c r="C1" s="658"/>
      <c r="D1" s="658"/>
      <c r="E1" s="658"/>
      <c r="F1" s="658"/>
      <c r="G1" s="658"/>
      <c r="H1" s="658"/>
    </row>
    <row r="2" spans="1:20" s="134" customFormat="1" ht="20" customHeight="1">
      <c r="A2" s="41"/>
      <c r="B2" s="658"/>
      <c r="C2" s="658"/>
      <c r="D2" s="658"/>
      <c r="E2" s="658"/>
      <c r="F2" s="658"/>
      <c r="G2" s="658"/>
      <c r="H2" s="658"/>
    </row>
    <row r="3" spans="1:20" s="135" customFormat="1" ht="20" customHeight="1">
      <c r="B3" s="658"/>
      <c r="C3" s="658"/>
      <c r="D3" s="658"/>
      <c r="E3" s="658"/>
      <c r="F3" s="658"/>
      <c r="G3" s="658"/>
      <c r="H3" s="658"/>
      <c r="I3" s="136"/>
      <c r="J3" s="136"/>
      <c r="K3" s="136"/>
      <c r="L3" s="136"/>
      <c r="M3" s="136"/>
    </row>
    <row r="4" spans="1:20" s="134" customFormat="1" ht="20" customHeight="1">
      <c r="B4" s="658"/>
      <c r="C4" s="658"/>
      <c r="D4" s="658"/>
      <c r="E4" s="658"/>
      <c r="F4" s="658"/>
      <c r="G4" s="658"/>
      <c r="H4" s="658"/>
    </row>
    <row r="5" spans="1:20" s="134" customFormat="1" ht="20" customHeight="1">
      <c r="B5" s="658"/>
      <c r="C5" s="658"/>
      <c r="D5" s="658"/>
      <c r="E5" s="658"/>
      <c r="F5" s="658"/>
      <c r="G5" s="658"/>
      <c r="H5" s="658"/>
    </row>
    <row r="6" spans="1:20" s="134" customFormat="1" ht="20" customHeight="1">
      <c r="B6" s="658"/>
      <c r="C6" s="658"/>
      <c r="D6" s="658"/>
      <c r="E6" s="658"/>
      <c r="F6" s="658"/>
      <c r="G6" s="658"/>
      <c r="H6" s="658"/>
    </row>
    <row r="7" spans="1:20" s="134" customFormat="1" ht="20" customHeight="1">
      <c r="B7" s="658"/>
      <c r="C7" s="658"/>
      <c r="D7" s="658"/>
      <c r="E7" s="658"/>
      <c r="F7" s="658"/>
      <c r="G7" s="658"/>
      <c r="H7" s="658"/>
    </row>
    <row r="8" spans="1:20" ht="30">
      <c r="B8" s="313"/>
      <c r="C8" s="146"/>
    </row>
    <row r="9" spans="1:20" s="148" customFormat="1" ht="30">
      <c r="B9" s="149" t="s">
        <v>465</v>
      </c>
      <c r="C9" s="565" t="s">
        <v>626</v>
      </c>
      <c r="D9" s="565"/>
      <c r="E9" s="565"/>
    </row>
    <row r="10" spans="1:20" s="148" customFormat="1"/>
    <row r="11" spans="1:20" s="148" customFormat="1" ht="77" customHeight="1" thickBot="1">
      <c r="C11" s="465" t="s">
        <v>627</v>
      </c>
      <c r="D11" s="465" t="s">
        <v>595</v>
      </c>
      <c r="E11" s="466" t="s">
        <v>470</v>
      </c>
      <c r="F11" s="466" t="s">
        <v>472</v>
      </c>
      <c r="G11" s="466" t="s">
        <v>475</v>
      </c>
      <c r="H11" s="466" t="s">
        <v>510</v>
      </c>
      <c r="I11" s="466" t="s">
        <v>477</v>
      </c>
      <c r="J11" s="466" t="s">
        <v>473</v>
      </c>
      <c r="K11" s="466" t="str" cm="1">
        <f t="array" ref="K11">_xlfn.LET(
    _xlpm.raw_list, _xlfn.VSTACK($F13, $F15, $F17),
    _xlpm.valid_list, _xlfn._xlws.FILTER(_xlpm.raw_list, (_xlpm.raw_list&lt;&gt;"") * (_xlpm.raw_list&lt;&gt;0) * (_xlpm.raw_list&lt;&gt;"Unspecified Currency"), ""),
    _xlpm.unique_list, _xlfn.UNIQUE(_xlpm.valid_list),
    _xlpm.currency_text, _xlfn.TEXTJOIN(", ", TRUE, _xlpm.unique_list),
    "Base Year Financial Exposure" &amp; IF(_xlpm.currency_text = "", "", " (" &amp; _xlpm.currency_text &amp; ")")
)</f>
        <v>Base Year Financial Exposure</v>
      </c>
      <c r="L11" s="467" t="s">
        <v>740</v>
      </c>
      <c r="M11" s="467" t="s">
        <v>628</v>
      </c>
      <c r="N11" s="466" t="s">
        <v>629</v>
      </c>
      <c r="O11" s="466" t="s">
        <v>630</v>
      </c>
      <c r="P11" s="466" t="s">
        <v>631</v>
      </c>
      <c r="Q11" s="466" t="s">
        <v>492</v>
      </c>
      <c r="R11" s="466" t="s">
        <v>632</v>
      </c>
      <c r="S11" s="466" t="str" cm="1">
        <f t="array" ref="S11">_xlfn.LET(
    _xlpm.raw_list, _xlfn.VSTACK($F13, $F15, $F17),
    _xlpm.valid_list, _xlfn._xlws.FILTER(_xlpm.raw_list, (_xlpm.raw_list&lt;&gt;"") * (_xlpm.raw_list&lt;&gt;0) * (_xlpm.raw_list&lt;&gt;"Unspecified Currency"), ""),
    _xlpm.unique_list, _xlfn.UNIQUE(_xlpm.valid_list),
    _xlpm.currency_text, _xlfn.TEXTJOIN(", ", TRUE, _xlpm.unique_list),
    "Proposed Target Year Financial Exposure" &amp; IF(_xlpm.currency_text = "", "", " (" &amp; _xlpm.currency_text &amp; ")")
)</f>
        <v>Proposed Target Year Financial Exposure</v>
      </c>
      <c r="T11" s="466" t="s">
        <v>484</v>
      </c>
    </row>
    <row r="12" spans="1:20" s="148" customFormat="1">
      <c r="C12" s="506" t="str">
        <f>'Sector Target-Setting Tool'!$C11&amp;" | i. Phaseout Target Option 1a (OECD or Global)"</f>
        <v>Coal | i. Phaseout Target Option 1a (OECD or Global)</v>
      </c>
      <c r="D12" s="507" t="str">
        <f>'Sector Target-Setting Tool'!$D16</f>
        <v>Phaseout target-FINZ.1a</v>
      </c>
      <c r="E12" s="507" t="str">
        <f>'Sector Target-Setting Tool'!$D17</f>
        <v>Absolute Emissions</v>
      </c>
      <c r="F12" s="507" t="str">
        <f>'Sector Target-Setting Tool'!$D18</f>
        <v>tCO2e</v>
      </c>
      <c r="G12" s="507">
        <f>'Sector Target-Setting Tool'!$D20</f>
        <v>0</v>
      </c>
      <c r="H12" s="507" t="s">
        <v>633</v>
      </c>
      <c r="I12" s="508">
        <f>'Sector Target-Setting Tool'!$D21</f>
        <v>0</v>
      </c>
      <c r="J12" s="509">
        <f>'Sector Target-Setting Tool'!$D19</f>
        <v>0</v>
      </c>
      <c r="K12" s="509" t="s">
        <v>633</v>
      </c>
      <c r="L12" s="507" t="s">
        <v>633</v>
      </c>
      <c r="M12" s="507">
        <f>'Sector Target-Setting Tool'!$D22</f>
        <v>0</v>
      </c>
      <c r="N12" s="510">
        <v>1</v>
      </c>
      <c r="O12" s="507" t="s">
        <v>633</v>
      </c>
      <c r="P12" s="510">
        <f>'Sector Target-Setting Tool'!$D24</f>
        <v>0</v>
      </c>
      <c r="Q12" s="507" t="s">
        <v>633</v>
      </c>
      <c r="R12" s="508">
        <f>$J12*(1-$P12)</f>
        <v>0</v>
      </c>
      <c r="S12" s="507" t="s">
        <v>633</v>
      </c>
      <c r="T12" s="511" t="str">
        <f>'Sector Target-Setting Tool'!$D25</f>
        <v/>
      </c>
    </row>
    <row r="13" spans="1:20" s="148" customFormat="1">
      <c r="C13" s="512" t="str">
        <f>'Sector Target-Setting Tool'!$C11&amp;" | i. Phaseout Target Option 1b (OECD or Global)"</f>
        <v>Coal | i. Phaseout Target Option 1b (OECD or Global)</v>
      </c>
      <c r="D13" s="496" t="str">
        <f>'Sector Target-Setting Tool'!$D29</f>
        <v>Phaseout target-FINZ.1b</v>
      </c>
      <c r="E13" s="496" t="str">
        <f>'Sector Target-Setting Tool'!$D30</f>
        <v>Financial Exposure</v>
      </c>
      <c r="F13" s="496" t="str">
        <f>IF('Sector Target-Setting Tool'!$D31="Other", 'Sector Target-Setting Tool'!$D32, IF('Sector Target-Setting Tool'!$D31="", "", 'Sector Target-Setting Tool'!$D31))</f>
        <v/>
      </c>
      <c r="G13" s="496">
        <f>'Sector Target-Setting Tool'!$D35</f>
        <v>0</v>
      </c>
      <c r="H13" s="496" t="s">
        <v>633</v>
      </c>
      <c r="I13" s="497">
        <f>'Sector Target-Setting Tool'!$D36</f>
        <v>0</v>
      </c>
      <c r="J13" s="498" t="s">
        <v>633</v>
      </c>
      <c r="K13" s="498">
        <f>'Sector Target-Setting Tool'!$D34</f>
        <v>0</v>
      </c>
      <c r="L13" s="496" t="s">
        <v>633</v>
      </c>
      <c r="M13" s="496">
        <f>'Sector Target-Setting Tool'!$D37</f>
        <v>0</v>
      </c>
      <c r="N13" s="496" t="s">
        <v>633</v>
      </c>
      <c r="O13" s="499">
        <v>1</v>
      </c>
      <c r="P13" s="496" t="s">
        <v>633</v>
      </c>
      <c r="Q13" s="499">
        <f>'Sector Target-Setting Tool'!$D39</f>
        <v>0</v>
      </c>
      <c r="R13" s="496" t="s">
        <v>633</v>
      </c>
      <c r="S13" s="497">
        <f>$K13*(1-$Q13)</f>
        <v>0</v>
      </c>
      <c r="T13" s="513" t="str">
        <f>'Sector Target-Setting Tool'!$D40</f>
        <v/>
      </c>
    </row>
    <row r="14" spans="1:20" s="148" customFormat="1">
      <c r="C14" s="512" t="str">
        <f>'Sector Target-Setting Tool'!$C11&amp;" | ii. Phaseout Target Option 1a (Non-OECD)"</f>
        <v>Coal | ii. Phaseout Target Option 1a (Non-OECD)</v>
      </c>
      <c r="D14" s="496" t="str">
        <f>'Sector Target-Setting Tool'!$D44</f>
        <v>Phaseout target-FINZ.1a</v>
      </c>
      <c r="E14" s="496" t="str">
        <f>'Sector Target-Setting Tool'!$D45</f>
        <v>Absolute Emissions</v>
      </c>
      <c r="F14" s="496" t="str">
        <f>'Sector Target-Setting Tool'!$D46</f>
        <v>tCO2e</v>
      </c>
      <c r="G14" s="496" t="s">
        <v>494</v>
      </c>
      <c r="H14" s="496" t="s">
        <v>633</v>
      </c>
      <c r="I14" s="497">
        <f>'Sector Target-Setting Tool'!$D49</f>
        <v>0</v>
      </c>
      <c r="J14" s="498">
        <f>'Sector Target-Setting Tool'!$D47</f>
        <v>0</v>
      </c>
      <c r="K14" s="498" t="s">
        <v>633</v>
      </c>
      <c r="L14" s="496">
        <f>'Sector Target-Setting Tool'!$D79</f>
        <v>0</v>
      </c>
      <c r="M14" s="496">
        <f>'Sector Target-Setting Tool'!$D50</f>
        <v>0</v>
      </c>
      <c r="N14" s="499">
        <v>1</v>
      </c>
      <c r="O14" s="496" t="s">
        <v>633</v>
      </c>
      <c r="P14" s="499">
        <f>'Sector Target-Setting Tool'!$D52</f>
        <v>0</v>
      </c>
      <c r="Q14" s="496" t="s">
        <v>633</v>
      </c>
      <c r="R14" s="497">
        <f>$J14*(1-$P14)</f>
        <v>0</v>
      </c>
      <c r="S14" s="496" t="s">
        <v>633</v>
      </c>
      <c r="T14" s="513" t="str">
        <f>'Sector Target-Setting Tool'!$D53</f>
        <v/>
      </c>
    </row>
    <row r="15" spans="1:20" s="148" customFormat="1">
      <c r="C15" s="512" t="str">
        <f>'Sector Target-Setting Tool'!$C11&amp;" | ii. Phaseout Target Option 1b (Non-OECD)"</f>
        <v>Coal | ii. Phaseout Target Option 1b (Non-OECD)</v>
      </c>
      <c r="D15" s="496" t="str">
        <f>'Sector Target-Setting Tool'!$D58</f>
        <v>Phaseout target-FINZ.1b</v>
      </c>
      <c r="E15" s="496" t="str">
        <f>'Sector Target-Setting Tool'!$D59</f>
        <v>Financial Exposure</v>
      </c>
      <c r="F15" s="496" t="str">
        <f>IF('Sector Target-Setting Tool'!$D60="Other", 'Sector Target-Setting Tool'!$D61, IF('Sector Target-Setting Tool'!$D60="", "", 'Sector Target-Setting Tool'!$D60))</f>
        <v/>
      </c>
      <c r="G15" s="496" t="s">
        <v>494</v>
      </c>
      <c r="H15" s="496" t="s">
        <v>633</v>
      </c>
      <c r="I15" s="497">
        <f>'Sector Target-Setting Tool'!$D65</f>
        <v>0</v>
      </c>
      <c r="J15" s="498" t="s">
        <v>633</v>
      </c>
      <c r="K15" s="498">
        <f>'Sector Target-Setting Tool'!$D63</f>
        <v>0</v>
      </c>
      <c r="L15" s="496">
        <f>'Sector Target-Setting Tool'!$D95</f>
        <v>0</v>
      </c>
      <c r="M15" s="496">
        <f>'Sector Target-Setting Tool'!$D66</f>
        <v>0</v>
      </c>
      <c r="N15" s="496" t="s">
        <v>633</v>
      </c>
      <c r="O15" s="499">
        <v>1</v>
      </c>
      <c r="P15" s="496" t="s">
        <v>633</v>
      </c>
      <c r="Q15" s="499">
        <f>'Sector Target-Setting Tool'!$D68</f>
        <v>0</v>
      </c>
      <c r="R15" s="496" t="s">
        <v>633</v>
      </c>
      <c r="S15" s="497">
        <f>$K15*(1-$Q15)</f>
        <v>0</v>
      </c>
      <c r="T15" s="513" t="str">
        <f>'Sector Target-Setting Tool'!$D69</f>
        <v/>
      </c>
    </row>
    <row r="16" spans="1:20" s="148" customFormat="1">
      <c r="C16" s="514" t="s">
        <v>634</v>
      </c>
      <c r="D16" s="500" t="str">
        <f>'Sector Target-Setting Tool'!D73</f>
        <v>Sector metric-FINZ.1a</v>
      </c>
      <c r="E16" s="496" t="str">
        <f>'Sector Target-Setting Tool'!$D74</f>
        <v>Absolute Emissions</v>
      </c>
      <c r="F16" s="496" t="str">
        <f>'Sector Target-Setting Tool'!$D76</f>
        <v>tCO2e</v>
      </c>
      <c r="G16" s="496" t="s">
        <v>494</v>
      </c>
      <c r="H16" s="500" t="s">
        <v>633</v>
      </c>
      <c r="I16" s="497">
        <f>'Sector Target-Setting Tool'!$D77</f>
        <v>0</v>
      </c>
      <c r="J16" s="501">
        <f>'Sector Target-Setting Tool'!$D78</f>
        <v>0</v>
      </c>
      <c r="K16" s="501" t="s">
        <v>635</v>
      </c>
      <c r="L16" s="502">
        <f>'Sector Target-Setting Tool'!$D79</f>
        <v>0</v>
      </c>
      <c r="M16" s="500">
        <f>'Sector Target-Setting Tool'!$D50</f>
        <v>0</v>
      </c>
      <c r="N16" s="503" t="str">
        <f>'Sector Target-Setting Tool'!D80</f>
        <v/>
      </c>
      <c r="O16" s="500" t="s">
        <v>633</v>
      </c>
      <c r="P16" s="504">
        <f>'Sector Target-Setting Tool'!$D81</f>
        <v>0</v>
      </c>
      <c r="Q16" s="500" t="s">
        <v>633</v>
      </c>
      <c r="R16" s="505" t="str">
        <f>'Sector Target-Setting Tool'!$D82</f>
        <v/>
      </c>
      <c r="S16" s="500" t="s">
        <v>633</v>
      </c>
      <c r="T16" s="515" t="str">
        <f>'Sector Target-Setting Tool'!$D83</f>
        <v/>
      </c>
    </row>
    <row r="17" spans="2:20" s="148" customFormat="1" ht="17" thickBot="1">
      <c r="C17" s="516" t="s">
        <v>636</v>
      </c>
      <c r="D17" s="517" t="str">
        <f>'Sector Target-Setting Tool'!D87</f>
        <v>Sector metric-FINZ.1b</v>
      </c>
      <c r="E17" s="518" t="str">
        <f>'Sector Target-Setting Tool'!$D88</f>
        <v>Financial Exposure</v>
      </c>
      <c r="F17" s="518">
        <f>'Sector Target-Setting Tool'!$D91</f>
        <v>0</v>
      </c>
      <c r="G17" s="518" t="s">
        <v>494</v>
      </c>
      <c r="H17" s="517" t="s">
        <v>633</v>
      </c>
      <c r="I17" s="519">
        <f>'Sector Target-Setting Tool'!$D93</f>
        <v>0</v>
      </c>
      <c r="J17" s="520" t="s">
        <v>635</v>
      </c>
      <c r="K17" s="520">
        <f>'Sector Target-Setting Tool'!$D94</f>
        <v>0</v>
      </c>
      <c r="L17" s="521">
        <f>'Sector Target-Setting Tool'!$D95</f>
        <v>0</v>
      </c>
      <c r="M17" s="517">
        <f>'Sector Target-Setting Tool'!$D66</f>
        <v>0</v>
      </c>
      <c r="N17" s="517" t="s">
        <v>633</v>
      </c>
      <c r="O17" s="522" t="str">
        <f>'Sector Target-Setting Tool'!$D96</f>
        <v/>
      </c>
      <c r="P17" s="517" t="s">
        <v>633</v>
      </c>
      <c r="Q17" s="523">
        <f>'Sector Target-Setting Tool'!$D97</f>
        <v>0</v>
      </c>
      <c r="R17" s="517" t="s">
        <v>633</v>
      </c>
      <c r="S17" s="524" t="str">
        <f>'Sector Target-Setting Tool'!$D98</f>
        <v/>
      </c>
      <c r="T17" s="525" t="str">
        <f>'Sector Target-Setting Tool'!$D99</f>
        <v/>
      </c>
    </row>
    <row r="18" spans="2:20" ht="30">
      <c r="C18" s="146"/>
    </row>
    <row r="19" spans="2:20" ht="30">
      <c r="B19" s="149" t="s">
        <v>507</v>
      </c>
      <c r="C19" s="1030" t="s">
        <v>637</v>
      </c>
      <c r="D19" s="1030"/>
      <c r="E19" s="565"/>
      <c r="F19" s="158"/>
      <c r="G19" s="158"/>
      <c r="H19" s="159"/>
      <c r="I19" s="159"/>
      <c r="J19" s="159"/>
      <c r="K19" s="159"/>
      <c r="L19" s="159"/>
      <c r="M19" s="159"/>
      <c r="N19" s="158"/>
      <c r="O19" s="160"/>
    </row>
    <row r="20" spans="2:20" s="161" customFormat="1">
      <c r="B20" s="162"/>
      <c r="C20" s="163"/>
      <c r="D20" s="163"/>
      <c r="E20" s="163"/>
      <c r="F20" s="163"/>
      <c r="G20" s="163"/>
      <c r="H20" s="164"/>
      <c r="I20" s="164"/>
      <c r="J20" s="164"/>
      <c r="K20" s="164"/>
      <c r="L20" s="164"/>
      <c r="M20" s="164"/>
      <c r="N20" s="163"/>
    </row>
    <row r="21" spans="2:20" s="165" customFormat="1" ht="76.25" customHeight="1">
      <c r="C21" s="150" t="s">
        <v>627</v>
      </c>
      <c r="D21" s="150" t="s">
        <v>595</v>
      </c>
      <c r="E21" s="151" t="s">
        <v>470</v>
      </c>
      <c r="F21" s="151" t="s">
        <v>472</v>
      </c>
      <c r="G21" s="151" t="s">
        <v>510</v>
      </c>
      <c r="H21" s="151" t="s">
        <v>477</v>
      </c>
      <c r="I21" s="151" t="s">
        <v>473</v>
      </c>
      <c r="J21" s="151" t="s">
        <v>479</v>
      </c>
      <c r="K21" s="151" t="s">
        <v>638</v>
      </c>
      <c r="L21" s="151" t="s">
        <v>502</v>
      </c>
      <c r="M21" s="151" t="s">
        <v>482</v>
      </c>
      <c r="N21" s="151" t="s">
        <v>484</v>
      </c>
    </row>
    <row r="22" spans="2:20">
      <c r="C22" s="566" t="str">
        <f>'Sector Target-Setting Tool'!$C101</f>
        <v>Oil and Gas</v>
      </c>
      <c r="D22" s="152" t="str">
        <f>'Sector Target-Setting Tool'!$D103</f>
        <v>Sector metric-FINZ.2</v>
      </c>
      <c r="E22" s="152" t="str">
        <f>'Sector Target-Setting Tool'!$D104</f>
        <v>Absolute Emissions</v>
      </c>
      <c r="F22" s="152" t="str">
        <f>'Sector Target-Setting Tool'!$D105</f>
        <v>tCO2e</v>
      </c>
      <c r="G22" s="152" t="str">
        <f>'Sector Target-Setting Tool'!$D106</f>
        <v>IEA NZE (2023)</v>
      </c>
      <c r="H22" s="153">
        <f>'Sector Target-Setting Tool'!$D107</f>
        <v>0</v>
      </c>
      <c r="I22" s="568">
        <f>'Sector Target-Setting Tool'!$D108</f>
        <v>0</v>
      </c>
      <c r="J22" s="153">
        <f>'Sector Target-Setting Tool'!$D109</f>
        <v>0</v>
      </c>
      <c r="K22" s="568" t="str">
        <f>'Sector Target-Setting Tool'!$D110</f>
        <v/>
      </c>
      <c r="L22" s="568">
        <f>'Sector Target-Setting Tool'!$D111</f>
        <v>0</v>
      </c>
      <c r="M22" s="568" t="str">
        <f>'Sector Target-Setting Tool'!$D112</f>
        <v/>
      </c>
      <c r="N22" s="154" t="str">
        <f>'Sector Target-Setting Tool'!$D113</f>
        <v/>
      </c>
    </row>
    <row r="23" spans="2:20" ht="30">
      <c r="C23" s="146"/>
      <c r="D23" s="146"/>
    </row>
    <row r="24" spans="2:20" ht="30">
      <c r="B24" s="149" t="s">
        <v>512</v>
      </c>
      <c r="C24" s="1029" t="s">
        <v>639</v>
      </c>
      <c r="D24" s="1029"/>
      <c r="E24" s="565"/>
      <c r="F24" s="166"/>
      <c r="G24" s="166"/>
      <c r="H24" s="167"/>
      <c r="I24" s="167"/>
      <c r="J24" s="167"/>
      <c r="K24" s="167"/>
      <c r="L24" s="167"/>
      <c r="M24" s="167"/>
      <c r="N24" s="167"/>
      <c r="O24" s="167"/>
      <c r="P24" s="167"/>
      <c r="Q24" s="166"/>
    </row>
    <row r="25" spans="2:20">
      <c r="B25" s="168"/>
      <c r="C25" s="169"/>
      <c r="D25" s="169"/>
      <c r="E25" s="170"/>
      <c r="F25" s="170"/>
      <c r="G25" s="170"/>
      <c r="H25" s="171"/>
      <c r="I25" s="171"/>
      <c r="J25" s="171"/>
      <c r="K25" s="171"/>
      <c r="L25" s="171"/>
      <c r="M25" s="171"/>
      <c r="N25" s="171"/>
      <c r="O25" s="171"/>
      <c r="P25" s="171"/>
      <c r="Q25" s="170"/>
    </row>
    <row r="26" spans="2:20" s="165" customFormat="1" ht="76.25" customHeight="1">
      <c r="C26" s="151" t="s">
        <v>627</v>
      </c>
      <c r="D26" s="151" t="s">
        <v>595</v>
      </c>
      <c r="E26" s="151" t="s">
        <v>470</v>
      </c>
      <c r="F26" s="151" t="s">
        <v>472</v>
      </c>
      <c r="G26" s="151" t="s">
        <v>510</v>
      </c>
      <c r="H26" s="151" t="s">
        <v>477</v>
      </c>
      <c r="I26" s="151" t="s">
        <v>473</v>
      </c>
      <c r="J26" s="151" t="s">
        <v>640</v>
      </c>
      <c r="K26" s="151" t="s">
        <v>641</v>
      </c>
      <c r="L26" s="151" t="s">
        <v>642</v>
      </c>
      <c r="M26" s="151" t="s">
        <v>643</v>
      </c>
      <c r="N26" s="151" t="s">
        <v>522</v>
      </c>
      <c r="O26" s="151" t="s">
        <v>479</v>
      </c>
      <c r="P26" s="151" t="s">
        <v>644</v>
      </c>
      <c r="Q26" s="151" t="s">
        <v>645</v>
      </c>
      <c r="R26" s="151" t="s">
        <v>646</v>
      </c>
      <c r="S26" s="151" t="s">
        <v>484</v>
      </c>
    </row>
    <row r="27" spans="2:20" ht="17">
      <c r="C27" s="172" t="str">
        <f>'Sector Target-Setting Tool'!$C115</f>
        <v>Power Generation</v>
      </c>
      <c r="D27" s="152" t="str">
        <f>'Sector Target-Setting Tool'!$D119</f>
        <v>Sector metric-FINZ.3a</v>
      </c>
      <c r="E27" s="152" t="str">
        <f>'Sector Target-Setting Tool'!$D120</f>
        <v>Emissions Intensity</v>
      </c>
      <c r="F27" s="152" t="str">
        <f>'Sector Target-Setting Tool'!$D121</f>
        <v>tCO2e/MWh</v>
      </c>
      <c r="G27" s="152" t="str">
        <f>'Sector Target-Setting Tool'!$D122</f>
        <v>SBTi Power Sector Pathway Envelope</v>
      </c>
      <c r="H27" s="153">
        <f>'Sector Target-Setting Tool'!$D123</f>
        <v>0</v>
      </c>
      <c r="I27" s="568">
        <f>'Sector Target-Setting Tool'!$D124</f>
        <v>0</v>
      </c>
      <c r="J27" s="173" t="str">
        <f>TEXT('Sector Target-Setting Tool'!$D125,"0,00")&amp;" MWh"</f>
        <v>000 MWh</v>
      </c>
      <c r="K27" s="173" t="s">
        <v>633</v>
      </c>
      <c r="L27" s="568" t="str">
        <f>'Sector Target-Setting Tool'!$D126</f>
        <v/>
      </c>
      <c r="M27" s="568" t="str">
        <f>'Sector Target-Setting Tool'!$D127</f>
        <v/>
      </c>
      <c r="N27" s="568" t="str">
        <f>'Sector Target-Setting Tool'!$D128</f>
        <v/>
      </c>
      <c r="O27" s="153">
        <f>'Sector Target-Setting Tool'!$D129</f>
        <v>0</v>
      </c>
      <c r="P27" s="568" t="str">
        <f>'Sector Target-Setting Tool'!$D130</f>
        <v/>
      </c>
      <c r="Q27" s="568">
        <f>'Sector Target-Setting Tool'!$D131</f>
        <v>0</v>
      </c>
      <c r="R27" s="568" t="str">
        <f>'Sector Target-Setting Tool'!$D132</f>
        <v/>
      </c>
      <c r="S27" s="154" t="str">
        <f>'Sector Target-Setting Tool'!$D133</f>
        <v/>
      </c>
    </row>
    <row r="28" spans="2:20" ht="17">
      <c r="C28" s="566" t="str">
        <f>'Sector Target-Setting Tool'!$C153&amp;" | Segmental Breakdown of Business Activity"</f>
        <v>Air Transport | Segmental Breakdown of Business Activity</v>
      </c>
      <c r="D28" s="152" t="str">
        <f>'Sector Target-Setting Tool'!$D158</f>
        <v>Sector metric-FINZ.4</v>
      </c>
      <c r="E28" s="152" t="str">
        <f>'Sector Target-Setting Tool'!$D159</f>
        <v>Emissions Intensity</v>
      </c>
      <c r="F28" s="152" t="str">
        <f>'Sector Target-Setting Tool'!$D160</f>
        <v>gCO2e/RTK</v>
      </c>
      <c r="G28" s="152" t="str">
        <f>'Sector Target-Setting Tool'!$D161</f>
        <v>SBTi 1.5˚C (IEA SDS and ICCT Breakthrough scenario)</v>
      </c>
      <c r="H28" s="153">
        <f>'Sector Target-Setting Tool'!$D162</f>
        <v>0</v>
      </c>
      <c r="I28" s="568" t="str">
        <f>'Sector Target-Setting Tool'!$D172</f>
        <v/>
      </c>
      <c r="J28" s="173" t="str">
        <f>TEXT('Sector Target-Setting Tool'!$D173,"0,00")&amp;" RTK"</f>
        <v xml:space="preserve"> RTK</v>
      </c>
      <c r="K28" s="173" t="s">
        <v>633</v>
      </c>
      <c r="L28" s="568" t="str">
        <f>'Sector Target-Setting Tool'!$D174</f>
        <v/>
      </c>
      <c r="M28" s="568" t="str">
        <f>'Sector Target-Setting Tool'!$D175</f>
        <v/>
      </c>
      <c r="N28" s="568" t="str">
        <f>'Sector Target-Setting Tool'!$D176</f>
        <v/>
      </c>
      <c r="O28" s="153">
        <f>'Sector Target-Setting Tool'!$D177</f>
        <v>0</v>
      </c>
      <c r="P28" s="568" t="str">
        <f>'Sector Target-Setting Tool'!$D178</f>
        <v/>
      </c>
      <c r="Q28" s="568">
        <f>'Sector Target-Setting Tool'!$D179</f>
        <v>0</v>
      </c>
      <c r="R28" s="568" t="str">
        <f>'Sector Target-Setting Tool'!$D180</f>
        <v/>
      </c>
      <c r="S28" s="174" t="str">
        <f>'Sector Target-Setting Tool'!$D181</f>
        <v/>
      </c>
    </row>
    <row r="29" spans="2:20" ht="17">
      <c r="C29" s="566" t="str">
        <f>'Sector Target-Setting Tool'!$C153&amp;" | Overall Business Activity"</f>
        <v>Air Transport | Overall Business Activity</v>
      </c>
      <c r="D29" s="152" t="str">
        <f>'Sector Target-Setting Tool'!$D185</f>
        <v>Sector metric-FINZ.4</v>
      </c>
      <c r="E29" s="152" t="str">
        <f>'Sector Target-Setting Tool'!$D186</f>
        <v>Emissions Intensity</v>
      </c>
      <c r="F29" s="152" t="str">
        <f>'Sector Target-Setting Tool'!$D187</f>
        <v>gCO2e/RTK</v>
      </c>
      <c r="G29" s="152" t="str">
        <f>'Sector Target-Setting Tool'!$D188</f>
        <v>SBTi 1.5˚C (IEA SDS and ICCT Breakthrough scenario)</v>
      </c>
      <c r="H29" s="153">
        <f>'Sector Target-Setting Tool'!$D189</f>
        <v>0</v>
      </c>
      <c r="I29" s="568">
        <f>'Sector Target-Setting Tool'!$D191</f>
        <v>0</v>
      </c>
      <c r="J29" s="173" t="str">
        <f>TEXT('Sector Target-Setting Tool'!$D192,"0,00")&amp;" RTK"</f>
        <v>000 RTK</v>
      </c>
      <c r="K29" s="173" t="s">
        <v>633</v>
      </c>
      <c r="L29" s="568" t="str">
        <f>'Sector Target-Setting Tool'!$D194</f>
        <v/>
      </c>
      <c r="M29" s="568" t="str">
        <f>'Sector Target-Setting Tool'!$D195</f>
        <v/>
      </c>
      <c r="N29" s="568" t="str">
        <f>'Sector Target-Setting Tool'!$D196</f>
        <v/>
      </c>
      <c r="O29" s="153">
        <f>'Sector Target-Setting Tool'!$D197</f>
        <v>0</v>
      </c>
      <c r="P29" s="568" t="str">
        <f>'Sector Target-Setting Tool'!$D198</f>
        <v/>
      </c>
      <c r="Q29" s="568">
        <f>'Sector Target-Setting Tool'!$D199</f>
        <v>0</v>
      </c>
      <c r="R29" s="568" t="str">
        <f>'Sector Target-Setting Tool'!$D200</f>
        <v/>
      </c>
      <c r="S29" s="174" t="str">
        <f>'Sector Target-Setting Tool'!$D201</f>
        <v/>
      </c>
    </row>
    <row r="30" spans="2:20" ht="17">
      <c r="C30" s="566" t="str">
        <f>'Sector Target-Setting Tool'!$C206</f>
        <v>Automotive</v>
      </c>
      <c r="D30" s="152" t="str">
        <f>'Sector Target-Setting Tool'!$D210</f>
        <v>Sector metric-FINZ.6a</v>
      </c>
      <c r="E30" s="152" t="str">
        <f>'Sector Target-Setting Tool'!$D211</f>
        <v>Emissions Intensity</v>
      </c>
      <c r="F30" s="152" t="str">
        <f>'Sector Target-Setting Tool'!$D212</f>
        <v>tCO2e/v.km</v>
      </c>
      <c r="G30" s="152" t="str">
        <f>'Sector Target-Setting Tool'!$D213</f>
        <v>IEA NZE (2023)</v>
      </c>
      <c r="H30" s="153">
        <f>'Sector Target-Setting Tool'!$D214</f>
        <v>0</v>
      </c>
      <c r="I30" s="568">
        <f>'Sector Target-Setting Tool'!$D215</f>
        <v>0</v>
      </c>
      <c r="J30" s="173" t="str">
        <f>TEXT('Sector Target-Setting Tool'!$D216,"0,00")&amp;" v.km"</f>
        <v>000 v.km</v>
      </c>
      <c r="K30" s="173" t="s">
        <v>633</v>
      </c>
      <c r="L30" s="568" t="str">
        <f>'Sector Target-Setting Tool'!$D217</f>
        <v/>
      </c>
      <c r="M30" s="568" t="str">
        <f>'Sector Target-Setting Tool'!$D218</f>
        <v/>
      </c>
      <c r="N30" s="568" t="str">
        <f>'Sector Target-Setting Tool'!$D219</f>
        <v/>
      </c>
      <c r="O30" s="153">
        <f>'Sector Target-Setting Tool'!$D220</f>
        <v>0</v>
      </c>
      <c r="P30" s="568" t="str">
        <f>'Sector Target-Setting Tool'!$D221</f>
        <v/>
      </c>
      <c r="Q30" s="568">
        <f>'Sector Target-Setting Tool'!$D222</f>
        <v>0</v>
      </c>
      <c r="R30" s="568" t="str">
        <f>'Sector Target-Setting Tool'!$D223</f>
        <v/>
      </c>
      <c r="S30" s="154" t="str">
        <f>'Sector Target-Setting Tool'!$D224</f>
        <v/>
      </c>
    </row>
    <row r="31" spans="2:20" ht="17">
      <c r="C31" s="566" t="str">
        <f>'Sector Target-Setting Tool'!$C244</f>
        <v>Cement</v>
      </c>
      <c r="D31" s="152" t="str">
        <f>'Sector Target-Setting Tool'!$D246</f>
        <v>Sector metric-FINZ.7</v>
      </c>
      <c r="E31" s="152" t="str">
        <f>'Sector Target-Setting Tool'!$D247</f>
        <v>Emissions Intensity</v>
      </c>
      <c r="F31" s="152" t="str">
        <f>'Sector Target-Setting Tool'!$D248</f>
        <v>tCO2e/t Cement</v>
      </c>
      <c r="G31" s="152" t="str">
        <f>'Sector Target-Setting Tool'!$D249</f>
        <v>IEA NZE (2021)</v>
      </c>
      <c r="H31" s="153">
        <f>'Sector Target-Setting Tool'!$D250</f>
        <v>0</v>
      </c>
      <c r="I31" s="568">
        <f>'Sector Target-Setting Tool'!$D251</f>
        <v>0</v>
      </c>
      <c r="J31" s="173" t="str">
        <f>TEXT('Sector Target-Setting Tool'!$D252,"0,00")&amp;" t Cement"</f>
        <v>000 t Cement</v>
      </c>
      <c r="K31" s="173" t="s">
        <v>633</v>
      </c>
      <c r="L31" s="568" t="str">
        <f>'Sector Target-Setting Tool'!$D253</f>
        <v/>
      </c>
      <c r="M31" s="568" t="str">
        <f>'Sector Target-Setting Tool'!$D254</f>
        <v/>
      </c>
      <c r="N31" s="568" t="str">
        <f>'Sector Target-Setting Tool'!$D255</f>
        <v/>
      </c>
      <c r="O31" s="153">
        <f>'Sector Target-Setting Tool'!$D256</f>
        <v>0</v>
      </c>
      <c r="P31" s="568" t="str">
        <f>'Sector Target-Setting Tool'!$D257</f>
        <v/>
      </c>
      <c r="Q31" s="568">
        <f>'Sector Target-Setting Tool'!$D258</f>
        <v>0</v>
      </c>
      <c r="R31" s="568" t="str">
        <f>'Sector Target-Setting Tool'!$D259</f>
        <v/>
      </c>
      <c r="S31" s="154" t="str">
        <f>'Sector Target-Setting Tool'!$D260</f>
        <v/>
      </c>
    </row>
    <row r="32" spans="2:20" ht="17">
      <c r="C32" s="566" t="str">
        <f>'Sector Target-Setting Tool'!$C262</f>
        <v>Steel Production</v>
      </c>
      <c r="D32" s="152" t="str">
        <f>'Sector Target-Setting Tool'!$D264</f>
        <v>Sector metric-FINZ.8</v>
      </c>
      <c r="E32" s="152" t="str">
        <f>'Sector Target-Setting Tool'!$D265</f>
        <v>Emissions Intensity</v>
      </c>
      <c r="F32" s="152" t="str">
        <f>'Sector Target-Setting Tool'!$D266</f>
        <v>tCO2e/t Hot Rolled Steel</v>
      </c>
      <c r="G32" s="152" t="str">
        <f>'Sector Target-Setting Tool'!$D267</f>
        <v>IEA NZE (2021)</v>
      </c>
      <c r="H32" s="153">
        <f>'Sector Target-Setting Tool'!$D268</f>
        <v>0</v>
      </c>
      <c r="I32" s="568">
        <f>'Sector Target-Setting Tool'!$D269</f>
        <v>0</v>
      </c>
      <c r="J32" s="173" t="str">
        <f>TEXT('Sector Target-Setting Tool'!$D270,"0,00")&amp;" t Hot Rolled Steel"</f>
        <v>000 t Hot Rolled Steel</v>
      </c>
      <c r="K32" s="175" t="str">
        <f>IF('Sector Target-Setting Tool'!$D271&gt;0,'Sector Target-Setting Tool'!$D271,"Not Applicable")</f>
        <v>Not Applicable</v>
      </c>
      <c r="L32" s="568" t="str">
        <f>'Sector Target-Setting Tool'!$D272</f>
        <v/>
      </c>
      <c r="M32" s="568" t="str">
        <f>'Sector Target-Setting Tool'!$D273</f>
        <v/>
      </c>
      <c r="N32" s="568" t="str">
        <f>'Sector Target-Setting Tool'!$D274</f>
        <v/>
      </c>
      <c r="O32" s="153">
        <f>'Sector Target-Setting Tool'!$D275</f>
        <v>0</v>
      </c>
      <c r="P32" s="568" t="str">
        <f>'Sector Target-Setting Tool'!$D276</f>
        <v/>
      </c>
      <c r="Q32" s="568">
        <f>'Sector Target-Setting Tool'!$D277</f>
        <v>0</v>
      </c>
      <c r="R32" s="568" t="str">
        <f>'Sector Target-Setting Tool'!$D278</f>
        <v/>
      </c>
      <c r="S32" s="154" t="str">
        <f>'Sector Target-Setting Tool'!$D279</f>
        <v/>
      </c>
    </row>
    <row r="33" spans="3:19" ht="17">
      <c r="C33" s="566" t="str">
        <f>'Sector Target-Setting Tool'!$C284&amp;" | "&amp;'Sector Target-Setting Tool'!$C287</f>
        <v>FLAG | Beef</v>
      </c>
      <c r="D33" s="152" t="str">
        <f>'Sector Target-Setting Tool'!$D289</f>
        <v>Sector metric-FINZ.10</v>
      </c>
      <c r="E33" s="152" t="str">
        <f>'Sector Target-Setting Tool'!$D290</f>
        <v>Emissions Intensity</v>
      </c>
      <c r="F33" s="152" t="str">
        <f>'Sector Target-Setting Tool'!$D291</f>
        <v>tCO2e/t Fresh Weight</v>
      </c>
      <c r="G33" s="152" t="str">
        <f>'Sector Target-Setting Tool'!$D292</f>
        <v>SBTi Pathway</v>
      </c>
      <c r="H33" s="153">
        <f>'Sector Target-Setting Tool'!$D293</f>
        <v>0</v>
      </c>
      <c r="I33" s="568">
        <f>'Sector Target-Setting Tool'!$D294</f>
        <v>0</v>
      </c>
      <c r="J33" s="173" t="str">
        <f>TEXT('Sector Target-Setting Tool'!$D295,"0,00")&amp;" t Fresh Weight"</f>
        <v>000 t Fresh Weight</v>
      </c>
      <c r="K33" s="173" t="s">
        <v>633</v>
      </c>
      <c r="L33" s="568" t="str">
        <f>'Sector Target-Setting Tool'!$D296</f>
        <v/>
      </c>
      <c r="M33" s="568" t="str">
        <f>'Sector Target-Setting Tool'!$D297</f>
        <v/>
      </c>
      <c r="N33" s="568" t="str">
        <f>'Sector Target-Setting Tool'!$D298</f>
        <v/>
      </c>
      <c r="O33" s="153">
        <f>'Sector Target-Setting Tool'!$D299</f>
        <v>0</v>
      </c>
      <c r="P33" s="568" t="str">
        <f>'Sector Target-Setting Tool'!$D300</f>
        <v/>
      </c>
      <c r="Q33" s="568">
        <f>'Sector Target-Setting Tool'!$D301</f>
        <v>0</v>
      </c>
      <c r="R33" s="568" t="str">
        <f>'Sector Target-Setting Tool'!$D302</f>
        <v/>
      </c>
      <c r="S33" s="154" t="str">
        <f>'Sector Target-Setting Tool'!$D303</f>
        <v/>
      </c>
    </row>
    <row r="34" spans="3:19" ht="17">
      <c r="C34" s="566" t="str">
        <f>'Sector Target-Setting Tool'!$C284&amp;" | "&amp;'Sector Target-Setting Tool'!$C305</f>
        <v>FLAG | Chicken</v>
      </c>
      <c r="D34" s="152" t="str">
        <f>'Sector Target-Setting Tool'!$D307</f>
        <v>Sector metric-FINZ.10</v>
      </c>
      <c r="E34" s="152" t="str">
        <f>'Sector Target-Setting Tool'!$D308</f>
        <v>Emissions Intensity</v>
      </c>
      <c r="F34" s="152" t="str">
        <f>'Sector Target-Setting Tool'!$D309</f>
        <v>tCO2e/t Fresh Weight</v>
      </c>
      <c r="G34" s="152" t="str">
        <f>'Sector Target-Setting Tool'!$D310</f>
        <v>SBTi Pathway</v>
      </c>
      <c r="H34" s="153">
        <f>'Sector Target-Setting Tool'!$D311</f>
        <v>0</v>
      </c>
      <c r="I34" s="568">
        <f>'Sector Target-Setting Tool'!$D312</f>
        <v>0</v>
      </c>
      <c r="J34" s="173" t="str">
        <f>TEXT('Sector Target-Setting Tool'!$D313,"0,00")&amp;" t Fresh Weight"</f>
        <v>000 t Fresh Weight</v>
      </c>
      <c r="K34" s="173" t="s">
        <v>633</v>
      </c>
      <c r="L34" s="568" t="str">
        <f>'Sector Target-Setting Tool'!$D314</f>
        <v/>
      </c>
      <c r="M34" s="568" t="str">
        <f>'Sector Target-Setting Tool'!$D315</f>
        <v/>
      </c>
      <c r="N34" s="568" t="str">
        <f>'Sector Target-Setting Tool'!$D316</f>
        <v/>
      </c>
      <c r="O34" s="153">
        <f>'Sector Target-Setting Tool'!$D317</f>
        <v>0</v>
      </c>
      <c r="P34" s="568" t="str">
        <f>'Sector Target-Setting Tool'!$D318</f>
        <v/>
      </c>
      <c r="Q34" s="568">
        <f>'Sector Target-Setting Tool'!$D319</f>
        <v>0</v>
      </c>
      <c r="R34" s="568" t="str">
        <f>'Sector Target-Setting Tool'!$D320</f>
        <v/>
      </c>
      <c r="S34" s="154" t="str">
        <f>'Sector Target-Setting Tool'!$D321</f>
        <v/>
      </c>
    </row>
    <row r="35" spans="3:19" ht="17">
      <c r="C35" s="566" t="str">
        <f>'Sector Target-Setting Tool'!$C284&amp;" | "&amp;'Sector Target-Setting Tool'!$C323</f>
        <v>FLAG | Dairy</v>
      </c>
      <c r="D35" s="152" t="str">
        <f>'Sector Target-Setting Tool'!$D325</f>
        <v>Sector metric-FINZ.10</v>
      </c>
      <c r="E35" s="152" t="str">
        <f>'Sector Target-Setting Tool'!$D326</f>
        <v>Emissions Intensity</v>
      </c>
      <c r="F35" s="152" t="str">
        <f>'Sector Target-Setting Tool'!$D327</f>
        <v>tCO2e/t FPCM</v>
      </c>
      <c r="G35" s="152" t="str">
        <f>'Sector Target-Setting Tool'!$D328</f>
        <v>SBTi Pathway</v>
      </c>
      <c r="H35" s="153">
        <f>'Sector Target-Setting Tool'!$D329</f>
        <v>0</v>
      </c>
      <c r="I35" s="568">
        <f>'Sector Target-Setting Tool'!$D330</f>
        <v>0</v>
      </c>
      <c r="J35" s="173" t="str">
        <f>TEXT('Sector Target-Setting Tool'!$D331,"0,00")&amp;" t FPCM"</f>
        <v>000 t FPCM</v>
      </c>
      <c r="K35" s="173" t="s">
        <v>633</v>
      </c>
      <c r="L35" s="568" t="str">
        <f>'Sector Target-Setting Tool'!$D332</f>
        <v/>
      </c>
      <c r="M35" s="568" t="str">
        <f>'Sector Target-Setting Tool'!$D333</f>
        <v/>
      </c>
      <c r="N35" s="568" t="str">
        <f>'Sector Target-Setting Tool'!$D334</f>
        <v/>
      </c>
      <c r="O35" s="153">
        <f>'Sector Target-Setting Tool'!$D335</f>
        <v>0</v>
      </c>
      <c r="P35" s="568" t="str">
        <f>'Sector Target-Setting Tool'!$D336</f>
        <v/>
      </c>
      <c r="Q35" s="568">
        <f>'Sector Target-Setting Tool'!$D337</f>
        <v>0</v>
      </c>
      <c r="R35" s="568" t="str">
        <f>'Sector Target-Setting Tool'!$D338</f>
        <v/>
      </c>
      <c r="S35" s="154" t="str">
        <f>'Sector Target-Setting Tool'!$D339</f>
        <v/>
      </c>
    </row>
    <row r="36" spans="3:19" ht="17">
      <c r="C36" s="566" t="str">
        <f>'Sector Target-Setting Tool'!$C284&amp;" | "&amp;'Sector Target-Setting Tool'!$C341</f>
        <v>FLAG | Leather</v>
      </c>
      <c r="D36" s="152" t="str">
        <f>'Sector Target-Setting Tool'!$D343</f>
        <v>Sector metric-FINZ.10</v>
      </c>
      <c r="E36" s="152" t="str">
        <f>'Sector Target-Setting Tool'!$D344</f>
        <v>Emissions Intensity</v>
      </c>
      <c r="F36" s="152" t="str">
        <f>'Sector Target-Setting Tool'!$D345</f>
        <v>tCO2e/t Fresh Weight</v>
      </c>
      <c r="G36" s="152" t="str">
        <f>'Sector Target-Setting Tool'!$D346</f>
        <v>SBTi Pathway</v>
      </c>
      <c r="H36" s="153">
        <f>'Sector Target-Setting Tool'!$D347</f>
        <v>0</v>
      </c>
      <c r="I36" s="568">
        <f>'Sector Target-Setting Tool'!$D348</f>
        <v>0</v>
      </c>
      <c r="J36" s="173" t="str">
        <f>TEXT('Sector Target-Setting Tool'!$D349,"0,00")&amp;" t Fresh Weight"</f>
        <v>000 t Fresh Weight</v>
      </c>
      <c r="K36" s="173" t="s">
        <v>633</v>
      </c>
      <c r="L36" s="568" t="str">
        <f>'Sector Target-Setting Tool'!$D350</f>
        <v/>
      </c>
      <c r="M36" s="568" t="str">
        <f>'Sector Target-Setting Tool'!$D351</f>
        <v/>
      </c>
      <c r="N36" s="568" t="str">
        <f>'Sector Target-Setting Tool'!$D352</f>
        <v/>
      </c>
      <c r="O36" s="153">
        <f>'Sector Target-Setting Tool'!$D353</f>
        <v>0</v>
      </c>
      <c r="P36" s="568" t="str">
        <f>'Sector Target-Setting Tool'!$D354</f>
        <v/>
      </c>
      <c r="Q36" s="568">
        <f>'Sector Target-Setting Tool'!$D355</f>
        <v>0</v>
      </c>
      <c r="R36" s="568" t="str">
        <f>'Sector Target-Setting Tool'!$D356</f>
        <v/>
      </c>
      <c r="S36" s="154" t="str">
        <f>'Sector Target-Setting Tool'!$D357</f>
        <v/>
      </c>
    </row>
    <row r="37" spans="3:19" ht="17">
      <c r="C37" s="566" t="str">
        <f>'Sector Target-Setting Tool'!$C284&amp;" | "&amp;'Sector Target-Setting Tool'!$C359</f>
        <v>FLAG | Maize</v>
      </c>
      <c r="D37" s="152" t="str">
        <f>'Sector Target-Setting Tool'!$D361</f>
        <v>Sector metric-FINZ.10</v>
      </c>
      <c r="E37" s="152" t="str">
        <f>'Sector Target-Setting Tool'!$D362</f>
        <v>Emissions Intensity</v>
      </c>
      <c r="F37" s="152" t="str">
        <f>'Sector Target-Setting Tool'!$D363</f>
        <v>tCO2e/t Fresh Weight</v>
      </c>
      <c r="G37" s="152" t="str">
        <f>'Sector Target-Setting Tool'!$D364</f>
        <v>SBTi Pathway</v>
      </c>
      <c r="H37" s="153">
        <f>'Sector Target-Setting Tool'!$D365</f>
        <v>0</v>
      </c>
      <c r="I37" s="568">
        <f>'Sector Target-Setting Tool'!$D366</f>
        <v>0</v>
      </c>
      <c r="J37" s="173" t="str">
        <f>TEXT('Sector Target-Setting Tool'!$D367,"0,00")&amp;" t Fresh Weight"</f>
        <v>000 t Fresh Weight</v>
      </c>
      <c r="K37" s="173" t="s">
        <v>633</v>
      </c>
      <c r="L37" s="568" t="str">
        <f>'Sector Target-Setting Tool'!$D368</f>
        <v/>
      </c>
      <c r="M37" s="568" t="str">
        <f>'Sector Target-Setting Tool'!$D369</f>
        <v/>
      </c>
      <c r="N37" s="568" t="str">
        <f>'Sector Target-Setting Tool'!$D370</f>
        <v/>
      </c>
      <c r="O37" s="153">
        <f>'Sector Target-Setting Tool'!$D371</f>
        <v>0</v>
      </c>
      <c r="P37" s="568" t="str">
        <f>'Sector Target-Setting Tool'!$D372</f>
        <v/>
      </c>
      <c r="Q37" s="568">
        <f>'Sector Target-Setting Tool'!$D373</f>
        <v>0</v>
      </c>
      <c r="R37" s="568" t="str">
        <f>'Sector Target-Setting Tool'!$D374</f>
        <v/>
      </c>
      <c r="S37" s="154" t="str">
        <f>'Sector Target-Setting Tool'!$D375</f>
        <v/>
      </c>
    </row>
    <row r="38" spans="3:19" ht="17">
      <c r="C38" s="566" t="str">
        <f>'Sector Target-Setting Tool'!$C284&amp;" | "&amp;'Sector Target-Setting Tool'!$C377</f>
        <v>FLAG | Palm Oil</v>
      </c>
      <c r="D38" s="152" t="str">
        <f>'Sector Target-Setting Tool'!$D379</f>
        <v>Sector metric-FINZ.10</v>
      </c>
      <c r="E38" s="152" t="str">
        <f>'Sector Target-Setting Tool'!$D380</f>
        <v>Emissions Intensity</v>
      </c>
      <c r="F38" s="152" t="str">
        <f>'Sector Target-Setting Tool'!$D381</f>
        <v>tCO2e/t Crude Oil</v>
      </c>
      <c r="G38" s="152" t="str">
        <f>'Sector Target-Setting Tool'!$D382</f>
        <v>SBTi Pathway</v>
      </c>
      <c r="H38" s="153">
        <f>'Sector Target-Setting Tool'!$D383</f>
        <v>0</v>
      </c>
      <c r="I38" s="568">
        <f>'Sector Target-Setting Tool'!$D384</f>
        <v>0</v>
      </c>
      <c r="J38" s="173" t="str">
        <f>TEXT('Sector Target-Setting Tool'!$D385,"0,00")&amp;" t Crude Oil"</f>
        <v>000 t Crude Oil</v>
      </c>
      <c r="K38" s="173" t="s">
        <v>633</v>
      </c>
      <c r="L38" s="568" t="str">
        <f>'Sector Target-Setting Tool'!$D386</f>
        <v/>
      </c>
      <c r="M38" s="568" t="str">
        <f>'Sector Target-Setting Tool'!$D387</f>
        <v/>
      </c>
      <c r="N38" s="568" t="str">
        <f>'Sector Target-Setting Tool'!$D388</f>
        <v/>
      </c>
      <c r="O38" s="153">
        <f>'Sector Target-Setting Tool'!$D389</f>
        <v>0</v>
      </c>
      <c r="P38" s="568" t="str">
        <f>'Sector Target-Setting Tool'!$D390</f>
        <v/>
      </c>
      <c r="Q38" s="568">
        <f>'Sector Target-Setting Tool'!$D391</f>
        <v>0</v>
      </c>
      <c r="R38" s="568" t="str">
        <f>'Sector Target-Setting Tool'!$D392</f>
        <v/>
      </c>
      <c r="S38" s="154" t="str">
        <f>'Sector Target-Setting Tool'!$D393</f>
        <v/>
      </c>
    </row>
    <row r="39" spans="3:19" ht="17">
      <c r="C39" s="566" t="str">
        <f>'Sector Target-Setting Tool'!$C284&amp;" | "&amp;'Sector Target-Setting Tool'!$C395</f>
        <v>FLAG | Pork</v>
      </c>
      <c r="D39" s="152" t="str">
        <f>'Sector Target-Setting Tool'!$D397</f>
        <v>Sector metric-FINZ.10</v>
      </c>
      <c r="E39" s="152" t="str">
        <f>'Sector Target-Setting Tool'!$D398</f>
        <v>Emissions Intensity</v>
      </c>
      <c r="F39" s="152" t="str">
        <f>'Sector Target-Setting Tool'!$D399</f>
        <v>tCO2e/t Fresh Weight</v>
      </c>
      <c r="G39" s="152" t="str">
        <f>'Sector Target-Setting Tool'!$D400</f>
        <v>SBTi Pathway</v>
      </c>
      <c r="H39" s="153">
        <f>'Sector Target-Setting Tool'!$D401</f>
        <v>0</v>
      </c>
      <c r="I39" s="568">
        <f>'Sector Target-Setting Tool'!$D402</f>
        <v>0</v>
      </c>
      <c r="J39" s="173" t="str">
        <f>TEXT('Sector Target-Setting Tool'!$D403,"0,00")&amp;" t Fresh Weight"</f>
        <v>000 t Fresh Weight</v>
      </c>
      <c r="K39" s="173" t="s">
        <v>633</v>
      </c>
      <c r="L39" s="568" t="str">
        <f>'Sector Target-Setting Tool'!$D404</f>
        <v/>
      </c>
      <c r="M39" s="568" t="str">
        <f>'Sector Target-Setting Tool'!$D405</f>
        <v/>
      </c>
      <c r="N39" s="568" t="str">
        <f>'Sector Target-Setting Tool'!$D406</f>
        <v/>
      </c>
      <c r="O39" s="153">
        <f>'Sector Target-Setting Tool'!$D407</f>
        <v>0</v>
      </c>
      <c r="P39" s="568" t="str">
        <f>'Sector Target-Setting Tool'!$D408</f>
        <v/>
      </c>
      <c r="Q39" s="568">
        <f>'Sector Target-Setting Tool'!$D409</f>
        <v>0</v>
      </c>
      <c r="R39" s="568" t="str">
        <f>'Sector Target-Setting Tool'!$D410</f>
        <v/>
      </c>
      <c r="S39" s="154" t="str">
        <f>'Sector Target-Setting Tool'!$D411</f>
        <v/>
      </c>
    </row>
    <row r="40" spans="3:19" ht="17">
      <c r="C40" s="566" t="str">
        <f>'Sector Target-Setting Tool'!$C284&amp;" | "&amp;'Sector Target-Setting Tool'!$C413</f>
        <v>FLAG | Rice</v>
      </c>
      <c r="D40" s="152" t="str">
        <f>'Sector Target-Setting Tool'!$D415</f>
        <v>Sector metric-FINZ.10</v>
      </c>
      <c r="E40" s="152" t="str">
        <f>'Sector Target-Setting Tool'!$D416</f>
        <v>Emissions Intensity</v>
      </c>
      <c r="F40" s="152" t="str">
        <f>'Sector Target-Setting Tool'!$D417</f>
        <v>tCO2e/t Fresh Weight</v>
      </c>
      <c r="G40" s="152" t="str">
        <f>'Sector Target-Setting Tool'!$D418</f>
        <v>SBTi Pathway</v>
      </c>
      <c r="H40" s="153">
        <f>'Sector Target-Setting Tool'!$D419</f>
        <v>0</v>
      </c>
      <c r="I40" s="568">
        <f>'Sector Target-Setting Tool'!$D420</f>
        <v>0</v>
      </c>
      <c r="J40" s="173" t="str">
        <f>TEXT('Sector Target-Setting Tool'!$D421,"0,00")&amp;" t Fresh Weight"</f>
        <v>000 t Fresh Weight</v>
      </c>
      <c r="K40" s="173" t="s">
        <v>633</v>
      </c>
      <c r="L40" s="568" t="str">
        <f>'Sector Target-Setting Tool'!$D422</f>
        <v/>
      </c>
      <c r="M40" s="568" t="str">
        <f>'Sector Target-Setting Tool'!$D423</f>
        <v/>
      </c>
      <c r="N40" s="568" t="str">
        <f>'Sector Target-Setting Tool'!$D424</f>
        <v/>
      </c>
      <c r="O40" s="153">
        <f>'Sector Target-Setting Tool'!$D425</f>
        <v>0</v>
      </c>
      <c r="P40" s="568" t="str">
        <f>'Sector Target-Setting Tool'!$D426</f>
        <v/>
      </c>
      <c r="Q40" s="568">
        <f>'Sector Target-Setting Tool'!$D427</f>
        <v>0</v>
      </c>
      <c r="R40" s="568" t="str">
        <f>'Sector Target-Setting Tool'!$D428</f>
        <v/>
      </c>
      <c r="S40" s="154" t="str">
        <f>'Sector Target-Setting Tool'!$D429</f>
        <v/>
      </c>
    </row>
    <row r="41" spans="3:19" ht="17">
      <c r="C41" s="566" t="str">
        <f>'Sector Target-Setting Tool'!$C284&amp;" | "&amp;'Sector Target-Setting Tool'!$C431</f>
        <v>FLAG | Soy</v>
      </c>
      <c r="D41" s="152" t="str">
        <f>'Sector Target-Setting Tool'!$D433</f>
        <v>Sector metric-FINZ.10</v>
      </c>
      <c r="E41" s="152" t="str">
        <f>'Sector Target-Setting Tool'!$D434</f>
        <v>Emissions Intensity</v>
      </c>
      <c r="F41" s="152" t="str">
        <f>'Sector Target-Setting Tool'!$D435</f>
        <v>tCO2e/t Fresh Weight</v>
      </c>
      <c r="G41" s="152" t="str">
        <f>'Sector Target-Setting Tool'!$D436</f>
        <v>SBTi Pathway</v>
      </c>
      <c r="H41" s="153">
        <f>'Sector Target-Setting Tool'!$D437</f>
        <v>0</v>
      </c>
      <c r="I41" s="568">
        <f>'Sector Target-Setting Tool'!$D438</f>
        <v>0</v>
      </c>
      <c r="J41" s="173" t="str">
        <f>TEXT('Sector Target-Setting Tool'!$D439,"0,00")&amp;" t Fresh Weight"</f>
        <v>000 t Fresh Weight</v>
      </c>
      <c r="K41" s="173" t="s">
        <v>633</v>
      </c>
      <c r="L41" s="568" t="str">
        <f>'Sector Target-Setting Tool'!$D440</f>
        <v/>
      </c>
      <c r="M41" s="568" t="str">
        <f>'Sector Target-Setting Tool'!$D441</f>
        <v/>
      </c>
      <c r="N41" s="568" t="str">
        <f>'Sector Target-Setting Tool'!$D442</f>
        <v/>
      </c>
      <c r="O41" s="153">
        <f>'Sector Target-Setting Tool'!$D443</f>
        <v>0</v>
      </c>
      <c r="P41" s="568" t="str">
        <f>'Sector Target-Setting Tool'!$D444</f>
        <v/>
      </c>
      <c r="Q41" s="568">
        <f>'Sector Target-Setting Tool'!$D445</f>
        <v>0</v>
      </c>
      <c r="R41" s="568" t="str">
        <f>'Sector Target-Setting Tool'!$D446</f>
        <v/>
      </c>
      <c r="S41" s="154" t="str">
        <f>'Sector Target-Setting Tool'!$D447</f>
        <v/>
      </c>
    </row>
    <row r="42" spans="3:19" ht="18" thickBot="1">
      <c r="C42" s="567" t="str">
        <f>'Sector Target-Setting Tool'!$C284&amp;" | "&amp;'Sector Target-Setting Tool'!$C449</f>
        <v>FLAG | Wheat</v>
      </c>
      <c r="D42" s="155" t="str">
        <f>'Sector Target-Setting Tool'!$D451</f>
        <v>Sector metric-FINZ.10</v>
      </c>
      <c r="E42" s="155" t="str">
        <f>'Sector Target-Setting Tool'!$D452</f>
        <v>Emissions Intensity</v>
      </c>
      <c r="F42" s="155" t="str">
        <f>'Sector Target-Setting Tool'!$D453</f>
        <v>tCO2e/t Fresh Weight</v>
      </c>
      <c r="G42" s="155" t="str">
        <f>'Sector Target-Setting Tool'!$D454</f>
        <v>SBTi Pathway</v>
      </c>
      <c r="H42" s="156">
        <f>'Sector Target-Setting Tool'!$D455</f>
        <v>0</v>
      </c>
      <c r="I42" s="569">
        <f>'Sector Target-Setting Tool'!$D456</f>
        <v>0</v>
      </c>
      <c r="J42" s="176" t="str">
        <f>TEXT('Sector Target-Setting Tool'!$D457,"0,00")&amp;" t Fresh Weight"</f>
        <v>000 t Fresh Weight</v>
      </c>
      <c r="K42" s="176" t="s">
        <v>633</v>
      </c>
      <c r="L42" s="569" t="str">
        <f>'Sector Target-Setting Tool'!$D458</f>
        <v/>
      </c>
      <c r="M42" s="569" t="str">
        <f>'Sector Target-Setting Tool'!$D459</f>
        <v/>
      </c>
      <c r="N42" s="569" t="str">
        <f>'Sector Target-Setting Tool'!$D460</f>
        <v/>
      </c>
      <c r="O42" s="156">
        <f>'Sector Target-Setting Tool'!$D461</f>
        <v>0</v>
      </c>
      <c r="P42" s="569" t="str">
        <f>'Sector Target-Setting Tool'!$D462</f>
        <v/>
      </c>
      <c r="Q42" s="569">
        <f>'Sector Target-Setting Tool'!$D463</f>
        <v>0</v>
      </c>
      <c r="R42" s="569" t="str">
        <f>'Sector Target-Setting Tool'!$D464</f>
        <v/>
      </c>
      <c r="S42" s="157" t="str">
        <f>'Sector Target-Setting Tool'!$D465</f>
        <v/>
      </c>
    </row>
    <row r="44" spans="3:19" ht="76.25" customHeight="1">
      <c r="C44" s="151" t="s">
        <v>627</v>
      </c>
      <c r="D44" s="151" t="s">
        <v>99</v>
      </c>
      <c r="E44" s="151" t="s">
        <v>473</v>
      </c>
      <c r="F44" s="151" t="s">
        <v>550</v>
      </c>
    </row>
    <row r="45" spans="3:19" ht="34">
      <c r="C45" s="1031" t="str">
        <f>C28</f>
        <v>Air Transport | Segmental Breakdown of Business Activity</v>
      </c>
      <c r="D45" s="177" t="str">
        <f>"Dedicated Freighters |"&amp;CHAR(10)&amp;"Long-Haul"</f>
        <v>Dedicated Freighters |
Long-Haul</v>
      </c>
      <c r="E45" s="1033" t="str">
        <f>IF('Sector Target-Setting Tool'!$D168&gt;0,IF('Sector Target-Setting Tool'!$D163="Tank-to-Wake",89.7/71.5,1)*'Sector Target-Setting Tool'!$D168,"Not Applicable")</f>
        <v>Not Applicable</v>
      </c>
      <c r="F45" s="154" t="str">
        <f>IFERROR(IF(Calculator!$B88&gt;0,Calculator!$B88*'Sector Target-Setting Tool'!$D173,"Not Applicable"),"")</f>
        <v/>
      </c>
      <c r="G45" s="178"/>
    </row>
    <row r="46" spans="3:19" ht="34">
      <c r="C46" s="1031"/>
      <c r="D46" s="177" t="str">
        <f>"Dedicated Freighters |"&amp;CHAR(10)&amp;"Short-Haul"</f>
        <v>Dedicated Freighters |
Short-Haul</v>
      </c>
      <c r="E46" s="1033"/>
      <c r="F46" s="154" t="str">
        <f>IFERROR(IF(Calculator!$B89&gt;0,Calculator!$B89*'Sector Target-Setting Tool'!$D173,"Not Applicable"),"")</f>
        <v/>
      </c>
    </row>
    <row r="47" spans="3:19" ht="34">
      <c r="C47" s="1031"/>
      <c r="D47" s="179" t="str">
        <f>"Passenger Aircraft |"&amp;CHAR(10)&amp;"Belly Freight"</f>
        <v>Passenger Aircraft |
Belly Freight</v>
      </c>
      <c r="E47" s="1033" t="str">
        <f>IF('Sector Target-Setting Tool'!$D164&gt;0,IF('Sector Target-Setting Tool'!$D163="Tank-to-Wake",89.7/71.5,1)*'Sector Target-Setting Tool'!$D164,"Not Applicable")</f>
        <v>Not Applicable</v>
      </c>
      <c r="F47" s="154" t="str">
        <f>IFERROR(IF(Calculator!$B90&gt;0,Calculator!$B90*'Sector Target-Setting Tool'!$D173,"Not Applicable"),"")</f>
        <v/>
      </c>
    </row>
    <row r="48" spans="3:19" ht="34">
      <c r="C48" s="1031"/>
      <c r="D48" s="179" t="str">
        <f>"Passenger Aircraft |"&amp;CHAR(10)&amp;"Long-Haul"</f>
        <v>Passenger Aircraft |
Long-Haul</v>
      </c>
      <c r="E48" s="1033"/>
      <c r="F48" s="154" t="str">
        <f>IFERROR(IF(Calculator!$B91&gt;0,Calculator!$B91*'Sector Target-Setting Tool'!$D173,"Not Applicable"),"")</f>
        <v/>
      </c>
    </row>
    <row r="49" spans="2:18" ht="35" thickBot="1">
      <c r="C49" s="1032"/>
      <c r="D49" s="180" t="str">
        <f>"Passenger Aircraft |"&amp;CHAR(10)&amp;"Short-Haul"</f>
        <v>Passenger Aircraft |
Short-Haul</v>
      </c>
      <c r="E49" s="1034"/>
      <c r="F49" s="157" t="str">
        <f>IFERROR(IF(Calculator!$B92&gt;0,Calculator!$B92*'Sector Target-Setting Tool'!$D173,"Not Applicable"),"")</f>
        <v/>
      </c>
    </row>
    <row r="50" spans="2:18" s="181" customFormat="1" ht="30">
      <c r="C50" s="146"/>
      <c r="D50" s="146"/>
      <c r="E50" s="146"/>
      <c r="F50" s="146"/>
    </row>
    <row r="51" spans="2:18" s="160" customFormat="1" ht="30">
      <c r="B51" s="149" t="s">
        <v>532</v>
      </c>
      <c r="C51" s="1029" t="s">
        <v>647</v>
      </c>
      <c r="D51" s="1029"/>
      <c r="E51" s="565"/>
      <c r="F51" s="166"/>
      <c r="G51" s="166"/>
      <c r="H51" s="167"/>
      <c r="I51" s="167"/>
      <c r="J51" s="167"/>
      <c r="K51" s="167"/>
      <c r="L51" s="167"/>
      <c r="M51" s="167"/>
      <c r="N51" s="167"/>
      <c r="O51" s="167"/>
      <c r="P51" s="166"/>
    </row>
    <row r="52" spans="2:18">
      <c r="B52" s="168"/>
      <c r="C52" s="169"/>
      <c r="D52" s="169"/>
      <c r="E52" s="170"/>
      <c r="F52" s="170"/>
      <c r="G52" s="170"/>
      <c r="H52" s="171"/>
      <c r="I52" s="171"/>
      <c r="J52" s="171"/>
      <c r="K52" s="171"/>
      <c r="L52" s="171"/>
      <c r="M52" s="171"/>
      <c r="N52" s="171"/>
      <c r="O52" s="171"/>
      <c r="P52" s="170"/>
    </row>
    <row r="53" spans="2:18" s="182" customFormat="1" ht="76.25" customHeight="1">
      <c r="C53" s="151" t="s">
        <v>627</v>
      </c>
      <c r="D53" s="151" t="s">
        <v>595</v>
      </c>
      <c r="E53" s="151" t="s">
        <v>470</v>
      </c>
      <c r="F53" s="151" t="s">
        <v>472</v>
      </c>
      <c r="G53" s="151" t="s">
        <v>510</v>
      </c>
      <c r="H53" s="151" t="s">
        <v>477</v>
      </c>
      <c r="I53" s="151" t="s">
        <v>648</v>
      </c>
      <c r="J53" s="151" t="s">
        <v>530</v>
      </c>
      <c r="K53" s="151" t="s">
        <v>649</v>
      </c>
      <c r="L53" s="151" t="s">
        <v>650</v>
      </c>
      <c r="M53" s="151" t="s">
        <v>522</v>
      </c>
      <c r="N53" s="151" t="s">
        <v>479</v>
      </c>
      <c r="O53" s="151" t="s">
        <v>651</v>
      </c>
      <c r="P53" s="151" t="s">
        <v>652</v>
      </c>
      <c r="Q53" s="151" t="s">
        <v>653</v>
      </c>
      <c r="R53" s="151" t="s">
        <v>484</v>
      </c>
    </row>
    <row r="54" spans="2:18" ht="18" thickBot="1">
      <c r="C54" s="183" t="str">
        <f>'Sector Target-Setting Tool'!$C115</f>
        <v>Power Generation</v>
      </c>
      <c r="D54" s="155" t="str">
        <f>'Sector Target-Setting Tool'!$D137</f>
        <v>Sector metric-FINZ.3b</v>
      </c>
      <c r="E54" s="155" t="str">
        <f>'Sector Target-Setting Tool'!$D138</f>
        <v>Technology Share</v>
      </c>
      <c r="F54" s="155" t="str">
        <f>'Sector Target-Setting Tool'!$D139</f>
        <v>% Zero-Emissions Generation Capacity</v>
      </c>
      <c r="G54" s="155" t="str">
        <f>'Sector Target-Setting Tool'!$D140</f>
        <v>SBTi Power Sector Pathway Envelope</v>
      </c>
      <c r="H54" s="156">
        <f>'Sector Target-Setting Tool'!$D141</f>
        <v>0</v>
      </c>
      <c r="I54" s="184">
        <f>'Sector Target-Setting Tool'!$D142</f>
        <v>0</v>
      </c>
      <c r="J54" s="184">
        <f>'Sector Target-Setting Tool'!$D143</f>
        <v>0</v>
      </c>
      <c r="K54" s="184" t="str">
        <f>'Sector Target-Setting Tool'!$D144</f>
        <v/>
      </c>
      <c r="L54" s="184" t="str">
        <f>'Sector Target-Setting Tool'!$D145</f>
        <v/>
      </c>
      <c r="M54" s="184" t="str">
        <f>'Sector Target-Setting Tool'!$D146</f>
        <v/>
      </c>
      <c r="N54" s="156">
        <f>'Sector Target-Setting Tool'!$D147</f>
        <v>0</v>
      </c>
      <c r="O54" s="569" t="str">
        <f>'Sector Target-Setting Tool'!$D148</f>
        <v/>
      </c>
      <c r="P54" s="569">
        <f>'Sector Target-Setting Tool'!$D149</f>
        <v>0</v>
      </c>
      <c r="Q54" s="569" t="str">
        <f>'Sector Target-Setting Tool'!$D150</f>
        <v/>
      </c>
      <c r="R54" s="157" t="str">
        <f>'Sector Target-Setting Tool'!$D151</f>
        <v/>
      </c>
    </row>
    <row r="55" spans="2:18">
      <c r="C55" s="145"/>
      <c r="D55" s="145"/>
      <c r="G55" s="147"/>
      <c r="H55" s="185"/>
      <c r="I55" s="186"/>
      <c r="J55" s="186"/>
      <c r="K55" s="187"/>
      <c r="L55" s="187"/>
      <c r="M55" s="187"/>
      <c r="N55" s="185"/>
      <c r="O55" s="188"/>
      <c r="P55" s="188"/>
      <c r="Q55" s="188"/>
      <c r="R55" s="188"/>
    </row>
    <row r="56" spans="2:18" ht="76.25" customHeight="1">
      <c r="C56" s="151" t="s">
        <v>627</v>
      </c>
      <c r="D56" s="151" t="s">
        <v>595</v>
      </c>
      <c r="E56" s="151" t="s">
        <v>470</v>
      </c>
      <c r="F56" s="151" t="s">
        <v>472</v>
      </c>
      <c r="G56" s="151" t="s">
        <v>510</v>
      </c>
      <c r="H56" s="151" t="s">
        <v>477</v>
      </c>
      <c r="I56" s="151" t="s">
        <v>566</v>
      </c>
      <c r="J56" s="151" t="s">
        <v>567</v>
      </c>
      <c r="K56" s="151" t="s">
        <v>654</v>
      </c>
      <c r="L56" s="151" t="s">
        <v>655</v>
      </c>
      <c r="M56" s="151" t="s">
        <v>522</v>
      </c>
      <c r="N56" s="151" t="s">
        <v>479</v>
      </c>
      <c r="O56" s="151" t="s">
        <v>656</v>
      </c>
      <c r="P56" s="151" t="s">
        <v>657</v>
      </c>
      <c r="Q56" s="151" t="s">
        <v>653</v>
      </c>
      <c r="R56" s="151" t="s">
        <v>484</v>
      </c>
    </row>
    <row r="57" spans="2:18" ht="17" thickBot="1">
      <c r="C57" s="567" t="str">
        <f>'Sector Target-Setting Tool'!$C206</f>
        <v>Automotive</v>
      </c>
      <c r="D57" s="155" t="str">
        <f>'Sector Target-Setting Tool'!$D228</f>
        <v>Sector metric-FINZ.6b</v>
      </c>
      <c r="E57" s="155" t="str">
        <f>'Sector Target-Setting Tool'!$D229</f>
        <v>Technology Share</v>
      </c>
      <c r="F57" s="155" t="str">
        <f>'Sector Target-Setting Tool'!$D230</f>
        <v>% New Zero-Emissions Vehicles</v>
      </c>
      <c r="G57" s="155" t="str">
        <f>'Sector Target-Setting Tool'!$D231</f>
        <v>IEA NZE (2023)</v>
      </c>
      <c r="H57" s="156">
        <f>'Sector Target-Setting Tool'!$D232</f>
        <v>0</v>
      </c>
      <c r="I57" s="569">
        <f>'Sector Target-Setting Tool'!$D233</f>
        <v>0</v>
      </c>
      <c r="J57" s="569">
        <f>'Sector Target-Setting Tool'!$D234</f>
        <v>0</v>
      </c>
      <c r="K57" s="569" t="str">
        <f>'Sector Target-Setting Tool'!$D235</f>
        <v/>
      </c>
      <c r="L57" s="569" t="str">
        <f>'Sector Target-Setting Tool'!$D236</f>
        <v/>
      </c>
      <c r="M57" s="569" t="str">
        <f>'Sector Target-Setting Tool'!$D237</f>
        <v/>
      </c>
      <c r="N57" s="156">
        <f>'Sector Target-Setting Tool'!$D238</f>
        <v>0</v>
      </c>
      <c r="O57" s="569" t="str">
        <f>'Sector Target-Setting Tool'!$D239</f>
        <v/>
      </c>
      <c r="P57" s="569">
        <f>'Sector Target-Setting Tool'!$D240</f>
        <v>0</v>
      </c>
      <c r="Q57" s="569" t="str">
        <f>'Sector Target-Setting Tool'!$D241</f>
        <v/>
      </c>
      <c r="R57" s="157" t="str">
        <f>'Sector Target-Setting Tool'!$D242</f>
        <v/>
      </c>
    </row>
  </sheetData>
  <sheetProtection algorithmName="SHA-512" hashValue="GqIqUBeE1mFlcFjMD0o0tHNr+OpcCG7CxjHCgrCbDHqwInNwUdLGan+dUUZqi5/QTEVZ9asB50N/jAtfC31cEw==" saltValue="bqiUWmYafVLiG8vpD1yCPg==" spinCount="100000" sheet="1" formatCells="0" formatColumns="0" formatRows="0"/>
  <mergeCells count="7">
    <mergeCell ref="C51:D51"/>
    <mergeCell ref="B1:H7"/>
    <mergeCell ref="C19:D19"/>
    <mergeCell ref="C24:D24"/>
    <mergeCell ref="C45:C49"/>
    <mergeCell ref="E45:E46"/>
    <mergeCell ref="E47:E49"/>
  </mergeCells>
  <pageMargins left="0.7" right="0.7" top="0.75" bottom="0.75" header="0.3" footer="0.3"/>
  <ignoredErrors>
    <ignoredError sqref="B9 B19 B24 B51" numberStoredAsText="1"/>
  </ignoredErrors>
  <drawing r:id="rId1"/>
  <extLst>
    <ext xmlns:x14="http://schemas.microsoft.com/office/spreadsheetml/2009/9/main" uri="{78C0D931-6437-407d-A8EE-F0AAD7539E65}">
      <x14:conditionalFormattings>
        <x14:conditionalFormatting xmlns:xm="http://schemas.microsoft.com/office/excel/2006/main">
          <x14:cfRule type="expression" priority="77" id="{57FD27DE-1604-1440-834C-118686408965}">
            <xm:f>'Sector Target-Setting Tool'!$D$113=""</xm:f>
            <x14:dxf>
              <font>
                <color theme="0" tint="-0.499984740745262"/>
              </font>
              <fill>
                <patternFill>
                  <bgColor theme="0" tint="-0.499984740745262"/>
                </patternFill>
              </fill>
            </x14:dxf>
          </x14:cfRule>
          <xm:sqref>C22:N22</xm:sqref>
        </x14:conditionalFormatting>
        <x14:conditionalFormatting xmlns:xm="http://schemas.microsoft.com/office/excel/2006/main">
          <x14:cfRule type="expression" priority="60" id="{BB95191B-258F-3D41-9183-333BF9FF5742}">
            <xm:f>'Sector Target-Setting Tool'!$D$151=""</xm:f>
            <x14:dxf>
              <font>
                <color theme="0" tint="-0.499984740745262"/>
              </font>
              <fill>
                <patternFill>
                  <bgColor theme="0" tint="-0.499984740745262"/>
                </patternFill>
              </fill>
            </x14:dxf>
          </x14:cfRule>
          <xm:sqref>C54:R54</xm:sqref>
        </x14:conditionalFormatting>
        <x14:conditionalFormatting xmlns:xm="http://schemas.microsoft.com/office/excel/2006/main">
          <x14:cfRule type="expression" priority="59" id="{0C3A6AA9-5168-9442-BBFB-9C13D0643F5D}">
            <xm:f>'Sector Target-Setting Tool'!$D$242=""</xm:f>
            <x14:dxf>
              <font>
                <color theme="0" tint="-0.499984740745262"/>
              </font>
              <fill>
                <patternFill>
                  <bgColor theme="0" tint="-0.499984740745262"/>
                </patternFill>
              </fill>
            </x14:dxf>
          </x14:cfRule>
          <xm:sqref>C57:R57</xm:sqref>
        </x14:conditionalFormatting>
        <x14:conditionalFormatting xmlns:xm="http://schemas.microsoft.com/office/excel/2006/main">
          <x14:cfRule type="expression" priority="76" id="{09A8581E-1EA7-1F44-9102-3AB4D2E102FD}">
            <xm:f>'Sector Target-Setting Tool'!$D$133=""</xm:f>
            <x14:dxf>
              <font>
                <color theme="0" tint="-0.499984740745262"/>
              </font>
              <fill>
                <patternFill>
                  <fgColor theme="0" tint="-0.499984740745262"/>
                  <bgColor theme="0" tint="-0.499984740745262"/>
                </patternFill>
              </fill>
            </x14:dxf>
          </x14:cfRule>
          <xm:sqref>C27:S27</xm:sqref>
        </x14:conditionalFormatting>
        <x14:conditionalFormatting xmlns:xm="http://schemas.microsoft.com/office/excel/2006/main">
          <x14:cfRule type="expression" priority="75" id="{60ED84C9-79A1-B84E-B4CB-12AB10782A98}">
            <xm:f>'Sector Target-Setting Tool'!$D$181=""</xm:f>
            <x14:dxf>
              <font>
                <color theme="0" tint="-0.499984740745262"/>
              </font>
              <fill>
                <patternFill>
                  <bgColor theme="0" tint="-0.499984740745262"/>
                </patternFill>
              </fill>
            </x14:dxf>
          </x14:cfRule>
          <xm:sqref>C28:S28 C45:F49</xm:sqref>
        </x14:conditionalFormatting>
        <x14:conditionalFormatting xmlns:xm="http://schemas.microsoft.com/office/excel/2006/main">
          <x14:cfRule type="expression" priority="74" id="{B5D6168A-8A3C-1443-B9B4-69571DACA305}">
            <xm:f>'Sector Target-Setting Tool'!$D$201=""</xm:f>
            <x14:dxf>
              <font>
                <color theme="0" tint="-0.499984740745262"/>
              </font>
              <fill>
                <patternFill>
                  <bgColor theme="0" tint="-0.499984740745262"/>
                </patternFill>
              </fill>
            </x14:dxf>
          </x14:cfRule>
          <xm:sqref>C29:S29</xm:sqref>
        </x14:conditionalFormatting>
        <x14:conditionalFormatting xmlns:xm="http://schemas.microsoft.com/office/excel/2006/main">
          <x14:cfRule type="expression" priority="73" id="{70BB3080-2315-3A43-A250-19D75B4F8171}">
            <xm:f>'Sector Target-Setting Tool'!$D$224=""</xm:f>
            <x14:dxf>
              <font>
                <color theme="0" tint="-0.499984740745262"/>
              </font>
              <fill>
                <patternFill>
                  <bgColor theme="0" tint="-0.499984740745262"/>
                </patternFill>
              </fill>
            </x14:dxf>
          </x14:cfRule>
          <xm:sqref>C30:S30</xm:sqref>
        </x14:conditionalFormatting>
        <x14:conditionalFormatting xmlns:xm="http://schemas.microsoft.com/office/excel/2006/main">
          <x14:cfRule type="expression" priority="72" id="{EB2EBE2F-FD64-3B41-908D-CFDF81030515}">
            <xm:f>'Sector Target-Setting Tool'!$D$260=""</xm:f>
            <x14:dxf>
              <font>
                <color theme="0" tint="-0.499984740745262"/>
              </font>
              <fill>
                <patternFill>
                  <bgColor theme="0" tint="-0.499984740745262"/>
                </patternFill>
              </fill>
            </x14:dxf>
          </x14:cfRule>
          <xm:sqref>C31:S31</xm:sqref>
        </x14:conditionalFormatting>
        <x14:conditionalFormatting xmlns:xm="http://schemas.microsoft.com/office/excel/2006/main">
          <x14:cfRule type="expression" priority="71" id="{C5ACB499-0868-8346-8336-1F82E5A65BBB}">
            <xm:f>'Sector Target-Setting Tool'!$D$279=""</xm:f>
            <x14:dxf>
              <font>
                <color theme="0" tint="-0.499984740745262"/>
              </font>
              <fill>
                <patternFill>
                  <bgColor theme="0" tint="-0.499984740745262"/>
                </patternFill>
              </fill>
            </x14:dxf>
          </x14:cfRule>
          <xm:sqref>C32:S32</xm:sqref>
        </x14:conditionalFormatting>
        <x14:conditionalFormatting xmlns:xm="http://schemas.microsoft.com/office/excel/2006/main">
          <x14:cfRule type="expression" priority="70" id="{F38959B4-AC4F-1D4E-A05F-CBF05FCAC7B0}">
            <xm:f>'Sector Target-Setting Tool'!$D$303=""</xm:f>
            <x14:dxf>
              <font>
                <color theme="0" tint="-0.499984740745262"/>
              </font>
              <fill>
                <patternFill>
                  <bgColor theme="0" tint="-0.499984740745262"/>
                </patternFill>
              </fill>
            </x14:dxf>
          </x14:cfRule>
          <xm:sqref>C33:S33</xm:sqref>
        </x14:conditionalFormatting>
        <x14:conditionalFormatting xmlns:xm="http://schemas.microsoft.com/office/excel/2006/main">
          <x14:cfRule type="expression" priority="69" id="{7FB4409B-43F5-7149-AB58-36E288C13FD0}">
            <xm:f>'Sector Target-Setting Tool'!$D$321=""</xm:f>
            <x14:dxf>
              <font>
                <color theme="0" tint="-0.499984740745262"/>
              </font>
              <fill>
                <patternFill>
                  <bgColor theme="0" tint="-0.499984740745262"/>
                </patternFill>
              </fill>
            </x14:dxf>
          </x14:cfRule>
          <xm:sqref>C34:S34</xm:sqref>
        </x14:conditionalFormatting>
        <x14:conditionalFormatting xmlns:xm="http://schemas.microsoft.com/office/excel/2006/main">
          <x14:cfRule type="expression" priority="68" id="{72DB9FE4-6D79-4642-AAE4-B7F6BA644880}">
            <xm:f>'Sector Target-Setting Tool'!$D$339=""</xm:f>
            <x14:dxf>
              <font>
                <color theme="0" tint="-0.499984740745262"/>
              </font>
              <fill>
                <patternFill>
                  <bgColor theme="0" tint="-0.499984740745262"/>
                </patternFill>
              </fill>
            </x14:dxf>
          </x14:cfRule>
          <xm:sqref>C35:S35</xm:sqref>
        </x14:conditionalFormatting>
        <x14:conditionalFormatting xmlns:xm="http://schemas.microsoft.com/office/excel/2006/main">
          <x14:cfRule type="expression" priority="67" id="{831CE035-FAC3-BE4D-AD7C-FA98781EF833}">
            <xm:f>'Sector Target-Setting Tool'!$D$357=""</xm:f>
            <x14:dxf>
              <font>
                <color theme="0" tint="-0.499984740745262"/>
              </font>
              <fill>
                <patternFill>
                  <bgColor theme="0" tint="-0.499984740745262"/>
                </patternFill>
              </fill>
            </x14:dxf>
          </x14:cfRule>
          <xm:sqref>C36:S36</xm:sqref>
        </x14:conditionalFormatting>
        <x14:conditionalFormatting xmlns:xm="http://schemas.microsoft.com/office/excel/2006/main">
          <x14:cfRule type="expression" priority="66" id="{DC116443-7D1D-A946-8447-011CAE83131B}">
            <xm:f>'Sector Target-Setting Tool'!$D$375=""</xm:f>
            <x14:dxf>
              <font>
                <color theme="0" tint="-0.499984740745262"/>
              </font>
              <fill>
                <patternFill>
                  <bgColor theme="0" tint="-0.499984740745262"/>
                </patternFill>
              </fill>
            </x14:dxf>
          </x14:cfRule>
          <xm:sqref>C37:S37</xm:sqref>
        </x14:conditionalFormatting>
        <x14:conditionalFormatting xmlns:xm="http://schemas.microsoft.com/office/excel/2006/main">
          <x14:cfRule type="expression" priority="65" id="{E20445C8-2654-E549-AB0A-66BB885C6ACF}">
            <xm:f>'Sector Target-Setting Tool'!$D$393=""</xm:f>
            <x14:dxf>
              <font>
                <color theme="0" tint="-0.499984740745262"/>
              </font>
              <fill>
                <patternFill>
                  <bgColor theme="0" tint="-0.499984740745262"/>
                </patternFill>
              </fill>
            </x14:dxf>
          </x14:cfRule>
          <xm:sqref>C38:S38</xm:sqref>
        </x14:conditionalFormatting>
        <x14:conditionalFormatting xmlns:xm="http://schemas.microsoft.com/office/excel/2006/main">
          <x14:cfRule type="expression" priority="64" id="{80DAFB27-5D48-204A-A745-1155D201B368}">
            <xm:f>'Sector Target-Setting Tool'!$D$411=""</xm:f>
            <x14:dxf>
              <font>
                <color theme="0" tint="-0.499984740745262"/>
              </font>
              <fill>
                <patternFill>
                  <bgColor theme="0" tint="-0.499984740745262"/>
                </patternFill>
              </fill>
            </x14:dxf>
          </x14:cfRule>
          <xm:sqref>C39:S39</xm:sqref>
        </x14:conditionalFormatting>
        <x14:conditionalFormatting xmlns:xm="http://schemas.microsoft.com/office/excel/2006/main">
          <x14:cfRule type="expression" priority="63" id="{A04DAC17-9D9E-FE46-BA4E-296BC95F11AA}">
            <xm:f>'Sector Target-Setting Tool'!$D$429=""</xm:f>
            <x14:dxf>
              <font>
                <color theme="0" tint="-0.499984740745262"/>
              </font>
              <fill>
                <patternFill>
                  <bgColor theme="0" tint="-0.499984740745262"/>
                </patternFill>
              </fill>
            </x14:dxf>
          </x14:cfRule>
          <xm:sqref>C40:S40</xm:sqref>
        </x14:conditionalFormatting>
        <x14:conditionalFormatting xmlns:xm="http://schemas.microsoft.com/office/excel/2006/main">
          <x14:cfRule type="expression" priority="62" id="{CA032908-F1D8-C04F-9C50-B98B04A41C63}">
            <xm:f>'Sector Target-Setting Tool'!$D$447=""</xm:f>
            <x14:dxf>
              <font>
                <color theme="0" tint="-0.499984740745262"/>
              </font>
              <fill>
                <patternFill>
                  <bgColor theme="0" tint="-0.499984740745262"/>
                </patternFill>
              </fill>
            </x14:dxf>
          </x14:cfRule>
          <xm:sqref>C41:S41</xm:sqref>
        </x14:conditionalFormatting>
        <x14:conditionalFormatting xmlns:xm="http://schemas.microsoft.com/office/excel/2006/main">
          <x14:cfRule type="expression" priority="61" id="{D51F0EA0-E18E-EF4B-8719-2DFAB4DE4CE8}">
            <xm:f>'Sector Target-Setting Tool'!$D$465=""</xm:f>
            <x14:dxf>
              <font>
                <color theme="0" tint="-0.499984740745262"/>
              </font>
              <fill>
                <patternFill>
                  <bgColor theme="0" tint="-0.499984740745262"/>
                </patternFill>
              </fill>
            </x14:dxf>
          </x14:cfRule>
          <xm:sqref>C42:S42</xm:sqref>
        </x14:conditionalFormatting>
        <x14:conditionalFormatting xmlns:xm="http://schemas.microsoft.com/office/excel/2006/main">
          <x14:cfRule type="expression" priority="4" stopIfTrue="1" id="{31239370-15B8-6348-910A-F1B7B8E254EE}">
            <xm:f>'Sector Target-Setting Tool'!$D$25=""</xm:f>
            <x14:dxf>
              <font>
                <color theme="1" tint="0.499984740745262"/>
              </font>
              <fill>
                <patternFill>
                  <bgColor theme="1" tint="0.499984740745262"/>
                </patternFill>
              </fill>
            </x14:dxf>
          </x14:cfRule>
          <xm:sqref>C12:T12</xm:sqref>
        </x14:conditionalFormatting>
        <x14:conditionalFormatting xmlns:xm="http://schemas.microsoft.com/office/excel/2006/main">
          <x14:cfRule type="expression" priority="11" stopIfTrue="1" id="{00601F64-C872-1D4B-842A-CCA44EEAB985}">
            <xm:f>'Sector Target-Setting Tool'!$D$40=""</xm:f>
            <x14:dxf>
              <font>
                <color theme="1" tint="0.499984740745262"/>
              </font>
              <fill>
                <patternFill>
                  <bgColor theme="1" tint="0.499984740745262"/>
                </patternFill>
              </fill>
            </x14:dxf>
          </x14:cfRule>
          <xm:sqref>C13:T13</xm:sqref>
        </x14:conditionalFormatting>
        <x14:conditionalFormatting xmlns:xm="http://schemas.microsoft.com/office/excel/2006/main">
          <x14:cfRule type="expression" priority="9" id="{8A6A04EC-D8BA-EA42-95F6-82E36461B6D7}">
            <xm:f>'Sector Target-Setting Tool'!$D$53=""</xm:f>
            <x14:dxf>
              <font>
                <color theme="1" tint="0.499984740745262"/>
              </font>
              <fill>
                <patternFill>
                  <bgColor theme="1" tint="0.499984740745262"/>
                </patternFill>
              </fill>
            </x14:dxf>
          </x14:cfRule>
          <xm:sqref>C14:T14</xm:sqref>
        </x14:conditionalFormatting>
        <x14:conditionalFormatting xmlns:xm="http://schemas.microsoft.com/office/excel/2006/main">
          <x14:cfRule type="expression" priority="1" id="{793E6C04-404B-6B4F-A332-D362ABEC5E50}">
            <xm:f>'Sector Target-Setting Tool'!$D$69=""</xm:f>
            <x14:dxf>
              <font>
                <color theme="1" tint="0.499984740745262"/>
              </font>
              <fill>
                <patternFill>
                  <bgColor theme="1" tint="0.499984740745262"/>
                </patternFill>
              </fill>
            </x14:dxf>
          </x14:cfRule>
          <xm:sqref>C15:T15</xm:sqref>
        </x14:conditionalFormatting>
        <x14:conditionalFormatting xmlns:xm="http://schemas.microsoft.com/office/excel/2006/main">
          <x14:cfRule type="expression" priority="2" stopIfTrue="1" id="{EF673D85-4183-484B-A1FA-5CC319A38F72}">
            <xm:f>'Sector Target-Setting Tool'!$D$83=""</xm:f>
            <x14:dxf>
              <font>
                <color theme="1" tint="0.499984740745262"/>
              </font>
              <fill>
                <patternFill>
                  <bgColor theme="1" tint="0.499984740745262"/>
                </patternFill>
              </fill>
            </x14:dxf>
          </x14:cfRule>
          <xm:sqref>C16:T16</xm:sqref>
        </x14:conditionalFormatting>
        <x14:conditionalFormatting xmlns:xm="http://schemas.microsoft.com/office/excel/2006/main">
          <x14:cfRule type="expression" priority="3" id="{0FBE5F68-9B0D-7748-A972-69EA8F7DEF6B}">
            <xm:f>'Sector Target-Setting Tool'!$D$99=""</xm:f>
            <x14:dxf>
              <font>
                <color theme="1" tint="0.499984740745262"/>
              </font>
              <fill>
                <patternFill>
                  <bgColor theme="1" tint="0.499984740745262"/>
                </patternFill>
              </fill>
            </x14:dxf>
          </x14:cfRule>
          <xm:sqref>C17:T17</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outlinePr summaryBelow="0" summaryRight="0"/>
  </sheetPr>
  <dimension ref="A1:AP399"/>
  <sheetViews>
    <sheetView showGridLines="0" topLeftCell="A146" workbookViewId="0">
      <selection activeCell="B62" sqref="B62"/>
    </sheetView>
  </sheetViews>
  <sheetFormatPr baseColWidth="10" defaultColWidth="12.5" defaultRowHeight="16"/>
  <cols>
    <col min="1" max="1" width="51.5" style="145" bestFit="1" customWidth="1"/>
    <col min="2" max="2" width="35.1640625" style="190" bestFit="1" customWidth="1"/>
    <col min="3" max="3" width="11.5" style="145" bestFit="1" customWidth="1"/>
    <col min="4" max="4" width="12" style="145" customWidth="1"/>
    <col min="5" max="5" width="17.83203125" style="145" bestFit="1" customWidth="1"/>
    <col min="6" max="6" width="31" style="145" bestFit="1" customWidth="1"/>
    <col min="7" max="7" width="19.1640625" style="145" bestFit="1" customWidth="1"/>
    <col min="8" max="8" width="32.5" style="145" bestFit="1" customWidth="1"/>
    <col min="9" max="9" width="19.1640625" style="145" bestFit="1" customWidth="1"/>
    <col min="10" max="10" width="7.83203125" style="145" bestFit="1" customWidth="1"/>
    <col min="11" max="18" width="8.6640625" style="145" bestFit="1" customWidth="1"/>
    <col min="19" max="41" width="7.5" style="145" bestFit="1" customWidth="1"/>
    <col min="42" max="42" width="24.1640625" style="145" bestFit="1" customWidth="1"/>
    <col min="43" max="16384" width="12.5" style="145"/>
  </cols>
  <sheetData>
    <row r="1" spans="1:42" ht="30">
      <c r="A1" s="189" t="str">
        <f>'Sector Target-Setting Tool'!$C244</f>
        <v>Cement</v>
      </c>
    </row>
    <row r="2" spans="1:42" ht="17">
      <c r="A2" s="191" t="s">
        <v>470</v>
      </c>
      <c r="B2" s="612" t="str">
        <f>'Sector Target-Setting Tool'!$D247</f>
        <v>Emissions Intensity</v>
      </c>
      <c r="C2" s="145" t="s">
        <v>658</v>
      </c>
      <c r="E2" s="613" t="s">
        <v>627</v>
      </c>
      <c r="F2" s="613" t="s">
        <v>659</v>
      </c>
      <c r="G2" s="613" t="s">
        <v>470</v>
      </c>
      <c r="H2" s="613" t="s">
        <v>472</v>
      </c>
      <c r="I2" s="613" t="s">
        <v>510</v>
      </c>
      <c r="J2" s="613" t="s">
        <v>660</v>
      </c>
      <c r="K2" s="613">
        <v>2020</v>
      </c>
      <c r="L2" s="613">
        <v>2021</v>
      </c>
      <c r="M2" s="613">
        <v>2022</v>
      </c>
      <c r="N2" s="613">
        <v>2023</v>
      </c>
      <c r="O2" s="613">
        <v>2024</v>
      </c>
      <c r="P2" s="613">
        <v>2025</v>
      </c>
      <c r="Q2" s="613">
        <v>2026</v>
      </c>
      <c r="R2" s="613">
        <v>2027</v>
      </c>
      <c r="S2" s="613">
        <v>2028</v>
      </c>
      <c r="T2" s="613">
        <v>2029</v>
      </c>
      <c r="U2" s="613">
        <v>2030</v>
      </c>
      <c r="V2" s="613">
        <v>2031</v>
      </c>
      <c r="W2" s="613">
        <v>2032</v>
      </c>
      <c r="X2" s="613">
        <v>2033</v>
      </c>
      <c r="Y2" s="613">
        <v>2034</v>
      </c>
      <c r="Z2" s="613">
        <v>2035</v>
      </c>
      <c r="AA2" s="613">
        <v>2036</v>
      </c>
      <c r="AB2" s="613">
        <v>2037</v>
      </c>
      <c r="AC2" s="613">
        <v>2038</v>
      </c>
      <c r="AD2" s="613">
        <v>2039</v>
      </c>
      <c r="AE2" s="613">
        <v>2040</v>
      </c>
      <c r="AF2" s="613">
        <v>2041</v>
      </c>
      <c r="AG2" s="613">
        <v>2042</v>
      </c>
      <c r="AH2" s="613">
        <v>2043</v>
      </c>
      <c r="AI2" s="613">
        <v>2044</v>
      </c>
      <c r="AJ2" s="613">
        <v>2045</v>
      </c>
      <c r="AK2" s="613">
        <v>2046</v>
      </c>
      <c r="AL2" s="613">
        <v>2047</v>
      </c>
      <c r="AM2" s="613">
        <v>2048</v>
      </c>
      <c r="AN2" s="613">
        <v>2049</v>
      </c>
      <c r="AO2" s="613">
        <v>2050</v>
      </c>
      <c r="AP2" s="613" t="s">
        <v>661</v>
      </c>
    </row>
    <row r="3" spans="1:42" ht="17">
      <c r="A3" s="614" t="s">
        <v>510</v>
      </c>
      <c r="B3" s="612" t="str">
        <f>'Sector Target-Setting Tool'!$D249</f>
        <v>IEA NZE (2021)</v>
      </c>
      <c r="C3" s="145" t="s">
        <v>658</v>
      </c>
      <c r="E3" s="192" t="str" cm="1">
        <f t="array" ref="E3:AP3">_xlfn._xlws.FILTER(pathway_database,(pathway_database_sector="Cement")*(pathway_database_metric_type=$B2)*(pathway_database_pathway=$B3),"")</f>
        <v>Cement</v>
      </c>
      <c r="F3" s="192" t="str">
        <v>Not Applicable</v>
      </c>
      <c r="G3" s="192" t="str">
        <v>Emissions Intensity</v>
      </c>
      <c r="H3" s="192" t="str">
        <v>tCO2/t Cement</v>
      </c>
      <c r="I3" s="192" t="str">
        <v>IEA NZE (2021)</v>
      </c>
      <c r="J3" s="192" t="str">
        <v>Global</v>
      </c>
      <c r="K3" s="193">
        <v>0.5757276764</v>
      </c>
      <c r="L3" s="193">
        <v>0.56224419632</v>
      </c>
      <c r="M3" s="193">
        <v>0.54876071624</v>
      </c>
      <c r="N3" s="193">
        <v>0.53527723616</v>
      </c>
      <c r="O3" s="193">
        <v>0.52179375608</v>
      </c>
      <c r="P3" s="193">
        <v>0.50831027600000001</v>
      </c>
      <c r="Q3" s="193">
        <v>0.49584502681999998</v>
      </c>
      <c r="R3" s="193">
        <v>0.48337977763999995</v>
      </c>
      <c r="S3" s="193">
        <v>0.47091452845999993</v>
      </c>
      <c r="T3" s="193">
        <v>0.4584492792799999</v>
      </c>
      <c r="U3" s="193">
        <v>0.44598403009999998</v>
      </c>
      <c r="V3" s="193">
        <v>0.42367645741999999</v>
      </c>
      <c r="W3" s="193">
        <v>0.40136888473999999</v>
      </c>
      <c r="X3" s="193">
        <v>0.37906131205999999</v>
      </c>
      <c r="Y3" s="193">
        <v>0.35675373937999999</v>
      </c>
      <c r="Z3" s="193">
        <v>0.33444616669999999</v>
      </c>
      <c r="AA3" s="193">
        <v>0.3114416512</v>
      </c>
      <c r="AB3" s="193">
        <v>0.28843713570000001</v>
      </c>
      <c r="AC3" s="193">
        <v>0.26543262020000002</v>
      </c>
      <c r="AD3" s="193">
        <v>0.24242810470000004</v>
      </c>
      <c r="AE3" s="193">
        <v>0.21942358919999999</v>
      </c>
      <c r="AF3" s="193">
        <v>0.20100143722</v>
      </c>
      <c r="AG3" s="193">
        <v>0.18257928524</v>
      </c>
      <c r="AH3" s="193">
        <v>0.16415713326</v>
      </c>
      <c r="AI3" s="193">
        <v>0.14573498128000001</v>
      </c>
      <c r="AJ3" s="193">
        <v>0.12731282930000001</v>
      </c>
      <c r="AK3" s="193">
        <v>0.10844748566200001</v>
      </c>
      <c r="AL3" s="193">
        <v>8.9582142024E-2</v>
      </c>
      <c r="AM3" s="193">
        <v>7.0716798385999993E-2</v>
      </c>
      <c r="AN3" s="193">
        <v>5.1851454747999987E-2</v>
      </c>
      <c r="AO3" s="193">
        <v>3.2986111110000001E-2</v>
      </c>
      <c r="AP3" s="192" t="str">
        <v>Not Applicable</v>
      </c>
    </row>
    <row r="4" spans="1:42" ht="17">
      <c r="A4" s="191" t="s">
        <v>477</v>
      </c>
      <c r="B4" s="615">
        <f>'Sector Target-Setting Tool'!$D250</f>
        <v>0</v>
      </c>
      <c r="C4" s="145" t="s">
        <v>658</v>
      </c>
    </row>
    <row r="5" spans="1:42" ht="17">
      <c r="A5" s="191" t="s">
        <v>479</v>
      </c>
      <c r="B5" s="615">
        <f>'Sector Target-Setting Tool'!$D256</f>
        <v>0</v>
      </c>
      <c r="C5" s="145" t="s">
        <v>658</v>
      </c>
    </row>
    <row r="6" spans="1:42">
      <c r="A6" s="614" t="s">
        <v>662</v>
      </c>
      <c r="B6" s="616">
        <v>2050</v>
      </c>
      <c r="C6" s="145" t="s">
        <v>663</v>
      </c>
    </row>
    <row r="7" spans="1:42" ht="17">
      <c r="A7" s="617" t="s">
        <v>664</v>
      </c>
      <c r="B7" s="618" t="str">
        <f>'Sector Target-Setting Tool'!$D253</f>
        <v/>
      </c>
      <c r="C7" s="145" t="s">
        <v>658</v>
      </c>
    </row>
    <row r="8" spans="1:42">
      <c r="A8" s="614" t="s">
        <v>665</v>
      </c>
      <c r="B8" s="618" t="str">
        <f>IF(ISBLANK('Sector Target-Setting Tool'!$D259),"",'Sector Target-Setting Tool'!$D259)</f>
        <v/>
      </c>
      <c r="C8" s="145" t="s">
        <v>658</v>
      </c>
    </row>
    <row r="9" spans="1:42">
      <c r="A9" s="614" t="s">
        <v>666</v>
      </c>
      <c r="B9" s="618" t="e">
        <f>HLOOKUP($B4,$E2:$AP3,2)</f>
        <v>#N/A</v>
      </c>
      <c r="C9" s="145" t="s">
        <v>667</v>
      </c>
    </row>
    <row r="10" spans="1:42">
      <c r="A10" s="614" t="s">
        <v>668</v>
      </c>
      <c r="B10" s="619" t="str">
        <f>IF(ISNUMBER($B7),IF($B7&gt;$B9,"No","Yes"),"")</f>
        <v/>
      </c>
      <c r="C10" s="145" t="s">
        <v>667</v>
      </c>
    </row>
    <row r="11" spans="1:42">
      <c r="A11" s="614" t="s">
        <v>669</v>
      </c>
      <c r="B11" s="618" t="e">
        <f>HLOOKUP($B5,$E2:$AP3,2)</f>
        <v>#N/A</v>
      </c>
      <c r="C11" s="145" t="s">
        <v>667</v>
      </c>
    </row>
    <row r="12" spans="1:42">
      <c r="A12" s="614" t="s">
        <v>670</v>
      </c>
      <c r="B12" s="618">
        <f>HLOOKUP($B6,$E2:$AP3,2)</f>
        <v>3.2986111110000001E-2</v>
      </c>
      <c r="C12" s="145" t="s">
        <v>667</v>
      </c>
    </row>
    <row r="13" spans="1:42">
      <c r="A13" s="614" t="s">
        <v>671</v>
      </c>
      <c r="B13" s="618" t="e">
        <f>IF(($B7-$B12)*(($B11-$B12)/($B9-$B12))+$B12&gt;$B7,$B7,($B7-$B12)*(($B11-$B12)/($B9-$B12))+$B12)</f>
        <v>#VALUE!</v>
      </c>
      <c r="C13" s="145" t="s">
        <v>667</v>
      </c>
      <c r="D13" s="620"/>
    </row>
    <row r="14" spans="1:42">
      <c r="A14" s="614" t="s">
        <v>363</v>
      </c>
      <c r="B14" s="619" t="str">
        <f>IF(ISNUMBER($B8),IF($B8&gt;$B13,"No","Yes"),"")</f>
        <v/>
      </c>
      <c r="C14" s="145" t="s">
        <v>667</v>
      </c>
    </row>
    <row r="15" spans="1:42">
      <c r="A15" s="1035" t="s">
        <v>672</v>
      </c>
      <c r="B15" s="618" t="str">
        <f>IFERROR($B9,"")</f>
        <v/>
      </c>
      <c r="C15" s="145" t="s">
        <v>667</v>
      </c>
    </row>
    <row r="16" spans="1:42">
      <c r="A16" s="1035"/>
      <c r="B16" s="618" t="str">
        <f>IFERROR($B10,"")</f>
        <v/>
      </c>
      <c r="C16" s="145" t="s">
        <v>667</v>
      </c>
    </row>
    <row r="17" spans="1:42">
      <c r="A17" s="1035"/>
      <c r="B17" s="618" t="str">
        <f>IFERROR($B13,"")</f>
        <v/>
      </c>
      <c r="C17" s="145" t="s">
        <v>667</v>
      </c>
    </row>
    <row r="18" spans="1:42">
      <c r="A18" s="1035"/>
      <c r="B18" s="618" t="str">
        <f>IFERROR($B14,"")</f>
        <v/>
      </c>
      <c r="C18" s="145" t="s">
        <v>667</v>
      </c>
    </row>
    <row r="20" spans="1:42" ht="30">
      <c r="A20" s="189" t="str">
        <f>'Sector Target-Setting Tool'!$C262</f>
        <v>Steel Production</v>
      </c>
    </row>
    <row r="21" spans="1:42" ht="17">
      <c r="A21" s="191" t="s">
        <v>470</v>
      </c>
      <c r="B21" s="612" t="str">
        <f>'Sector Target-Setting Tool'!$D265</f>
        <v>Emissions Intensity</v>
      </c>
      <c r="C21" s="145" t="s">
        <v>658</v>
      </c>
      <c r="E21" s="613" t="s">
        <v>627</v>
      </c>
      <c r="F21" s="613" t="s">
        <v>659</v>
      </c>
      <c r="G21" s="613" t="s">
        <v>470</v>
      </c>
      <c r="H21" s="613" t="s">
        <v>472</v>
      </c>
      <c r="I21" s="613" t="s">
        <v>510</v>
      </c>
      <c r="J21" s="613" t="s">
        <v>660</v>
      </c>
      <c r="K21" s="613">
        <v>2020</v>
      </c>
      <c r="L21" s="613">
        <v>2021</v>
      </c>
      <c r="M21" s="613">
        <v>2022</v>
      </c>
      <c r="N21" s="613">
        <v>2023</v>
      </c>
      <c r="O21" s="613">
        <v>2024</v>
      </c>
      <c r="P21" s="613">
        <v>2025</v>
      </c>
      <c r="Q21" s="613">
        <v>2026</v>
      </c>
      <c r="R21" s="613">
        <v>2027</v>
      </c>
      <c r="S21" s="613">
        <v>2028</v>
      </c>
      <c r="T21" s="613">
        <v>2029</v>
      </c>
      <c r="U21" s="613">
        <v>2030</v>
      </c>
      <c r="V21" s="613">
        <v>2031</v>
      </c>
      <c r="W21" s="613">
        <v>2032</v>
      </c>
      <c r="X21" s="613">
        <v>2033</v>
      </c>
      <c r="Y21" s="613">
        <v>2034</v>
      </c>
      <c r="Z21" s="613">
        <v>2035</v>
      </c>
      <c r="AA21" s="613">
        <v>2036</v>
      </c>
      <c r="AB21" s="613">
        <v>2037</v>
      </c>
      <c r="AC21" s="613">
        <v>2038</v>
      </c>
      <c r="AD21" s="613">
        <v>2039</v>
      </c>
      <c r="AE21" s="613">
        <v>2040</v>
      </c>
      <c r="AF21" s="613">
        <v>2041</v>
      </c>
      <c r="AG21" s="613">
        <v>2042</v>
      </c>
      <c r="AH21" s="613">
        <v>2043</v>
      </c>
      <c r="AI21" s="613">
        <v>2044</v>
      </c>
      <c r="AJ21" s="613">
        <v>2045</v>
      </c>
      <c r="AK21" s="613">
        <v>2046</v>
      </c>
      <c r="AL21" s="613">
        <v>2047</v>
      </c>
      <c r="AM21" s="613">
        <v>2048</v>
      </c>
      <c r="AN21" s="613">
        <v>2049</v>
      </c>
      <c r="AO21" s="613">
        <v>2050</v>
      </c>
      <c r="AP21" s="613" t="s">
        <v>661</v>
      </c>
    </row>
    <row r="22" spans="1:42" ht="17">
      <c r="A22" s="614" t="s">
        <v>510</v>
      </c>
      <c r="B22" s="612" t="str">
        <f>'Sector Target-Setting Tool'!$D267</f>
        <v>IEA NZE (2021)</v>
      </c>
      <c r="C22" s="145" t="s">
        <v>658</v>
      </c>
      <c r="E22" s="192" t="str" cm="1">
        <f t="array" ref="E22:AP22">_xlfn._xlws.FILTER(pathway_database,(pathway_database_sector="Steel")*(pathway_database_subsector="Primary")*(pathway_database_metric_type=$B21)*(pathway_database_pathway=$B22),"")</f>
        <v>Steel</v>
      </c>
      <c r="F22" s="192" t="str">
        <v>Primary</v>
      </c>
      <c r="G22" s="192" t="str">
        <v>Emissions Intensity</v>
      </c>
      <c r="H22" s="192" t="str">
        <v>tCO2/t Hot Rolled Steel</v>
      </c>
      <c r="I22" s="192" t="str">
        <v>IEA NZE (2021)</v>
      </c>
      <c r="J22" s="192" t="str">
        <v>Global</v>
      </c>
      <c r="K22" s="193">
        <v>2.423</v>
      </c>
      <c r="L22" s="193">
        <v>2.3466</v>
      </c>
      <c r="M22" s="193">
        <v>2.2702</v>
      </c>
      <c r="N22" s="193">
        <v>2.1938</v>
      </c>
      <c r="O22" s="193">
        <v>2.1173999999999999</v>
      </c>
      <c r="P22" s="193">
        <v>2.0409999999999999</v>
      </c>
      <c r="Q22" s="193">
        <v>1.9751999999999998</v>
      </c>
      <c r="R22" s="193">
        <v>1.9093999999999998</v>
      </c>
      <c r="S22" s="193">
        <v>1.8435999999999997</v>
      </c>
      <c r="T22" s="193">
        <v>1.7777999999999996</v>
      </c>
      <c r="U22" s="193">
        <v>1.712</v>
      </c>
      <c r="V22" s="193">
        <v>1.6194</v>
      </c>
      <c r="W22" s="193">
        <v>1.5267999999999999</v>
      </c>
      <c r="X22" s="193">
        <v>1.4341999999999999</v>
      </c>
      <c r="Y22" s="193">
        <v>1.3415999999999999</v>
      </c>
      <c r="Z22" s="193">
        <v>1.2490000000000001</v>
      </c>
      <c r="AA22" s="193">
        <v>1.1526000000000001</v>
      </c>
      <c r="AB22" s="193">
        <v>1.0562</v>
      </c>
      <c r="AC22" s="193">
        <v>0.95979999999999999</v>
      </c>
      <c r="AD22" s="193">
        <v>0.86339999999999995</v>
      </c>
      <c r="AE22" s="193">
        <v>0.76700000000000002</v>
      </c>
      <c r="AF22" s="193">
        <v>0.70240000000000002</v>
      </c>
      <c r="AG22" s="193">
        <v>0.63780000000000003</v>
      </c>
      <c r="AH22" s="193">
        <v>0.57320000000000004</v>
      </c>
      <c r="AI22" s="193">
        <v>0.50860000000000005</v>
      </c>
      <c r="AJ22" s="193">
        <v>0.44400000000000001</v>
      </c>
      <c r="AK22" s="193">
        <v>0.377</v>
      </c>
      <c r="AL22" s="193">
        <v>0.31</v>
      </c>
      <c r="AM22" s="193">
        <v>0.24299999999999999</v>
      </c>
      <c r="AN22" s="193">
        <v>0.17599999999999999</v>
      </c>
      <c r="AO22" s="193">
        <v>0.109</v>
      </c>
      <c r="AP22" s="192" t="str">
        <v>Not Applicable</v>
      </c>
    </row>
    <row r="23" spans="1:42" ht="17">
      <c r="A23" s="191" t="s">
        <v>477</v>
      </c>
      <c r="B23" s="615">
        <f>'Sector Target-Setting Tool'!$D268</f>
        <v>0</v>
      </c>
      <c r="C23" s="145" t="s">
        <v>658</v>
      </c>
      <c r="E23" s="192" t="str" cm="1">
        <f t="array" ref="E23:AP23">_xlfn._xlws.FILTER(pathway_database,(pathway_database_sector="Steel")*(pathway_database_subsector="Secondary")*(pathway_database_metric_type=$B21)*(pathway_database_pathway=$B22),"")</f>
        <v>Steel</v>
      </c>
      <c r="F23" s="192" t="str">
        <v>Secondary</v>
      </c>
      <c r="G23" s="192" t="str">
        <v>Emissions Intensity</v>
      </c>
      <c r="H23" s="192" t="str">
        <v>tCO2/t Hot Rolled Steel</v>
      </c>
      <c r="I23" s="192" t="str">
        <v>IEA NZE (2021)</v>
      </c>
      <c r="J23" s="192" t="str">
        <v>Global</v>
      </c>
      <c r="K23" s="193">
        <v>0.5</v>
      </c>
      <c r="L23" s="193">
        <v>0.48699999999999999</v>
      </c>
      <c r="M23" s="193">
        <v>0.47399999999999998</v>
      </c>
      <c r="N23" s="193">
        <v>0.46099999999999997</v>
      </c>
      <c r="O23" s="193">
        <v>0.44799999999999995</v>
      </c>
      <c r="P23" s="193">
        <v>0.435</v>
      </c>
      <c r="Q23" s="193">
        <v>0.42199999999999999</v>
      </c>
      <c r="R23" s="193">
        <v>0.40899999999999997</v>
      </c>
      <c r="S23" s="193">
        <v>0.39599999999999996</v>
      </c>
      <c r="T23" s="193">
        <v>0.38299999999999995</v>
      </c>
      <c r="U23" s="193">
        <v>0.37</v>
      </c>
      <c r="V23" s="193">
        <v>0.35699999999999998</v>
      </c>
      <c r="W23" s="193">
        <v>0.34399999999999997</v>
      </c>
      <c r="X23" s="193">
        <v>0.33099999999999996</v>
      </c>
      <c r="Y23" s="193">
        <v>0.31799999999999995</v>
      </c>
      <c r="Z23" s="193">
        <v>0.30499999999999999</v>
      </c>
      <c r="AA23" s="193">
        <v>0.29199999999999998</v>
      </c>
      <c r="AB23" s="193">
        <v>0.27899999999999997</v>
      </c>
      <c r="AC23" s="193">
        <v>0.26599999999999996</v>
      </c>
      <c r="AD23" s="193">
        <v>0.25299999999999995</v>
      </c>
      <c r="AE23" s="193">
        <v>0.24</v>
      </c>
      <c r="AF23" s="193">
        <v>0.2268</v>
      </c>
      <c r="AG23" s="193">
        <v>0.21360000000000001</v>
      </c>
      <c r="AH23" s="193">
        <v>0.20040000000000002</v>
      </c>
      <c r="AI23" s="193">
        <v>0.18720000000000003</v>
      </c>
      <c r="AJ23" s="193">
        <v>0.17399999999999999</v>
      </c>
      <c r="AK23" s="193">
        <v>0.16099999999999998</v>
      </c>
      <c r="AL23" s="193">
        <v>0.14799999999999996</v>
      </c>
      <c r="AM23" s="193">
        <v>0.13499999999999995</v>
      </c>
      <c r="AN23" s="193">
        <v>0.12199999999999996</v>
      </c>
      <c r="AO23" s="193">
        <v>0.109</v>
      </c>
      <c r="AP23" s="192" t="str">
        <v>Not Applicable</v>
      </c>
    </row>
    <row r="24" spans="1:42" ht="17">
      <c r="A24" s="191" t="s">
        <v>479</v>
      </c>
      <c r="B24" s="615">
        <f>'Sector Target-Setting Tool'!$D275</f>
        <v>0</v>
      </c>
      <c r="C24" s="145" t="s">
        <v>658</v>
      </c>
    </row>
    <row r="25" spans="1:42">
      <c r="A25" s="614" t="s">
        <v>662</v>
      </c>
      <c r="B25" s="616">
        <v>2050</v>
      </c>
      <c r="C25" s="145" t="s">
        <v>663</v>
      </c>
    </row>
    <row r="26" spans="1:42">
      <c r="A26" s="614" t="s">
        <v>673</v>
      </c>
      <c r="B26" s="618">
        <f>'Sector Target-Setting Tool'!$D271</f>
        <v>0</v>
      </c>
      <c r="C26" s="145" t="s">
        <v>658</v>
      </c>
    </row>
    <row r="27" spans="1:42" ht="17">
      <c r="A27" s="617" t="s">
        <v>664</v>
      </c>
      <c r="B27" s="618" t="str">
        <f>'Sector Target-Setting Tool'!$D272</f>
        <v/>
      </c>
      <c r="C27" s="145" t="s">
        <v>658</v>
      </c>
    </row>
    <row r="28" spans="1:42">
      <c r="A28" s="614" t="s">
        <v>665</v>
      </c>
      <c r="B28" s="618" t="str">
        <f>IF(ISBLANK('Sector Target-Setting Tool'!$D278),"",'Sector Target-Setting Tool'!$D278)</f>
        <v/>
      </c>
      <c r="C28" s="145" t="s">
        <v>658</v>
      </c>
    </row>
    <row r="29" spans="1:42">
      <c r="A29" s="614" t="s">
        <v>666</v>
      </c>
      <c r="B29" s="618" t="e">
        <f>(1-0.01*$B26)*HLOOKUP($B23,$E21:$AP23,2)+0.01*$B26*HLOOKUP($B23,$E21:$AP23,3)</f>
        <v>#N/A</v>
      </c>
      <c r="C29" s="145" t="s">
        <v>667</v>
      </c>
    </row>
    <row r="30" spans="1:42">
      <c r="A30" s="614" t="s">
        <v>668</v>
      </c>
      <c r="B30" s="619" t="str">
        <f>IF(ISNUMBER($B27),IF($B27&gt;$B29,"No","Yes"),"")</f>
        <v/>
      </c>
      <c r="C30" s="145" t="s">
        <v>667</v>
      </c>
    </row>
    <row r="31" spans="1:42">
      <c r="A31" s="614" t="s">
        <v>669</v>
      </c>
      <c r="B31" s="618" t="e">
        <f>(1-0.01*$B26)*HLOOKUP($B24,$E21:$AP23,2)+0.01*$B26*HLOOKUP($B24,$E21:$AP23,3)</f>
        <v>#N/A</v>
      </c>
      <c r="C31" s="145" t="s">
        <v>667</v>
      </c>
    </row>
    <row r="32" spans="1:42">
      <c r="A32" s="614" t="s">
        <v>670</v>
      </c>
      <c r="B32" s="618">
        <f>(1-0.01*$B26)*HLOOKUP($B25,$E21:$AP23,2)+(0.01*$B26)+0.01*$B26*HLOOKUP($B25,$E21:$AP23,3)</f>
        <v>0.109</v>
      </c>
      <c r="C32" s="145" t="s">
        <v>667</v>
      </c>
    </row>
    <row r="33" spans="1:42">
      <c r="A33" s="614" t="s">
        <v>671</v>
      </c>
      <c r="B33" s="618" t="e">
        <f>IF(($B27-$B32)*(($B31-$B32)/($B29-$B32))+$B32&gt;$B27,$B27,($B27-$B32)*(($B31-$B32)/($B29-$B32))+$B32)</f>
        <v>#VALUE!</v>
      </c>
      <c r="C33" s="145" t="s">
        <v>667</v>
      </c>
      <c r="D33" s="620"/>
    </row>
    <row r="34" spans="1:42">
      <c r="A34" s="614" t="s">
        <v>363</v>
      </c>
      <c r="B34" s="619" t="str">
        <f>IF(ISNUMBER($B28),IF($B28&gt;$B33,"No","Yes"),"")</f>
        <v/>
      </c>
      <c r="C34" s="145" t="s">
        <v>667</v>
      </c>
    </row>
    <row r="35" spans="1:42">
      <c r="A35" s="1035" t="s">
        <v>672</v>
      </c>
      <c r="B35" s="618" t="str">
        <f>IFERROR($B29,"")</f>
        <v/>
      </c>
      <c r="C35" s="145" t="s">
        <v>667</v>
      </c>
    </row>
    <row r="36" spans="1:42">
      <c r="A36" s="1035"/>
      <c r="B36" s="618" t="str">
        <f>IFERROR($B30,"")</f>
        <v/>
      </c>
      <c r="C36" s="145" t="s">
        <v>667</v>
      </c>
    </row>
    <row r="37" spans="1:42">
      <c r="A37" s="1035"/>
      <c r="B37" s="618" t="str">
        <f>IFERROR($B33,"")</f>
        <v/>
      </c>
      <c r="C37" s="145" t="s">
        <v>667</v>
      </c>
    </row>
    <row r="38" spans="1:42">
      <c r="A38" s="1035"/>
      <c r="B38" s="618" t="str">
        <f>IFERROR($B34,"")</f>
        <v/>
      </c>
      <c r="C38" s="145" t="s">
        <v>667</v>
      </c>
    </row>
    <row r="40" spans="1:42" ht="30">
      <c r="A40" s="189" t="str">
        <f>'Sector Target-Setting Tool'!$C115</f>
        <v>Power Generation</v>
      </c>
    </row>
    <row r="41" spans="1:42" ht="23">
      <c r="A41" s="194" t="str">
        <f>'Sector Target-Setting Tool'!$C117</f>
        <v>Portfolio Intensity Convergence</v>
      </c>
    </row>
    <row r="42" spans="1:42" ht="17">
      <c r="A42" s="191" t="s">
        <v>470</v>
      </c>
      <c r="B42" s="612" t="str">
        <f>'Sector Target-Setting Tool'!$D120</f>
        <v>Emissions Intensity</v>
      </c>
      <c r="C42" s="145" t="s">
        <v>658</v>
      </c>
      <c r="E42" s="613" t="s">
        <v>627</v>
      </c>
      <c r="F42" s="613" t="s">
        <v>659</v>
      </c>
      <c r="G42" s="613" t="s">
        <v>470</v>
      </c>
      <c r="H42" s="613" t="s">
        <v>472</v>
      </c>
      <c r="I42" s="613" t="s">
        <v>510</v>
      </c>
      <c r="J42" s="613" t="s">
        <v>660</v>
      </c>
      <c r="K42" s="613">
        <v>2020</v>
      </c>
      <c r="L42" s="613">
        <v>2021</v>
      </c>
      <c r="M42" s="613">
        <v>2022</v>
      </c>
      <c r="N42" s="613">
        <v>2023</v>
      </c>
      <c r="O42" s="613">
        <v>2024</v>
      </c>
      <c r="P42" s="613">
        <v>2025</v>
      </c>
      <c r="Q42" s="613">
        <v>2026</v>
      </c>
      <c r="R42" s="613">
        <v>2027</v>
      </c>
      <c r="S42" s="613">
        <v>2028</v>
      </c>
      <c r="T42" s="613">
        <v>2029</v>
      </c>
      <c r="U42" s="613">
        <v>2030</v>
      </c>
      <c r="V42" s="613">
        <v>2031</v>
      </c>
      <c r="W42" s="613">
        <v>2032</v>
      </c>
      <c r="X42" s="613">
        <v>2033</v>
      </c>
      <c r="Y42" s="613">
        <v>2034</v>
      </c>
      <c r="Z42" s="613">
        <v>2035</v>
      </c>
      <c r="AA42" s="613">
        <v>2036</v>
      </c>
      <c r="AB42" s="613">
        <v>2037</v>
      </c>
      <c r="AC42" s="613">
        <v>2038</v>
      </c>
      <c r="AD42" s="613">
        <v>2039</v>
      </c>
      <c r="AE42" s="613">
        <v>2040</v>
      </c>
      <c r="AF42" s="613">
        <v>2041</v>
      </c>
      <c r="AG42" s="613">
        <v>2042</v>
      </c>
      <c r="AH42" s="613">
        <v>2043</v>
      </c>
      <c r="AI42" s="613">
        <v>2044</v>
      </c>
      <c r="AJ42" s="613">
        <v>2045</v>
      </c>
      <c r="AK42" s="613">
        <v>2046</v>
      </c>
      <c r="AL42" s="613">
        <v>2047</v>
      </c>
      <c r="AM42" s="613">
        <v>2048</v>
      </c>
      <c r="AN42" s="613">
        <v>2049</v>
      </c>
      <c r="AO42" s="613">
        <v>2050</v>
      </c>
      <c r="AP42" s="613" t="s">
        <v>661</v>
      </c>
    </row>
    <row r="43" spans="1:42" ht="34">
      <c r="A43" s="614" t="s">
        <v>510</v>
      </c>
      <c r="B43" s="612" t="str">
        <f>'Sector Target-Setting Tool'!$D122</f>
        <v>SBTi Power Sector Pathway Envelope</v>
      </c>
      <c r="C43" s="145" t="s">
        <v>658</v>
      </c>
      <c r="E43" s="192" t="str" cm="1">
        <f t="array" ref="E43:AP43">_xlfn._xlws.FILTER(pathway_database,(pathway_database_sector="Power Generation")*(pathway_database_metric_type=$B42)*(pathway_database_pathway=$B43),"")</f>
        <v>Power Generation</v>
      </c>
      <c r="F43" s="192" t="str">
        <v>Not Applicable</v>
      </c>
      <c r="G43" s="192" t="str">
        <v>Emissions Intensity</v>
      </c>
      <c r="H43" s="192" t="str">
        <v>tCO2/MWh</v>
      </c>
      <c r="I43" s="192" t="str">
        <v>SBTi Power Sector Pathway Envelope</v>
      </c>
      <c r="J43" s="192" t="str">
        <v>Global</v>
      </c>
      <c r="K43" s="193">
        <v>0.4163</v>
      </c>
      <c r="L43" s="193">
        <v>0.38030000000000003</v>
      </c>
      <c r="M43" s="193">
        <v>0.34549999999999997</v>
      </c>
      <c r="N43" s="193">
        <v>0.31159999999999999</v>
      </c>
      <c r="O43" s="193">
        <v>0.27879999999999999</v>
      </c>
      <c r="P43" s="193">
        <v>0.24690000000000001</v>
      </c>
      <c r="Q43" s="193">
        <v>0.21590000000000001</v>
      </c>
      <c r="R43" s="193">
        <v>0.1857</v>
      </c>
      <c r="S43" s="193">
        <v>0.15640000000000001</v>
      </c>
      <c r="T43" s="193">
        <v>0.1278</v>
      </c>
      <c r="U43" s="193">
        <v>0.1</v>
      </c>
      <c r="V43" s="193">
        <v>0.09</v>
      </c>
      <c r="W43" s="193">
        <v>8.0500000000000002E-2</v>
      </c>
      <c r="X43" s="193">
        <v>7.1400000000000005E-2</v>
      </c>
      <c r="Y43" s="193">
        <v>6.2700000000000006E-2</v>
      </c>
      <c r="Z43" s="193">
        <v>5.45E-2</v>
      </c>
      <c r="AA43" s="193">
        <v>4.6600000000000003E-2</v>
      </c>
      <c r="AB43" s="193">
        <v>3.9100000000000003E-2</v>
      </c>
      <c r="AC43" s="193">
        <v>3.1899999999999998E-2</v>
      </c>
      <c r="AD43" s="193">
        <v>2.5000000000000001E-2</v>
      </c>
      <c r="AE43" s="193">
        <v>1.84E-2</v>
      </c>
      <c r="AF43" s="193">
        <v>1.6299999999999999E-2</v>
      </c>
      <c r="AG43" s="193">
        <v>1.44E-2</v>
      </c>
      <c r="AH43" s="193">
        <v>1.24E-2</v>
      </c>
      <c r="AI43" s="193">
        <v>1.06E-2</v>
      </c>
      <c r="AJ43" s="193">
        <v>8.8000000000000005E-3</v>
      </c>
      <c r="AK43" s="193">
        <v>7.0000000000000001E-3</v>
      </c>
      <c r="AL43" s="193">
        <v>5.3E-3</v>
      </c>
      <c r="AM43" s="193">
        <v>3.7000000000000002E-3</v>
      </c>
      <c r="AN43" s="193">
        <v>2.0999999999999999E-3</v>
      </c>
      <c r="AO43" s="193">
        <v>5.0000000000000001E-4</v>
      </c>
      <c r="AP43" s="192" t="str">
        <v>Not Applicable</v>
      </c>
    </row>
    <row r="44" spans="1:42" ht="17">
      <c r="A44" s="191" t="s">
        <v>477</v>
      </c>
      <c r="B44" s="615">
        <f>'Sector Target-Setting Tool'!$D123</f>
        <v>0</v>
      </c>
      <c r="C44" s="145" t="s">
        <v>658</v>
      </c>
    </row>
    <row r="45" spans="1:42" ht="17">
      <c r="A45" s="191" t="s">
        <v>479</v>
      </c>
      <c r="B45" s="615">
        <f>'Sector Target-Setting Tool'!$D129</f>
        <v>0</v>
      </c>
      <c r="C45" s="145" t="s">
        <v>658</v>
      </c>
    </row>
    <row r="46" spans="1:42">
      <c r="A46" s="614" t="s">
        <v>662</v>
      </c>
      <c r="B46" s="616">
        <v>2040</v>
      </c>
      <c r="C46" s="145" t="s">
        <v>663</v>
      </c>
    </row>
    <row r="47" spans="1:42" ht="17">
      <c r="A47" s="617" t="s">
        <v>664</v>
      </c>
      <c r="B47" s="618" t="str">
        <f>'Sector Target-Setting Tool'!$D126</f>
        <v/>
      </c>
      <c r="C47" s="145" t="s">
        <v>658</v>
      </c>
    </row>
    <row r="48" spans="1:42">
      <c r="A48" s="614" t="s">
        <v>665</v>
      </c>
      <c r="B48" s="618" t="str">
        <f>IF(ISBLANK('Sector Target-Setting Tool'!$D132),"",'Sector Target-Setting Tool'!$D132)</f>
        <v/>
      </c>
      <c r="C48" s="145" t="s">
        <v>658</v>
      </c>
    </row>
    <row r="49" spans="1:42">
      <c r="A49" s="614" t="s">
        <v>666</v>
      </c>
      <c r="B49" s="618" t="e">
        <f>HLOOKUP($B44,$E42:$AP43,2)</f>
        <v>#N/A</v>
      </c>
      <c r="C49" s="145" t="s">
        <v>667</v>
      </c>
    </row>
    <row r="50" spans="1:42">
      <c r="A50" s="614" t="s">
        <v>668</v>
      </c>
      <c r="B50" s="619" t="str">
        <f>IF(ISNUMBER($B47),IF($B47&gt;$B49,"No","Yes"),"")</f>
        <v/>
      </c>
      <c r="C50" s="145" t="s">
        <v>667</v>
      </c>
    </row>
    <row r="51" spans="1:42">
      <c r="A51" s="614" t="s">
        <v>669</v>
      </c>
      <c r="B51" s="618" t="e">
        <f>HLOOKUP($B45,$E42:$AP43,2)</f>
        <v>#N/A</v>
      </c>
      <c r="C51" s="145" t="s">
        <v>667</v>
      </c>
    </row>
    <row r="52" spans="1:42">
      <c r="A52" s="614" t="s">
        <v>670</v>
      </c>
      <c r="B52" s="618">
        <f>HLOOKUP($B46,$E42:$AP43,2)</f>
        <v>1.84E-2</v>
      </c>
      <c r="C52" s="145" t="s">
        <v>667</v>
      </c>
    </row>
    <row r="53" spans="1:42">
      <c r="A53" s="614" t="s">
        <v>671</v>
      </c>
      <c r="B53" s="618" t="e">
        <f>IF(($B47-$B52)*(($B51-$B52)/($B49-$B52))+$B52&gt;$B47,$B47,($B47-$B52)*(($B51-$B52)/($B49-$B52))+$B52)</f>
        <v>#VALUE!</v>
      </c>
      <c r="C53" s="145" t="s">
        <v>667</v>
      </c>
      <c r="D53" s="620"/>
    </row>
    <row r="54" spans="1:42">
      <c r="A54" s="614" t="s">
        <v>363</v>
      </c>
      <c r="B54" s="619" t="str">
        <f>IF(ISNUMBER($B48),IF($B48&gt;$B53,"No","Yes"),"")</f>
        <v/>
      </c>
      <c r="C54" s="145" t="s">
        <v>667</v>
      </c>
    </row>
    <row r="55" spans="1:42">
      <c r="A55" s="1035" t="s">
        <v>672</v>
      </c>
      <c r="B55" s="618" t="str">
        <f>IFERROR($B49,"")</f>
        <v/>
      </c>
      <c r="C55" s="145" t="s">
        <v>667</v>
      </c>
    </row>
    <row r="56" spans="1:42">
      <c r="A56" s="1035"/>
      <c r="B56" s="618" t="str">
        <f>IFERROR($B50,"")</f>
        <v/>
      </c>
      <c r="C56" s="145" t="s">
        <v>667</v>
      </c>
    </row>
    <row r="57" spans="1:42">
      <c r="A57" s="1035"/>
      <c r="B57" s="618" t="str">
        <f>IFERROR($B53,"")</f>
        <v/>
      </c>
      <c r="C57" s="145" t="s">
        <v>667</v>
      </c>
    </row>
    <row r="58" spans="1:42">
      <c r="A58" s="1035"/>
      <c r="B58" s="618" t="str">
        <f>IFERROR($B54,"")</f>
        <v/>
      </c>
      <c r="C58" s="145" t="s">
        <v>667</v>
      </c>
    </row>
    <row r="59" spans="1:42">
      <c r="A59" s="195"/>
    </row>
    <row r="60" spans="1:42" ht="23">
      <c r="A60" s="194" t="str">
        <f>'Sector Target-Setting Tool'!$C135</f>
        <v>Portfolio Index Alignment</v>
      </c>
    </row>
    <row r="61" spans="1:42" ht="17">
      <c r="A61" s="191" t="s">
        <v>470</v>
      </c>
      <c r="B61" s="612" t="str">
        <f>'Sector Target-Setting Tool'!$D138</f>
        <v>Technology Share</v>
      </c>
      <c r="C61" s="145" t="s">
        <v>658</v>
      </c>
      <c r="E61" s="613" t="s">
        <v>627</v>
      </c>
      <c r="F61" s="613" t="s">
        <v>659</v>
      </c>
      <c r="G61" s="613" t="s">
        <v>470</v>
      </c>
      <c r="H61" s="613" t="s">
        <v>472</v>
      </c>
      <c r="I61" s="613" t="s">
        <v>510</v>
      </c>
      <c r="J61" s="613" t="s">
        <v>660</v>
      </c>
      <c r="K61" s="613">
        <v>2020</v>
      </c>
      <c r="L61" s="613">
        <v>2021</v>
      </c>
      <c r="M61" s="613">
        <v>2022</v>
      </c>
      <c r="N61" s="613">
        <v>2023</v>
      </c>
      <c r="O61" s="613">
        <v>2024</v>
      </c>
      <c r="P61" s="613">
        <v>2025</v>
      </c>
      <c r="Q61" s="613">
        <v>2026</v>
      </c>
      <c r="R61" s="613">
        <v>2027</v>
      </c>
      <c r="S61" s="613">
        <v>2028</v>
      </c>
      <c r="T61" s="613">
        <v>2029</v>
      </c>
      <c r="U61" s="613">
        <v>2030</v>
      </c>
      <c r="V61" s="613">
        <v>2031</v>
      </c>
      <c r="W61" s="613">
        <v>2032</v>
      </c>
      <c r="X61" s="613">
        <v>2033</v>
      </c>
      <c r="Y61" s="613">
        <v>2034</v>
      </c>
      <c r="Z61" s="613">
        <v>2035</v>
      </c>
      <c r="AA61" s="613">
        <v>2036</v>
      </c>
      <c r="AB61" s="613">
        <v>2037</v>
      </c>
      <c r="AC61" s="613">
        <v>2038</v>
      </c>
      <c r="AD61" s="613">
        <v>2039</v>
      </c>
      <c r="AE61" s="613">
        <v>2040</v>
      </c>
      <c r="AF61" s="613">
        <v>2041</v>
      </c>
      <c r="AG61" s="613">
        <v>2042</v>
      </c>
      <c r="AH61" s="613">
        <v>2043</v>
      </c>
      <c r="AI61" s="613">
        <v>2044</v>
      </c>
      <c r="AJ61" s="613">
        <v>2045</v>
      </c>
      <c r="AK61" s="613">
        <v>2046</v>
      </c>
      <c r="AL61" s="613">
        <v>2047</v>
      </c>
      <c r="AM61" s="613">
        <v>2048</v>
      </c>
      <c r="AN61" s="613">
        <v>2049</v>
      </c>
      <c r="AO61" s="613">
        <v>2050</v>
      </c>
      <c r="AP61" s="613" t="s">
        <v>661</v>
      </c>
    </row>
    <row r="62" spans="1:42" ht="34">
      <c r="A62" s="614" t="s">
        <v>510</v>
      </c>
      <c r="B62" s="612" t="str">
        <f>'Sector Target-Setting Tool'!$D140</f>
        <v>SBTi Power Sector Pathway Envelope</v>
      </c>
      <c r="C62" s="145" t="s">
        <v>658</v>
      </c>
      <c r="E62" s="192" t="str" cm="1">
        <f t="array" ref="E62:AP62">_xlfn._xlws.FILTER(pathway_database,(pathway_database_sector="Power Generation")*(pathway_database_metric_type=$B61)*(pathway_database_pathway=$B62),"")</f>
        <v>Power Generation</v>
      </c>
      <c r="F62" s="192" t="str">
        <v>Not Applicable</v>
      </c>
      <c r="G62" s="192" t="str">
        <v>Technology Share</v>
      </c>
      <c r="H62" s="192" t="str">
        <v>% Zero Carbon Production</v>
      </c>
      <c r="I62" s="192" t="str">
        <v>SBTi Power Sector Pathway Envelope</v>
      </c>
      <c r="J62" s="192" t="str">
        <v>Global</v>
      </c>
      <c r="K62" s="193">
        <v>37</v>
      </c>
      <c r="L62" s="193">
        <v>43</v>
      </c>
      <c r="M62" s="193">
        <v>49</v>
      </c>
      <c r="N62" s="193">
        <v>55</v>
      </c>
      <c r="O62" s="193">
        <v>61</v>
      </c>
      <c r="P62" s="193">
        <v>67</v>
      </c>
      <c r="Q62" s="193">
        <v>70.599999999999994</v>
      </c>
      <c r="R62" s="193">
        <v>74.199999999999989</v>
      </c>
      <c r="S62" s="193">
        <v>77.799999999999983</v>
      </c>
      <c r="T62" s="193">
        <v>81.399999999999977</v>
      </c>
      <c r="U62" s="193">
        <v>85</v>
      </c>
      <c r="V62" s="193">
        <v>86.8</v>
      </c>
      <c r="W62" s="193">
        <v>88.6</v>
      </c>
      <c r="X62" s="193">
        <v>90.399999999999991</v>
      </c>
      <c r="Y62" s="193">
        <v>92.199999999999989</v>
      </c>
      <c r="Z62" s="193">
        <v>94</v>
      </c>
      <c r="AA62" s="193">
        <v>94.4</v>
      </c>
      <c r="AB62" s="193">
        <v>94.800000000000011</v>
      </c>
      <c r="AC62" s="193">
        <v>95.200000000000017</v>
      </c>
      <c r="AD62" s="193">
        <v>95.600000000000023</v>
      </c>
      <c r="AE62" s="193">
        <v>96</v>
      </c>
      <c r="AF62" s="193">
        <v>96</v>
      </c>
      <c r="AG62" s="193">
        <v>96</v>
      </c>
      <c r="AH62" s="193">
        <v>96</v>
      </c>
      <c r="AI62" s="193">
        <v>96</v>
      </c>
      <c r="AJ62" s="193">
        <v>96</v>
      </c>
      <c r="AK62" s="193">
        <v>96</v>
      </c>
      <c r="AL62" s="193">
        <v>96</v>
      </c>
      <c r="AM62" s="193">
        <v>96</v>
      </c>
      <c r="AN62" s="193">
        <v>96</v>
      </c>
      <c r="AO62" s="193">
        <v>96</v>
      </c>
      <c r="AP62" s="192" t="str">
        <v>Not Applicable</v>
      </c>
    </row>
    <row r="63" spans="1:42" ht="17">
      <c r="A63" s="191" t="s">
        <v>477</v>
      </c>
      <c r="B63" s="615">
        <f>'Sector Target-Setting Tool'!$D141</f>
        <v>0</v>
      </c>
      <c r="C63" s="145" t="s">
        <v>658</v>
      </c>
    </row>
    <row r="64" spans="1:42" ht="17">
      <c r="A64" s="191" t="s">
        <v>479</v>
      </c>
      <c r="B64" s="615">
        <f>'Sector Target-Setting Tool'!$D147</f>
        <v>0</v>
      </c>
      <c r="C64" s="145" t="s">
        <v>658</v>
      </c>
    </row>
    <row r="65" spans="1:4">
      <c r="A65" s="614" t="s">
        <v>662</v>
      </c>
      <c r="B65" s="616">
        <v>2040</v>
      </c>
      <c r="C65" s="145" t="s">
        <v>663</v>
      </c>
    </row>
    <row r="66" spans="1:4" ht="17">
      <c r="A66" s="617" t="s">
        <v>664</v>
      </c>
      <c r="B66" s="618" t="str">
        <f>'Sector Target-Setting Tool'!$D144</f>
        <v/>
      </c>
      <c r="C66" s="145" t="s">
        <v>658</v>
      </c>
    </row>
    <row r="67" spans="1:4">
      <c r="A67" s="614" t="s">
        <v>665</v>
      </c>
      <c r="B67" s="618" t="str">
        <f>IF(ISBLANK('Sector Target-Setting Tool'!$D149),"",'Sector Target-Setting Tool'!$D149)</f>
        <v/>
      </c>
      <c r="C67" s="145" t="s">
        <v>658</v>
      </c>
    </row>
    <row r="68" spans="1:4">
      <c r="A68" s="614" t="s">
        <v>666</v>
      </c>
      <c r="B68" s="618" t="e">
        <f>HLOOKUP($B63,$E61:$AP62,2)</f>
        <v>#N/A</v>
      </c>
      <c r="C68" s="145" t="s">
        <v>667</v>
      </c>
    </row>
    <row r="69" spans="1:4">
      <c r="A69" s="614" t="s">
        <v>668</v>
      </c>
      <c r="B69" s="619" t="str">
        <f>IF(ISNUMBER($B66),IF($B66&lt;$B68,"No","Yes"),"")</f>
        <v/>
      </c>
      <c r="C69" s="145" t="s">
        <v>667</v>
      </c>
    </row>
    <row r="70" spans="1:4">
      <c r="A70" s="614" t="s">
        <v>669</v>
      </c>
      <c r="B70" s="618" t="e">
        <f>HLOOKUP($B64,$E61:$AP62,2)</f>
        <v>#N/A</v>
      </c>
      <c r="C70" s="145" t="s">
        <v>667</v>
      </c>
    </row>
    <row r="71" spans="1:4">
      <c r="A71" s="614" t="s">
        <v>670</v>
      </c>
      <c r="B71" s="618">
        <f>HLOOKUP($B65,$E61:$AP62,2)</f>
        <v>96</v>
      </c>
      <c r="C71" s="145" t="s">
        <v>667</v>
      </c>
    </row>
    <row r="72" spans="1:4">
      <c r="A72" s="614" t="s">
        <v>671</v>
      </c>
      <c r="B72" s="618" t="e">
        <f>IF(($B66-$B71)*(($B70-$B71)/($B68-$B71))+$B71&lt;$B66,$B66,($B66-$B71)*(($B70-$B71)/($B68-$B71))+$B71)</f>
        <v>#VALUE!</v>
      </c>
      <c r="C72" s="145" t="s">
        <v>667</v>
      </c>
      <c r="D72" s="620"/>
    </row>
    <row r="73" spans="1:4">
      <c r="A73" s="614" t="s">
        <v>363</v>
      </c>
      <c r="B73" s="619" t="str">
        <f>IF(ISNUMBER($B67),IF($B67&lt;$B72,"No","Yes"),"")</f>
        <v/>
      </c>
      <c r="C73" s="145" t="s">
        <v>667</v>
      </c>
    </row>
    <row r="74" spans="1:4">
      <c r="A74" s="1035" t="s">
        <v>672</v>
      </c>
      <c r="B74" s="618" t="str">
        <f>IFERROR($B68,"")</f>
        <v/>
      </c>
      <c r="C74" s="145" t="s">
        <v>667</v>
      </c>
    </row>
    <row r="75" spans="1:4">
      <c r="A75" s="1035"/>
      <c r="B75" s="618" t="str">
        <f>IFERROR($B69,"")</f>
        <v/>
      </c>
      <c r="C75" s="145" t="s">
        <v>667</v>
      </c>
    </row>
    <row r="76" spans="1:4">
      <c r="A76" s="1035"/>
      <c r="B76" s="618" t="str">
        <f>IFERROR($B72,"")</f>
        <v/>
      </c>
      <c r="C76" s="145" t="s">
        <v>667</v>
      </c>
    </row>
    <row r="77" spans="1:4">
      <c r="A77" s="1035"/>
      <c r="B77" s="618" t="str">
        <f>IFERROR($B73,"")</f>
        <v/>
      </c>
      <c r="C77" s="145" t="s">
        <v>667</v>
      </c>
    </row>
    <row r="78" spans="1:4">
      <c r="A78" s="195"/>
    </row>
    <row r="79" spans="1:4" ht="30">
      <c r="A79" s="189" t="str">
        <f>'Sector Target-Setting Tool'!$C153</f>
        <v>Air Transport</v>
      </c>
    </row>
    <row r="80" spans="1:4" ht="48">
      <c r="A80" s="196" t="str">
        <f>'Sector Target-Setting Tool'!$C156</f>
        <v>Option 1: Report Segmental Breakdown of Business Activity</v>
      </c>
    </row>
    <row r="81" spans="1:42" ht="17">
      <c r="A81" s="191" t="s">
        <v>470</v>
      </c>
      <c r="B81" s="612" t="str">
        <f>'Sector Target-Setting Tool'!$D159</f>
        <v>Emissions Intensity</v>
      </c>
      <c r="C81" s="145" t="s">
        <v>658</v>
      </c>
      <c r="E81" s="613" t="s">
        <v>627</v>
      </c>
      <c r="F81" s="613" t="s">
        <v>659</v>
      </c>
      <c r="G81" s="613" t="s">
        <v>470</v>
      </c>
      <c r="H81" s="613" t="s">
        <v>472</v>
      </c>
      <c r="I81" s="613" t="s">
        <v>510</v>
      </c>
      <c r="J81" s="613" t="s">
        <v>660</v>
      </c>
      <c r="K81" s="613">
        <v>2020</v>
      </c>
      <c r="L81" s="613">
        <v>2021</v>
      </c>
      <c r="M81" s="613">
        <v>2022</v>
      </c>
      <c r="N81" s="613">
        <v>2023</v>
      </c>
      <c r="O81" s="613">
        <v>2024</v>
      </c>
      <c r="P81" s="613">
        <v>2025</v>
      </c>
      <c r="Q81" s="613">
        <v>2026</v>
      </c>
      <c r="R81" s="613">
        <v>2027</v>
      </c>
      <c r="S81" s="613">
        <v>2028</v>
      </c>
      <c r="T81" s="613">
        <v>2029</v>
      </c>
      <c r="U81" s="613">
        <v>2030</v>
      </c>
      <c r="V81" s="613">
        <v>2031</v>
      </c>
      <c r="W81" s="613">
        <v>2032</v>
      </c>
      <c r="X81" s="613">
        <v>2033</v>
      </c>
      <c r="Y81" s="613">
        <v>2034</v>
      </c>
      <c r="Z81" s="613">
        <v>2035</v>
      </c>
      <c r="AA81" s="613">
        <v>2036</v>
      </c>
      <c r="AB81" s="613">
        <v>2037</v>
      </c>
      <c r="AC81" s="613">
        <v>2038</v>
      </c>
      <c r="AD81" s="613">
        <v>2039</v>
      </c>
      <c r="AE81" s="613">
        <v>2040</v>
      </c>
      <c r="AF81" s="613">
        <v>2041</v>
      </c>
      <c r="AG81" s="613">
        <v>2042</v>
      </c>
      <c r="AH81" s="613">
        <v>2043</v>
      </c>
      <c r="AI81" s="613">
        <v>2044</v>
      </c>
      <c r="AJ81" s="613">
        <v>2045</v>
      </c>
      <c r="AK81" s="613">
        <v>2046</v>
      </c>
      <c r="AL81" s="613">
        <v>2047</v>
      </c>
      <c r="AM81" s="613">
        <v>2048</v>
      </c>
      <c r="AN81" s="613">
        <v>2049</v>
      </c>
      <c r="AO81" s="613">
        <v>2050</v>
      </c>
      <c r="AP81" s="613" t="s">
        <v>661</v>
      </c>
    </row>
    <row r="82" spans="1:42" ht="34">
      <c r="A82" s="614" t="s">
        <v>510</v>
      </c>
      <c r="B82" s="612" t="str">
        <f>'Sector Target-Setting Tool'!$D161</f>
        <v>SBTi 1.5˚C (IEA SDS and ICCT Breakthrough scenario)</v>
      </c>
      <c r="C82" s="145" t="s">
        <v>658</v>
      </c>
      <c r="E82" s="192" t="str" cm="1">
        <f t="array" ref="E82:AP82">_xlfn._xlws.FILTER(pathway_database,(pathway_database_sector="Air Transport")*(pathway_database_subsector="Dedicated Freighters Short-Haul")*(pathway_database_metric_type=$B81)*(pathway_database_pathway=$B82),"")</f>
        <v>Air Transport</v>
      </c>
      <c r="F82" s="192" t="str">
        <v>Dedicated Freighters Short-Haul</v>
      </c>
      <c r="G82" s="192" t="str">
        <v>Emissions Intensity</v>
      </c>
      <c r="H82" s="192" t="str">
        <v>gCO2e/RTK</v>
      </c>
      <c r="I82" s="192" t="str">
        <v>SBTi 1.5˚C (IEA SDS and ICCT Breakthrough scenario)</v>
      </c>
      <c r="J82" s="192" t="str">
        <v>Global</v>
      </c>
      <c r="K82" s="193">
        <v>1087</v>
      </c>
      <c r="L82" s="193">
        <v>1053.5999999999999</v>
      </c>
      <c r="M82" s="193">
        <v>1020.1999999999999</v>
      </c>
      <c r="N82" s="193">
        <v>986.8</v>
      </c>
      <c r="O82" s="193">
        <v>953.4</v>
      </c>
      <c r="P82" s="193">
        <v>920</v>
      </c>
      <c r="Q82" s="193">
        <v>894.8</v>
      </c>
      <c r="R82" s="193">
        <v>869.59999999999991</v>
      </c>
      <c r="S82" s="193">
        <v>844.39999999999986</v>
      </c>
      <c r="T82" s="193">
        <v>819.19999999999982</v>
      </c>
      <c r="U82" s="193">
        <v>794</v>
      </c>
      <c r="V82" s="193">
        <v>743</v>
      </c>
      <c r="W82" s="193">
        <v>692</v>
      </c>
      <c r="X82" s="193">
        <v>641</v>
      </c>
      <c r="Y82" s="193">
        <v>590</v>
      </c>
      <c r="Z82" s="193">
        <v>539</v>
      </c>
      <c r="AA82" s="193">
        <v>495</v>
      </c>
      <c r="AB82" s="193">
        <v>451</v>
      </c>
      <c r="AC82" s="193">
        <v>407</v>
      </c>
      <c r="AD82" s="193">
        <v>363</v>
      </c>
      <c r="AE82" s="193">
        <v>319</v>
      </c>
      <c r="AF82" s="193">
        <v>283.8</v>
      </c>
      <c r="AG82" s="193">
        <v>248.60000000000002</v>
      </c>
      <c r="AH82" s="193">
        <v>213.40000000000003</v>
      </c>
      <c r="AI82" s="193">
        <v>178.20000000000005</v>
      </c>
      <c r="AJ82" s="193">
        <v>143</v>
      </c>
      <c r="AK82" s="193">
        <v>122</v>
      </c>
      <c r="AL82" s="193">
        <v>101</v>
      </c>
      <c r="AM82" s="193">
        <v>80</v>
      </c>
      <c r="AN82" s="193">
        <v>59</v>
      </c>
      <c r="AO82" s="193">
        <v>38</v>
      </c>
      <c r="AP82" s="192" t="str">
        <v>Not Applicable</v>
      </c>
    </row>
    <row r="83" spans="1:42" ht="17">
      <c r="A83" s="191" t="s">
        <v>477</v>
      </c>
      <c r="B83" s="615">
        <f>'Sector Target-Setting Tool'!$D162</f>
        <v>0</v>
      </c>
      <c r="C83" s="145" t="s">
        <v>658</v>
      </c>
      <c r="E83" s="192" t="str" cm="1">
        <f t="array" ref="E83:AP83">_xlfn._xlws.FILTER(pathway_database,(pathway_database_sector="Air Transport")*(pathway_database_subsector="Dedicated Freighters Long-Haul")*(pathway_database_metric_type=$B81)*(pathway_database_pathway=$B82),"")</f>
        <v>Air Transport</v>
      </c>
      <c r="F83" s="192" t="str">
        <v>Dedicated Freighters Long-Haul</v>
      </c>
      <c r="G83" s="192" t="str">
        <v>Emissions Intensity</v>
      </c>
      <c r="H83" s="192" t="str">
        <v>gCO2e/RTK</v>
      </c>
      <c r="I83" s="192" t="str">
        <v>SBTi 1.5˚C (IEA SDS and ICCT Breakthrough scenario)</v>
      </c>
      <c r="J83" s="192" t="str">
        <v>Global</v>
      </c>
      <c r="K83" s="193">
        <v>564</v>
      </c>
      <c r="L83" s="193">
        <v>546.79999999999995</v>
      </c>
      <c r="M83" s="193">
        <v>529.59999999999991</v>
      </c>
      <c r="N83" s="193">
        <v>512.39999999999986</v>
      </c>
      <c r="O83" s="193">
        <v>495.19999999999987</v>
      </c>
      <c r="P83" s="193">
        <v>478</v>
      </c>
      <c r="Q83" s="193">
        <v>464.8</v>
      </c>
      <c r="R83" s="193">
        <v>451.6</v>
      </c>
      <c r="S83" s="193">
        <v>438.40000000000003</v>
      </c>
      <c r="T83" s="193">
        <v>425.20000000000005</v>
      </c>
      <c r="U83" s="193">
        <v>412</v>
      </c>
      <c r="V83" s="193">
        <v>385.6</v>
      </c>
      <c r="W83" s="193">
        <v>359.20000000000005</v>
      </c>
      <c r="X83" s="193">
        <v>332.80000000000007</v>
      </c>
      <c r="Y83" s="193">
        <v>306.40000000000009</v>
      </c>
      <c r="Z83" s="193">
        <v>280</v>
      </c>
      <c r="AA83" s="193">
        <v>257</v>
      </c>
      <c r="AB83" s="193">
        <v>234</v>
      </c>
      <c r="AC83" s="193">
        <v>211</v>
      </c>
      <c r="AD83" s="193">
        <v>188</v>
      </c>
      <c r="AE83" s="193">
        <v>165</v>
      </c>
      <c r="AF83" s="193">
        <v>146.80000000000001</v>
      </c>
      <c r="AG83" s="193">
        <v>128.60000000000002</v>
      </c>
      <c r="AH83" s="193">
        <v>110.40000000000002</v>
      </c>
      <c r="AI83" s="193">
        <v>92.200000000000017</v>
      </c>
      <c r="AJ83" s="193">
        <v>74</v>
      </c>
      <c r="AK83" s="193">
        <v>63.2</v>
      </c>
      <c r="AL83" s="193">
        <v>52.400000000000006</v>
      </c>
      <c r="AM83" s="193">
        <v>41.600000000000009</v>
      </c>
      <c r="AN83" s="193">
        <v>30.800000000000008</v>
      </c>
      <c r="AO83" s="193">
        <v>20</v>
      </c>
      <c r="AP83" s="192" t="str">
        <v>Not Applicable</v>
      </c>
    </row>
    <row r="84" spans="1:42" ht="17">
      <c r="A84" s="191" t="s">
        <v>479</v>
      </c>
      <c r="B84" s="615">
        <f>'Sector Target-Setting Tool'!$D177</f>
        <v>0</v>
      </c>
      <c r="C84" s="145" t="s">
        <v>658</v>
      </c>
      <c r="E84" s="192" t="str" cm="1">
        <f t="array" ref="E84:AP84">_xlfn._xlws.FILTER(pathway_database,(pathway_database_sector="Air Transport")*(pathway_database_subsector="Passenger Aircraft Belly Freight")*(pathway_database_metric_type=$B81)*(pathway_database_pathway=$B82),"")</f>
        <v>Air Transport</v>
      </c>
      <c r="F84" s="192" t="str">
        <v>Passenger Aircraft Belly Freight</v>
      </c>
      <c r="G84" s="192" t="str">
        <v>Emissions Intensity</v>
      </c>
      <c r="H84" s="192" t="str">
        <v>gCO2e/RTK</v>
      </c>
      <c r="I84" s="192" t="str">
        <v>SBTi 1.5˚C (IEA SDS and ICCT Breakthrough scenario)</v>
      </c>
      <c r="J84" s="192" t="str">
        <v>Global</v>
      </c>
      <c r="K84" s="193">
        <v>613</v>
      </c>
      <c r="L84" s="193">
        <v>594.20000000000005</v>
      </c>
      <c r="M84" s="193">
        <v>575.40000000000009</v>
      </c>
      <c r="N84" s="193">
        <v>556.60000000000014</v>
      </c>
      <c r="O84" s="193">
        <v>537.80000000000018</v>
      </c>
      <c r="P84" s="193">
        <v>519</v>
      </c>
      <c r="Q84" s="193">
        <v>504.8</v>
      </c>
      <c r="R84" s="193">
        <v>490.6</v>
      </c>
      <c r="S84" s="193">
        <v>476.40000000000003</v>
      </c>
      <c r="T84" s="193">
        <v>462.20000000000005</v>
      </c>
      <c r="U84" s="193">
        <v>448</v>
      </c>
      <c r="V84" s="193">
        <v>421.6</v>
      </c>
      <c r="W84" s="193">
        <v>395.20000000000005</v>
      </c>
      <c r="X84" s="193">
        <v>368.80000000000007</v>
      </c>
      <c r="Y84" s="193">
        <v>342.40000000000009</v>
      </c>
      <c r="Z84" s="193">
        <v>316</v>
      </c>
      <c r="AA84" s="193">
        <v>287.2</v>
      </c>
      <c r="AB84" s="193">
        <v>258.39999999999998</v>
      </c>
      <c r="AC84" s="193">
        <v>229.59999999999997</v>
      </c>
      <c r="AD84" s="193">
        <v>200.79999999999995</v>
      </c>
      <c r="AE84" s="193">
        <v>172</v>
      </c>
      <c r="AF84" s="193">
        <v>152.19999999999999</v>
      </c>
      <c r="AG84" s="193">
        <v>132.39999999999998</v>
      </c>
      <c r="AH84" s="193">
        <v>112.59999999999998</v>
      </c>
      <c r="AI84" s="193">
        <v>92.799999999999983</v>
      </c>
      <c r="AJ84" s="193">
        <v>73</v>
      </c>
      <c r="AK84" s="193">
        <v>61.6</v>
      </c>
      <c r="AL84" s="193">
        <v>50.2</v>
      </c>
      <c r="AM84" s="193">
        <v>38.800000000000004</v>
      </c>
      <c r="AN84" s="193">
        <v>27.400000000000006</v>
      </c>
      <c r="AO84" s="193">
        <v>16</v>
      </c>
      <c r="AP84" s="192" t="str">
        <v>Not Applicable</v>
      </c>
    </row>
    <row r="85" spans="1:42">
      <c r="A85" s="614" t="s">
        <v>662</v>
      </c>
      <c r="B85" s="616">
        <v>2050</v>
      </c>
      <c r="C85" s="145" t="s">
        <v>663</v>
      </c>
      <c r="E85" s="192" t="str" cm="1">
        <f t="array" ref="E85:AP85">_xlfn._xlws.FILTER(pathway_database,(pathway_database_sector="Air Transport")*(pathway_database_subsector="Passenger Aircraft Long-Haul")*(pathway_database_metric_type=$B81)*(pathway_database_pathway=$B82),"")</f>
        <v>Air Transport</v>
      </c>
      <c r="F85" s="192" t="str">
        <v>Passenger Aircraft Long-Haul</v>
      </c>
      <c r="G85" s="192" t="str">
        <v>Emissions Intensity</v>
      </c>
      <c r="H85" s="192" t="str">
        <v>gCO2e/RTK</v>
      </c>
      <c r="I85" s="192" t="str">
        <v>SBTi 1.5˚C (IEA SDS and ICCT Breakthrough scenario)</v>
      </c>
      <c r="J85" s="192" t="str">
        <v>Global</v>
      </c>
      <c r="K85" s="193">
        <v>983</v>
      </c>
      <c r="L85" s="193">
        <v>953</v>
      </c>
      <c r="M85" s="193">
        <v>923</v>
      </c>
      <c r="N85" s="193">
        <v>893</v>
      </c>
      <c r="O85" s="193">
        <v>863</v>
      </c>
      <c r="P85" s="193">
        <v>833</v>
      </c>
      <c r="Q85" s="193">
        <v>810</v>
      </c>
      <c r="R85" s="193">
        <v>787</v>
      </c>
      <c r="S85" s="193">
        <v>764</v>
      </c>
      <c r="T85" s="193">
        <v>741</v>
      </c>
      <c r="U85" s="193">
        <v>718</v>
      </c>
      <c r="V85" s="193">
        <v>675.6</v>
      </c>
      <c r="W85" s="193">
        <v>633.20000000000005</v>
      </c>
      <c r="X85" s="193">
        <v>590.80000000000007</v>
      </c>
      <c r="Y85" s="193">
        <v>548.40000000000009</v>
      </c>
      <c r="Z85" s="193">
        <v>506</v>
      </c>
      <c r="AA85" s="193">
        <v>460</v>
      </c>
      <c r="AB85" s="193">
        <v>414</v>
      </c>
      <c r="AC85" s="193">
        <v>368</v>
      </c>
      <c r="AD85" s="193">
        <v>322</v>
      </c>
      <c r="AE85" s="193">
        <v>276</v>
      </c>
      <c r="AF85" s="193">
        <v>244.2</v>
      </c>
      <c r="AG85" s="193">
        <v>212.39999999999998</v>
      </c>
      <c r="AH85" s="193">
        <v>180.59999999999997</v>
      </c>
      <c r="AI85" s="193">
        <v>148.79999999999995</v>
      </c>
      <c r="AJ85" s="193">
        <v>117</v>
      </c>
      <c r="AK85" s="193">
        <v>98.8</v>
      </c>
      <c r="AL85" s="193">
        <v>80.599999999999994</v>
      </c>
      <c r="AM85" s="193">
        <v>62.399999999999991</v>
      </c>
      <c r="AN85" s="193">
        <v>44.199999999999989</v>
      </c>
      <c r="AO85" s="193">
        <v>26</v>
      </c>
      <c r="AP85" s="192" t="str">
        <v>Not Applicable</v>
      </c>
    </row>
    <row r="86" spans="1:42" ht="17">
      <c r="A86" s="617" t="s">
        <v>664</v>
      </c>
      <c r="B86" s="618" t="str">
        <f>'Sector Target-Setting Tool'!$D174</f>
        <v/>
      </c>
      <c r="C86" s="145" t="s">
        <v>658</v>
      </c>
      <c r="E86" s="192" t="str" cm="1">
        <f t="array" ref="E86:AP86">_xlfn._xlws.FILTER(pathway_database,(pathway_database_sector="Air Transport")*(pathway_database_subsector="Passenger Aircraft Short-Haul")*(pathway_database_metric_type=$B81)*(pathway_database_pathway=$B82),"")</f>
        <v>Air Transport</v>
      </c>
      <c r="F86" s="192" t="str">
        <v>Passenger Aircraft Short-Haul</v>
      </c>
      <c r="G86" s="192" t="str">
        <v>Emissions Intensity</v>
      </c>
      <c r="H86" s="192" t="str">
        <v>gCO2e/RTK</v>
      </c>
      <c r="I86" s="192" t="str">
        <v>SBTi 1.5˚C (IEA SDS and ICCT Breakthrough scenario)</v>
      </c>
      <c r="J86" s="192" t="str">
        <v>Global</v>
      </c>
      <c r="K86" s="193">
        <v>1257</v>
      </c>
      <c r="L86" s="193">
        <v>1218.4000000000001</v>
      </c>
      <c r="M86" s="193">
        <v>1179.8000000000002</v>
      </c>
      <c r="N86" s="193">
        <v>1141.2000000000003</v>
      </c>
      <c r="O86" s="193">
        <v>1102.6000000000004</v>
      </c>
      <c r="P86" s="193">
        <v>1064</v>
      </c>
      <c r="Q86" s="193">
        <v>1034.8</v>
      </c>
      <c r="R86" s="193">
        <v>1005.5999999999999</v>
      </c>
      <c r="S86" s="193">
        <v>976.39999999999986</v>
      </c>
      <c r="T86" s="193">
        <v>947.19999999999982</v>
      </c>
      <c r="U86" s="193">
        <v>918</v>
      </c>
      <c r="V86" s="193">
        <v>863.8</v>
      </c>
      <c r="W86" s="193">
        <v>809.59999999999991</v>
      </c>
      <c r="X86" s="193">
        <v>755.39999999999986</v>
      </c>
      <c r="Y86" s="193">
        <v>701.19999999999982</v>
      </c>
      <c r="Z86" s="193">
        <v>647</v>
      </c>
      <c r="AA86" s="193">
        <v>588.20000000000005</v>
      </c>
      <c r="AB86" s="193">
        <v>529.40000000000009</v>
      </c>
      <c r="AC86" s="193">
        <v>470.60000000000008</v>
      </c>
      <c r="AD86" s="193">
        <v>411.80000000000007</v>
      </c>
      <c r="AE86" s="193">
        <v>353</v>
      </c>
      <c r="AF86" s="193">
        <v>312.39999999999998</v>
      </c>
      <c r="AG86" s="193">
        <v>271.79999999999995</v>
      </c>
      <c r="AH86" s="193">
        <v>231.19999999999996</v>
      </c>
      <c r="AI86" s="193">
        <v>190.59999999999997</v>
      </c>
      <c r="AJ86" s="193">
        <v>150</v>
      </c>
      <c r="AK86" s="193">
        <v>126.6</v>
      </c>
      <c r="AL86" s="193">
        <v>103.19999999999999</v>
      </c>
      <c r="AM86" s="193">
        <v>79.799999999999983</v>
      </c>
      <c r="AN86" s="193">
        <v>56.399999999999984</v>
      </c>
      <c r="AO86" s="193">
        <v>33</v>
      </c>
      <c r="AP86" s="192" t="str">
        <v>Not Applicable</v>
      </c>
    </row>
    <row r="87" spans="1:42">
      <c r="A87" s="614" t="s">
        <v>665</v>
      </c>
      <c r="B87" s="618" t="str">
        <f>IF(ISBLANK('Sector Target-Setting Tool'!$D180),"",'Sector Target-Setting Tool'!$D180)</f>
        <v/>
      </c>
      <c r="C87" s="145" t="s">
        <v>658</v>
      </c>
      <c r="E87" s="192" t="s">
        <v>533</v>
      </c>
      <c r="F87" s="192" t="s">
        <v>674</v>
      </c>
      <c r="G87" s="192" t="s">
        <v>516</v>
      </c>
      <c r="H87" s="192" t="s">
        <v>537</v>
      </c>
      <c r="I87" s="192" t="s">
        <v>675</v>
      </c>
      <c r="J87" s="192" t="s">
        <v>457</v>
      </c>
      <c r="K87" s="193" t="e">
        <f t="shared" ref="K87:AO87" si="0">K82*$B88+K83*$B89+K84*$B90+K85*$B91+K86*$B92</f>
        <v>#VALUE!</v>
      </c>
      <c r="L87" s="193" t="e">
        <f t="shared" si="0"/>
        <v>#VALUE!</v>
      </c>
      <c r="M87" s="193" t="e">
        <f t="shared" si="0"/>
        <v>#VALUE!</v>
      </c>
      <c r="N87" s="193" t="e">
        <f t="shared" si="0"/>
        <v>#VALUE!</v>
      </c>
      <c r="O87" s="193" t="e">
        <f t="shared" si="0"/>
        <v>#VALUE!</v>
      </c>
      <c r="P87" s="193" t="e">
        <f t="shared" si="0"/>
        <v>#VALUE!</v>
      </c>
      <c r="Q87" s="193" t="e">
        <f t="shared" si="0"/>
        <v>#VALUE!</v>
      </c>
      <c r="R87" s="193" t="e">
        <f t="shared" si="0"/>
        <v>#VALUE!</v>
      </c>
      <c r="S87" s="193" t="e">
        <f t="shared" si="0"/>
        <v>#VALUE!</v>
      </c>
      <c r="T87" s="193" t="e">
        <f t="shared" si="0"/>
        <v>#VALUE!</v>
      </c>
      <c r="U87" s="193" t="e">
        <f t="shared" si="0"/>
        <v>#VALUE!</v>
      </c>
      <c r="V87" s="193" t="e">
        <f t="shared" si="0"/>
        <v>#VALUE!</v>
      </c>
      <c r="W87" s="193" t="e">
        <f t="shared" si="0"/>
        <v>#VALUE!</v>
      </c>
      <c r="X87" s="193" t="e">
        <f t="shared" si="0"/>
        <v>#VALUE!</v>
      </c>
      <c r="Y87" s="193" t="e">
        <f t="shared" si="0"/>
        <v>#VALUE!</v>
      </c>
      <c r="Z87" s="193" t="e">
        <f t="shared" si="0"/>
        <v>#VALUE!</v>
      </c>
      <c r="AA87" s="193" t="e">
        <f t="shared" si="0"/>
        <v>#VALUE!</v>
      </c>
      <c r="AB87" s="193" t="e">
        <f t="shared" si="0"/>
        <v>#VALUE!</v>
      </c>
      <c r="AC87" s="193" t="e">
        <f t="shared" si="0"/>
        <v>#VALUE!</v>
      </c>
      <c r="AD87" s="193" t="e">
        <f t="shared" si="0"/>
        <v>#VALUE!</v>
      </c>
      <c r="AE87" s="193" t="e">
        <f t="shared" si="0"/>
        <v>#VALUE!</v>
      </c>
      <c r="AF87" s="193" t="e">
        <f t="shared" si="0"/>
        <v>#VALUE!</v>
      </c>
      <c r="AG87" s="193" t="e">
        <f t="shared" si="0"/>
        <v>#VALUE!</v>
      </c>
      <c r="AH87" s="193" t="e">
        <f t="shared" si="0"/>
        <v>#VALUE!</v>
      </c>
      <c r="AI87" s="193" t="e">
        <f t="shared" si="0"/>
        <v>#VALUE!</v>
      </c>
      <c r="AJ87" s="193" t="e">
        <f t="shared" si="0"/>
        <v>#VALUE!</v>
      </c>
      <c r="AK87" s="193" t="e">
        <f t="shared" si="0"/>
        <v>#VALUE!</v>
      </c>
      <c r="AL87" s="193" t="e">
        <f t="shared" si="0"/>
        <v>#VALUE!</v>
      </c>
      <c r="AM87" s="193" t="e">
        <f t="shared" si="0"/>
        <v>#VALUE!</v>
      </c>
      <c r="AN87" s="193" t="e">
        <f t="shared" si="0"/>
        <v>#VALUE!</v>
      </c>
      <c r="AO87" s="193" t="e">
        <f t="shared" si="0"/>
        <v>#VALUE!</v>
      </c>
      <c r="AP87" s="192" t="s">
        <v>633</v>
      </c>
    </row>
    <row r="88" spans="1:42">
      <c r="A88" s="197" t="s">
        <v>676</v>
      </c>
      <c r="B88" s="198" t="e">
        <f>0.01*'Sector Target-Setting Tool'!$D170*'Sector Target-Setting Tool'!$D169/'Sector Target-Setting Tool'!$D173</f>
        <v>#VALUE!</v>
      </c>
      <c r="C88" s="145" t="s">
        <v>658</v>
      </c>
    </row>
    <row r="89" spans="1:42">
      <c r="A89" s="197" t="s">
        <v>677</v>
      </c>
      <c r="B89" s="198" t="e">
        <f>(1-0.01*'Sector Target-Setting Tool'!$D170)*'Sector Target-Setting Tool'!$D169/'Sector Target-Setting Tool'!$D173</f>
        <v>#VALUE!</v>
      </c>
      <c r="C89" s="145" t="s">
        <v>658</v>
      </c>
    </row>
    <row r="90" spans="1:42">
      <c r="A90" s="197" t="s">
        <v>678</v>
      </c>
      <c r="B90" s="198" t="e">
        <f>'Sector Target-Setting Tool'!$D167/'Sector Target-Setting Tool'!$D173</f>
        <v>#VALUE!</v>
      </c>
      <c r="C90" s="145" t="s">
        <v>658</v>
      </c>
    </row>
    <row r="91" spans="1:42">
      <c r="A91" s="197" t="s">
        <v>679</v>
      </c>
      <c r="B91" s="198" t="e">
        <f>(1-0.01*'Sector Target-Setting Tool'!$D166)*0.1*'Sector Target-Setting Tool'!$D165/'Sector Target-Setting Tool'!$D173</f>
        <v>#VALUE!</v>
      </c>
      <c r="C91" s="145" t="s">
        <v>658</v>
      </c>
    </row>
    <row r="92" spans="1:42">
      <c r="A92" s="197" t="s">
        <v>680</v>
      </c>
      <c r="B92" s="198" t="e">
        <f>0.01*'Sector Target-Setting Tool'!$D166*0.1*'Sector Target-Setting Tool'!$D165/'Sector Target-Setting Tool'!$D173</f>
        <v>#VALUE!</v>
      </c>
      <c r="C92" s="145" t="s">
        <v>658</v>
      </c>
    </row>
    <row r="93" spans="1:42">
      <c r="A93" s="614" t="s">
        <v>666</v>
      </c>
      <c r="B93" s="618" t="e">
        <f>HLOOKUP($B83,$E81:$AP87,7)</f>
        <v>#N/A</v>
      </c>
      <c r="C93" s="145" t="s">
        <v>667</v>
      </c>
    </row>
    <row r="94" spans="1:42">
      <c r="A94" s="614" t="s">
        <v>668</v>
      </c>
      <c r="B94" s="619" t="str">
        <f>IF(ISNUMBER($B86),IF($B86&gt;$B93,"No","Yes"),"")</f>
        <v/>
      </c>
      <c r="C94" s="145" t="s">
        <v>667</v>
      </c>
    </row>
    <row r="95" spans="1:42">
      <c r="A95" s="614" t="s">
        <v>669</v>
      </c>
      <c r="B95" s="618" t="e">
        <f>HLOOKUP($B84,$E81:$AP87,7)</f>
        <v>#N/A</v>
      </c>
      <c r="C95" s="145" t="s">
        <v>667</v>
      </c>
      <c r="D95" s="620"/>
    </row>
    <row r="96" spans="1:42">
      <c r="A96" s="614" t="s">
        <v>670</v>
      </c>
      <c r="B96" s="618" t="e">
        <f>HLOOKUP($B85,$E81:$AP87,7)</f>
        <v>#VALUE!</v>
      </c>
      <c r="C96" s="145" t="s">
        <v>667</v>
      </c>
    </row>
    <row r="97" spans="1:42">
      <c r="A97" s="614" t="s">
        <v>671</v>
      </c>
      <c r="B97" s="618" t="e">
        <f>IF(($B86-$B96)*(($B95-$B96)/($B93-$B96))+$B96&gt;$B86,$B86,($B86-$B96)*(($B95-$B96)/($B93-$B96))+$B96)</f>
        <v>#VALUE!</v>
      </c>
      <c r="C97" s="145" t="s">
        <v>667</v>
      </c>
    </row>
    <row r="98" spans="1:42">
      <c r="A98" s="614" t="s">
        <v>363</v>
      </c>
      <c r="B98" s="619" t="str">
        <f>IF(ISNUMBER($B87),IF($B87&gt;$B97,"No","Yes"),"")</f>
        <v/>
      </c>
      <c r="C98" s="145" t="s">
        <v>667</v>
      </c>
    </row>
    <row r="99" spans="1:42">
      <c r="A99" s="1035" t="s">
        <v>672</v>
      </c>
      <c r="B99" s="618" t="str">
        <f>IFERROR($B93,"")</f>
        <v/>
      </c>
      <c r="C99" s="145" t="s">
        <v>667</v>
      </c>
    </row>
    <row r="100" spans="1:42">
      <c r="A100" s="1035"/>
      <c r="B100" s="618" t="str">
        <f>IFERROR($B94,"")</f>
        <v/>
      </c>
      <c r="C100" s="145" t="s">
        <v>667</v>
      </c>
    </row>
    <row r="101" spans="1:42">
      <c r="A101" s="1035"/>
      <c r="B101" s="618" t="str">
        <f>IFERROR($B97,"")</f>
        <v/>
      </c>
      <c r="C101" s="145" t="s">
        <v>667</v>
      </c>
    </row>
    <row r="102" spans="1:42">
      <c r="A102" s="1035"/>
      <c r="B102" s="618" t="str">
        <f>IFERROR($B98,"")</f>
        <v/>
      </c>
      <c r="C102" s="145" t="s">
        <v>667</v>
      </c>
    </row>
    <row r="103" spans="1:42">
      <c r="A103" s="195"/>
    </row>
    <row r="104" spans="1:42" ht="48">
      <c r="A104" s="196" t="str">
        <f>'Sector Target-Setting Tool'!$C183</f>
        <v>Option 2: Report Overall Business Activity</v>
      </c>
    </row>
    <row r="105" spans="1:42" ht="17">
      <c r="A105" s="191" t="s">
        <v>470</v>
      </c>
      <c r="B105" s="612" t="str">
        <f>'Sector Target-Setting Tool'!$D186</f>
        <v>Emissions Intensity</v>
      </c>
      <c r="C105" s="145" t="s">
        <v>658</v>
      </c>
      <c r="E105" s="613" t="s">
        <v>627</v>
      </c>
      <c r="F105" s="613" t="s">
        <v>659</v>
      </c>
      <c r="G105" s="613" t="s">
        <v>470</v>
      </c>
      <c r="H105" s="613" t="s">
        <v>472</v>
      </c>
      <c r="I105" s="613" t="s">
        <v>510</v>
      </c>
      <c r="J105" s="613" t="s">
        <v>660</v>
      </c>
      <c r="K105" s="613">
        <v>2020</v>
      </c>
      <c r="L105" s="613">
        <v>2021</v>
      </c>
      <c r="M105" s="613">
        <v>2022</v>
      </c>
      <c r="N105" s="613">
        <v>2023</v>
      </c>
      <c r="O105" s="613">
        <v>2024</v>
      </c>
      <c r="P105" s="613">
        <v>2025</v>
      </c>
      <c r="Q105" s="613">
        <v>2026</v>
      </c>
      <c r="R105" s="613">
        <v>2027</v>
      </c>
      <c r="S105" s="613">
        <v>2028</v>
      </c>
      <c r="T105" s="613">
        <v>2029</v>
      </c>
      <c r="U105" s="613">
        <v>2030</v>
      </c>
      <c r="V105" s="613">
        <v>2031</v>
      </c>
      <c r="W105" s="613">
        <v>2032</v>
      </c>
      <c r="X105" s="613">
        <v>2033</v>
      </c>
      <c r="Y105" s="613">
        <v>2034</v>
      </c>
      <c r="Z105" s="613">
        <v>2035</v>
      </c>
      <c r="AA105" s="613">
        <v>2036</v>
      </c>
      <c r="AB105" s="613">
        <v>2037</v>
      </c>
      <c r="AC105" s="613">
        <v>2038</v>
      </c>
      <c r="AD105" s="613">
        <v>2039</v>
      </c>
      <c r="AE105" s="613">
        <v>2040</v>
      </c>
      <c r="AF105" s="613">
        <v>2041</v>
      </c>
      <c r="AG105" s="613">
        <v>2042</v>
      </c>
      <c r="AH105" s="613">
        <v>2043</v>
      </c>
      <c r="AI105" s="613">
        <v>2044</v>
      </c>
      <c r="AJ105" s="613">
        <v>2045</v>
      </c>
      <c r="AK105" s="613">
        <v>2046</v>
      </c>
      <c r="AL105" s="613">
        <v>2047</v>
      </c>
      <c r="AM105" s="613">
        <v>2048</v>
      </c>
      <c r="AN105" s="613">
        <v>2049</v>
      </c>
      <c r="AO105" s="613">
        <v>2050</v>
      </c>
      <c r="AP105" s="613" t="s">
        <v>661</v>
      </c>
    </row>
    <row r="106" spans="1:42" ht="34">
      <c r="A106" s="614" t="s">
        <v>510</v>
      </c>
      <c r="B106" s="612" t="str">
        <f>'Sector Target-Setting Tool'!$D188</f>
        <v>SBTi 1.5˚C (IEA SDS and ICCT Breakthrough scenario)</v>
      </c>
      <c r="C106" s="145" t="s">
        <v>658</v>
      </c>
      <c r="E106" s="192" t="str" cm="1">
        <f t="array" ref="E106:AP106">_xlfn._xlws.FILTER(pathway_database,(pathway_database_sector="Air Transport")*(pathway_database_subsector="Generic")*(pathway_database_metric_type=$B105)*(pathway_database_pathway=$B106),"")</f>
        <v>Air Transport</v>
      </c>
      <c r="F106" s="192" t="str">
        <v>Generic</v>
      </c>
      <c r="G106" s="192" t="str">
        <v>Emissions Intensity</v>
      </c>
      <c r="H106" s="192" t="str">
        <v>gCO2e/RTk</v>
      </c>
      <c r="I106" s="192" t="str">
        <v>SBTi 1.5˚C (IEA SDS and ICCT Breakthrough scenario)</v>
      </c>
      <c r="J106" s="192" t="str">
        <v>Global</v>
      </c>
      <c r="K106" s="193">
        <v>955</v>
      </c>
      <c r="L106" s="193">
        <v>925.8</v>
      </c>
      <c r="M106" s="193">
        <v>896.59999999999991</v>
      </c>
      <c r="N106" s="193">
        <v>867.39999999999986</v>
      </c>
      <c r="O106" s="193">
        <v>838.19999999999982</v>
      </c>
      <c r="P106" s="193">
        <v>809</v>
      </c>
      <c r="Q106" s="193">
        <v>786.8</v>
      </c>
      <c r="R106" s="193">
        <v>764.59999999999991</v>
      </c>
      <c r="S106" s="193">
        <v>742.39999999999986</v>
      </c>
      <c r="T106" s="193">
        <v>720.19999999999982</v>
      </c>
      <c r="U106" s="193">
        <v>698</v>
      </c>
      <c r="V106" s="193">
        <v>655.6</v>
      </c>
      <c r="W106" s="193">
        <v>613.20000000000005</v>
      </c>
      <c r="X106" s="193">
        <v>570.80000000000007</v>
      </c>
      <c r="Y106" s="193">
        <v>528.40000000000009</v>
      </c>
      <c r="Z106" s="193">
        <v>486</v>
      </c>
      <c r="AA106" s="193">
        <v>442</v>
      </c>
      <c r="AB106" s="193">
        <v>398</v>
      </c>
      <c r="AC106" s="193">
        <v>354</v>
      </c>
      <c r="AD106" s="193">
        <v>310</v>
      </c>
      <c r="AE106" s="193">
        <v>266</v>
      </c>
      <c r="AF106" s="193">
        <v>235.4</v>
      </c>
      <c r="AG106" s="193">
        <v>204.8</v>
      </c>
      <c r="AH106" s="193">
        <v>174.20000000000002</v>
      </c>
      <c r="AI106" s="193">
        <v>143.60000000000002</v>
      </c>
      <c r="AJ106" s="193">
        <v>113</v>
      </c>
      <c r="AK106" s="193">
        <v>95.6</v>
      </c>
      <c r="AL106" s="193">
        <v>78.199999999999989</v>
      </c>
      <c r="AM106" s="193">
        <v>60.79999999999999</v>
      </c>
      <c r="AN106" s="193">
        <v>43.399999999999991</v>
      </c>
      <c r="AO106" s="193">
        <v>26</v>
      </c>
      <c r="AP106" s="192" t="str">
        <v>Not Applicable</v>
      </c>
    </row>
    <row r="107" spans="1:42" ht="17">
      <c r="A107" s="191" t="s">
        <v>477</v>
      </c>
      <c r="B107" s="615">
        <f>'Sector Target-Setting Tool'!$D189</f>
        <v>0</v>
      </c>
      <c r="C107" s="145" t="s">
        <v>658</v>
      </c>
      <c r="K107" s="178"/>
      <c r="L107" s="178"/>
      <c r="M107" s="178"/>
      <c r="N107" s="178"/>
      <c r="O107" s="178"/>
      <c r="P107" s="178"/>
      <c r="Q107" s="178"/>
      <c r="R107" s="178"/>
      <c r="S107" s="178"/>
      <c r="T107" s="178"/>
      <c r="U107" s="178"/>
      <c r="V107" s="178"/>
      <c r="W107" s="178"/>
      <c r="X107" s="178"/>
      <c r="Y107" s="178"/>
      <c r="Z107" s="178"/>
      <c r="AA107" s="178"/>
      <c r="AB107" s="178"/>
      <c r="AC107" s="178"/>
      <c r="AD107" s="178"/>
      <c r="AE107" s="178"/>
      <c r="AF107" s="178"/>
      <c r="AG107" s="178"/>
      <c r="AH107" s="178"/>
      <c r="AI107" s="178"/>
      <c r="AJ107" s="178"/>
      <c r="AK107" s="178"/>
      <c r="AL107" s="178"/>
      <c r="AM107" s="178"/>
      <c r="AN107" s="178"/>
      <c r="AO107" s="178"/>
    </row>
    <row r="108" spans="1:42" ht="17">
      <c r="A108" s="191" t="s">
        <v>479</v>
      </c>
      <c r="B108" s="615">
        <f>'Sector Target-Setting Tool'!$D197</f>
        <v>0</v>
      </c>
      <c r="C108" s="145" t="s">
        <v>658</v>
      </c>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row>
    <row r="109" spans="1:42">
      <c r="A109" s="614" t="s">
        <v>662</v>
      </c>
      <c r="B109" s="616">
        <v>2050</v>
      </c>
      <c r="C109" s="145" t="s">
        <v>663</v>
      </c>
      <c r="K109" s="178"/>
      <c r="L109" s="178"/>
      <c r="M109" s="178"/>
      <c r="N109" s="178"/>
      <c r="O109" s="178"/>
      <c r="P109" s="178"/>
      <c r="Q109" s="178"/>
      <c r="R109" s="178"/>
      <c r="S109" s="178"/>
      <c r="T109" s="178"/>
      <c r="U109" s="178"/>
      <c r="V109" s="178"/>
      <c r="W109" s="178"/>
      <c r="X109" s="178"/>
      <c r="Y109" s="178"/>
      <c r="Z109" s="178"/>
      <c r="AA109" s="178"/>
      <c r="AB109" s="178"/>
      <c r="AC109" s="178"/>
      <c r="AD109" s="178"/>
      <c r="AE109" s="178"/>
      <c r="AF109" s="178"/>
      <c r="AG109" s="178"/>
      <c r="AH109" s="178"/>
      <c r="AI109" s="178"/>
      <c r="AJ109" s="178"/>
      <c r="AK109" s="178"/>
      <c r="AL109" s="178"/>
      <c r="AM109" s="178"/>
      <c r="AN109" s="178"/>
      <c r="AO109" s="178"/>
    </row>
    <row r="110" spans="1:42" ht="17">
      <c r="A110" s="617" t="s">
        <v>664</v>
      </c>
      <c r="B110" s="618" t="str">
        <f>'Sector Target-Setting Tool'!$D194</f>
        <v/>
      </c>
      <c r="C110" s="145" t="s">
        <v>658</v>
      </c>
      <c r="K110" s="178"/>
      <c r="L110" s="178"/>
      <c r="M110" s="178"/>
      <c r="N110" s="178"/>
      <c r="O110" s="178"/>
      <c r="P110" s="178"/>
      <c r="Q110" s="178"/>
      <c r="R110" s="178"/>
      <c r="S110" s="178"/>
      <c r="T110" s="178"/>
      <c r="U110" s="178"/>
      <c r="V110" s="178"/>
      <c r="W110" s="178"/>
      <c r="X110" s="178"/>
      <c r="Y110" s="178"/>
      <c r="Z110" s="178"/>
      <c r="AA110" s="178"/>
      <c r="AB110" s="178"/>
      <c r="AC110" s="178"/>
      <c r="AD110" s="178"/>
      <c r="AE110" s="178"/>
      <c r="AF110" s="178"/>
      <c r="AG110" s="178"/>
      <c r="AH110" s="178"/>
      <c r="AI110" s="178"/>
      <c r="AJ110" s="178"/>
      <c r="AK110" s="178"/>
      <c r="AL110" s="178"/>
      <c r="AM110" s="178"/>
      <c r="AN110" s="178"/>
      <c r="AO110" s="178"/>
    </row>
    <row r="111" spans="1:42">
      <c r="A111" s="614" t="s">
        <v>665</v>
      </c>
      <c r="B111" s="618" t="str">
        <f>IF(ISBLANK('Sector Target-Setting Tool'!$D200),"",'Sector Target-Setting Tool'!$D200)</f>
        <v/>
      </c>
      <c r="C111" s="145" t="s">
        <v>658</v>
      </c>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row>
    <row r="112" spans="1:42">
      <c r="A112" s="614" t="s">
        <v>666</v>
      </c>
      <c r="B112" s="618" t="e">
        <f>HLOOKUP($B107,$E105:$AP111,2)</f>
        <v>#N/A</v>
      </c>
      <c r="C112" s="145" t="s">
        <v>667</v>
      </c>
    </row>
    <row r="113" spans="1:42">
      <c r="A113" s="614" t="s">
        <v>668</v>
      </c>
      <c r="B113" s="619" t="str">
        <f>IF(ISNUMBER($B110),IF($B110&gt;$B112,"No","Yes"),"")</f>
        <v/>
      </c>
      <c r="C113" s="145" t="s">
        <v>667</v>
      </c>
    </row>
    <row r="114" spans="1:42">
      <c r="A114" s="614" t="s">
        <v>669</v>
      </c>
      <c r="B114" s="618" t="e">
        <f>HLOOKUP($B108,$E105:$AP111,2)</f>
        <v>#N/A</v>
      </c>
      <c r="C114" s="145" t="s">
        <v>667</v>
      </c>
      <c r="D114" s="620"/>
    </row>
    <row r="115" spans="1:42">
      <c r="A115" s="614" t="s">
        <v>670</v>
      </c>
      <c r="B115" s="618">
        <f>HLOOKUP($B109,$E105:$AP111,2)</f>
        <v>26</v>
      </c>
      <c r="C115" s="145" t="s">
        <v>667</v>
      </c>
    </row>
    <row r="116" spans="1:42">
      <c r="A116" s="614" t="s">
        <v>671</v>
      </c>
      <c r="B116" s="618" t="e">
        <f>IF(($B110-$B115)*(($B114-$B115)/($B112-$B115))+$B115&gt;$B110,$B110,($B110-$B115)*(($B114-$B115)/($B112-$B115))+$B115)</f>
        <v>#VALUE!</v>
      </c>
      <c r="C116" s="145" t="s">
        <v>667</v>
      </c>
    </row>
    <row r="117" spans="1:42">
      <c r="A117" s="614" t="s">
        <v>363</v>
      </c>
      <c r="B117" s="619" t="str">
        <f>IF(ISNUMBER($B111),IF($B111&gt;$B116,"No","Yes"),"")</f>
        <v/>
      </c>
      <c r="C117" s="145" t="s">
        <v>667</v>
      </c>
    </row>
    <row r="118" spans="1:42">
      <c r="A118" s="1035" t="s">
        <v>672</v>
      </c>
      <c r="B118" s="618" t="str">
        <f>IFERROR($B112,"")</f>
        <v/>
      </c>
      <c r="C118" s="145" t="s">
        <v>667</v>
      </c>
    </row>
    <row r="119" spans="1:42">
      <c r="A119" s="1035"/>
      <c r="B119" s="618" t="str">
        <f>IFERROR($B113,"")</f>
        <v/>
      </c>
      <c r="C119" s="145" t="s">
        <v>667</v>
      </c>
    </row>
    <row r="120" spans="1:42">
      <c r="A120" s="1035"/>
      <c r="B120" s="618" t="str">
        <f>IFERROR($B116,"")</f>
        <v/>
      </c>
      <c r="C120" s="145" t="s">
        <v>667</v>
      </c>
    </row>
    <row r="121" spans="1:42">
      <c r="A121" s="1035"/>
      <c r="B121" s="618" t="str">
        <f>IFERROR($B117,"")</f>
        <v/>
      </c>
      <c r="C121" s="145" t="s">
        <v>667</v>
      </c>
    </row>
    <row r="122" spans="1:42">
      <c r="A122" s="195"/>
    </row>
    <row r="123" spans="1:42" ht="30">
      <c r="A123" s="189" t="str">
        <f>'Sector Target-Setting Tool'!$C206</f>
        <v>Automotive</v>
      </c>
    </row>
    <row r="124" spans="1:42" ht="23">
      <c r="A124" s="194" t="str">
        <f>'Sector Target-Setting Tool'!$C208</f>
        <v>Portfolio Intensity Convergence</v>
      </c>
    </row>
    <row r="125" spans="1:42" ht="17">
      <c r="A125" s="191" t="s">
        <v>470</v>
      </c>
      <c r="B125" s="612" t="str">
        <f>'Sector Target-Setting Tool'!$D211</f>
        <v>Emissions Intensity</v>
      </c>
      <c r="C125" s="145" t="s">
        <v>658</v>
      </c>
      <c r="E125" s="613" t="s">
        <v>627</v>
      </c>
      <c r="F125" s="613" t="s">
        <v>659</v>
      </c>
      <c r="G125" s="613" t="s">
        <v>470</v>
      </c>
      <c r="H125" s="613" t="s">
        <v>472</v>
      </c>
      <c r="I125" s="613" t="s">
        <v>510</v>
      </c>
      <c r="J125" s="613" t="s">
        <v>660</v>
      </c>
      <c r="K125" s="613">
        <v>2020</v>
      </c>
      <c r="L125" s="613">
        <v>2021</v>
      </c>
      <c r="M125" s="613">
        <v>2022</v>
      </c>
      <c r="N125" s="613">
        <v>2023</v>
      </c>
      <c r="O125" s="613">
        <v>2024</v>
      </c>
      <c r="P125" s="613">
        <v>2025</v>
      </c>
      <c r="Q125" s="613">
        <v>2026</v>
      </c>
      <c r="R125" s="613">
        <v>2027</v>
      </c>
      <c r="S125" s="613">
        <v>2028</v>
      </c>
      <c r="T125" s="613">
        <v>2029</v>
      </c>
      <c r="U125" s="613">
        <v>2030</v>
      </c>
      <c r="V125" s="613">
        <v>2031</v>
      </c>
      <c r="W125" s="613">
        <v>2032</v>
      </c>
      <c r="X125" s="613">
        <v>2033</v>
      </c>
      <c r="Y125" s="613">
        <v>2034</v>
      </c>
      <c r="Z125" s="613">
        <v>2035</v>
      </c>
      <c r="AA125" s="613">
        <v>2036</v>
      </c>
      <c r="AB125" s="613">
        <v>2037</v>
      </c>
      <c r="AC125" s="613">
        <v>2038</v>
      </c>
      <c r="AD125" s="613">
        <v>2039</v>
      </c>
      <c r="AE125" s="613">
        <v>2040</v>
      </c>
      <c r="AF125" s="613">
        <v>2041</v>
      </c>
      <c r="AG125" s="613">
        <v>2042</v>
      </c>
      <c r="AH125" s="613">
        <v>2043</v>
      </c>
      <c r="AI125" s="613">
        <v>2044</v>
      </c>
      <c r="AJ125" s="613">
        <v>2045</v>
      </c>
      <c r="AK125" s="613">
        <v>2046</v>
      </c>
      <c r="AL125" s="613">
        <v>2047</v>
      </c>
      <c r="AM125" s="613">
        <v>2048</v>
      </c>
      <c r="AN125" s="613">
        <v>2049</v>
      </c>
      <c r="AO125" s="613">
        <v>2050</v>
      </c>
      <c r="AP125" s="613" t="s">
        <v>661</v>
      </c>
    </row>
    <row r="126" spans="1:42" ht="17">
      <c r="A126" s="614" t="s">
        <v>510</v>
      </c>
      <c r="B126" s="612" t="str">
        <f>'Sector Target-Setting Tool'!$D213</f>
        <v>IEA NZE (2023)</v>
      </c>
      <c r="C126" s="145" t="s">
        <v>658</v>
      </c>
      <c r="E126" s="192" t="str" cm="1">
        <f t="array" ref="E126:AP126">_xlfn._xlws.FILTER(pathway_database,(pathway_database_sector="Automotive")*(pathway_database_metric_type=$B125)*(pathway_database_pathway=$B126),"")</f>
        <v>Automotive</v>
      </c>
      <c r="F126" s="192" t="str">
        <v>Not Applicable</v>
      </c>
      <c r="G126" s="192" t="str">
        <v>Emissions Intensity</v>
      </c>
      <c r="H126" s="192" t="str">
        <v>tCO2/v.km</v>
      </c>
      <c r="I126" s="192" t="str">
        <v>IEA NZE (2023)</v>
      </c>
      <c r="J126" s="192" t="str">
        <v>Global</v>
      </c>
      <c r="K126" s="193">
        <v>256.79999999999995</v>
      </c>
      <c r="L126" s="193">
        <v>252.49999999999997</v>
      </c>
      <c r="M126" s="193">
        <v>248.2</v>
      </c>
      <c r="N126" s="193">
        <v>243.9</v>
      </c>
      <c r="O126" s="193">
        <v>211.10000000000002</v>
      </c>
      <c r="P126" s="193">
        <v>178.3</v>
      </c>
      <c r="Q126" s="193">
        <v>153.20000000000002</v>
      </c>
      <c r="R126" s="193">
        <v>128.10000000000002</v>
      </c>
      <c r="S126" s="193">
        <v>103.00000000000003</v>
      </c>
      <c r="T126" s="193">
        <v>77.900000000000034</v>
      </c>
      <c r="U126" s="193">
        <v>52.8</v>
      </c>
      <c r="V126" s="193">
        <v>46.519999999999996</v>
      </c>
      <c r="W126" s="193">
        <v>40.239999999999995</v>
      </c>
      <c r="X126" s="193">
        <v>33.959999999999994</v>
      </c>
      <c r="Y126" s="193">
        <v>27.679999999999993</v>
      </c>
      <c r="Z126" s="193">
        <v>21.4</v>
      </c>
      <c r="AA126" s="193">
        <v>19.16</v>
      </c>
      <c r="AB126" s="193">
        <v>16.920000000000002</v>
      </c>
      <c r="AC126" s="193">
        <v>14.680000000000001</v>
      </c>
      <c r="AD126" s="193">
        <v>12.440000000000001</v>
      </c>
      <c r="AE126" s="193">
        <v>10.199999999999999</v>
      </c>
      <c r="AF126" s="193">
        <v>9.34</v>
      </c>
      <c r="AG126" s="193">
        <v>8.48</v>
      </c>
      <c r="AH126" s="193">
        <v>7.620000000000001</v>
      </c>
      <c r="AI126" s="193">
        <v>6.7600000000000016</v>
      </c>
      <c r="AJ126" s="193">
        <v>5.9</v>
      </c>
      <c r="AK126" s="193">
        <v>5.0600000000000005</v>
      </c>
      <c r="AL126" s="193">
        <v>4.2200000000000006</v>
      </c>
      <c r="AM126" s="193">
        <v>3.3800000000000008</v>
      </c>
      <c r="AN126" s="193">
        <v>2.5400000000000009</v>
      </c>
      <c r="AO126" s="193">
        <v>1.7</v>
      </c>
      <c r="AP126" s="192" t="str">
        <v>Not Applicable</v>
      </c>
    </row>
    <row r="127" spans="1:42" ht="17">
      <c r="A127" s="191" t="s">
        <v>477</v>
      </c>
      <c r="B127" s="615">
        <f>'Sector Target-Setting Tool'!$D214</f>
        <v>0</v>
      </c>
      <c r="C127" s="145" t="s">
        <v>658</v>
      </c>
    </row>
    <row r="128" spans="1:42" ht="17">
      <c r="A128" s="191" t="s">
        <v>479</v>
      </c>
      <c r="B128" s="615">
        <f>'Sector Target-Setting Tool'!$D220</f>
        <v>0</v>
      </c>
      <c r="C128" s="145" t="s">
        <v>658</v>
      </c>
    </row>
    <row r="129" spans="1:42">
      <c r="A129" s="614" t="s">
        <v>662</v>
      </c>
      <c r="B129" s="616">
        <v>2050</v>
      </c>
      <c r="C129" s="145" t="s">
        <v>663</v>
      </c>
    </row>
    <row r="130" spans="1:42" ht="17">
      <c r="A130" s="617" t="s">
        <v>664</v>
      </c>
      <c r="B130" s="618" t="str">
        <f>'Sector Target-Setting Tool'!$D217</f>
        <v/>
      </c>
      <c r="C130" s="145" t="s">
        <v>658</v>
      </c>
    </row>
    <row r="131" spans="1:42">
      <c r="A131" s="614" t="s">
        <v>665</v>
      </c>
      <c r="B131" s="618" t="str">
        <f>IF(ISBLANK('Sector Target-Setting Tool'!$D223),"",'Sector Target-Setting Tool'!$D223)</f>
        <v/>
      </c>
      <c r="C131" s="145" t="s">
        <v>658</v>
      </c>
    </row>
    <row r="132" spans="1:42">
      <c r="A132" s="614" t="s">
        <v>666</v>
      </c>
      <c r="B132" s="618" t="e">
        <f>HLOOKUP($B127,$E125:$AP126,2)</f>
        <v>#N/A</v>
      </c>
      <c r="C132" s="145" t="s">
        <v>667</v>
      </c>
    </row>
    <row r="133" spans="1:42">
      <c r="A133" s="614" t="s">
        <v>668</v>
      </c>
      <c r="B133" s="619" t="str">
        <f>IF(ISNUMBER($B130),IF($B130&gt;$B132,"No","Yes"),"")</f>
        <v/>
      </c>
      <c r="C133" s="145" t="s">
        <v>667</v>
      </c>
    </row>
    <row r="134" spans="1:42">
      <c r="A134" s="614" t="s">
        <v>669</v>
      </c>
      <c r="B134" s="618" t="e">
        <f>HLOOKUP($B128,$E125:$AP126,2)</f>
        <v>#N/A</v>
      </c>
      <c r="C134" s="145" t="s">
        <v>667</v>
      </c>
    </row>
    <row r="135" spans="1:42">
      <c r="A135" s="614" t="s">
        <v>670</v>
      </c>
      <c r="B135" s="618">
        <f>HLOOKUP($B129,$E125:$AP126,2)</f>
        <v>1.7</v>
      </c>
      <c r="C135" s="145" t="s">
        <v>667</v>
      </c>
    </row>
    <row r="136" spans="1:42">
      <c r="A136" s="614" t="s">
        <v>671</v>
      </c>
      <c r="B136" s="618" t="e">
        <f>IF(($B130-$B135)*(($B134-$B135)/($B132-$B135))+$B135&gt;$B130,$B130,($B130-$B135)*(($B134-$B135)/($B132-$B135))+$B135)</f>
        <v>#VALUE!</v>
      </c>
      <c r="C136" s="145" t="s">
        <v>667</v>
      </c>
      <c r="D136" s="620"/>
    </row>
    <row r="137" spans="1:42">
      <c r="A137" s="614" t="s">
        <v>363</v>
      </c>
      <c r="B137" s="619" t="str">
        <f>IF(ISNUMBER($B131),IF($B131&gt;$B136,"No","Yes"),"")</f>
        <v/>
      </c>
      <c r="C137" s="145" t="s">
        <v>667</v>
      </c>
    </row>
    <row r="138" spans="1:42">
      <c r="A138" s="1035" t="s">
        <v>672</v>
      </c>
      <c r="B138" s="618" t="str">
        <f>IFERROR($B132,"")</f>
        <v/>
      </c>
      <c r="C138" s="145" t="s">
        <v>667</v>
      </c>
    </row>
    <row r="139" spans="1:42">
      <c r="A139" s="1035"/>
      <c r="B139" s="618" t="str">
        <f>IFERROR($B133,"")</f>
        <v/>
      </c>
      <c r="C139" s="145" t="s">
        <v>667</v>
      </c>
    </row>
    <row r="140" spans="1:42">
      <c r="A140" s="1035"/>
      <c r="B140" s="618" t="str">
        <f>IFERROR($B136,"")</f>
        <v/>
      </c>
      <c r="C140" s="145" t="s">
        <v>667</v>
      </c>
    </row>
    <row r="141" spans="1:42">
      <c r="A141" s="1035"/>
      <c r="B141" s="618" t="str">
        <f>IFERROR($B137,"")</f>
        <v/>
      </c>
      <c r="C141" s="145" t="s">
        <v>667</v>
      </c>
    </row>
    <row r="142" spans="1:42">
      <c r="A142" s="195"/>
    </row>
    <row r="143" spans="1:42" ht="23">
      <c r="A143" s="199" t="str">
        <f>'Sector Target-Setting Tool'!$C226</f>
        <v>Portfolio Index Alignment</v>
      </c>
    </row>
    <row r="144" spans="1:42" ht="17">
      <c r="A144" s="191" t="s">
        <v>470</v>
      </c>
      <c r="B144" s="612" t="str">
        <f>'Sector Target-Setting Tool'!$D229</f>
        <v>Technology Share</v>
      </c>
      <c r="C144" s="145" t="s">
        <v>658</v>
      </c>
      <c r="E144" s="613" t="s">
        <v>627</v>
      </c>
      <c r="F144" s="613" t="s">
        <v>659</v>
      </c>
      <c r="G144" s="613" t="s">
        <v>470</v>
      </c>
      <c r="H144" s="613" t="s">
        <v>472</v>
      </c>
      <c r="I144" s="613" t="s">
        <v>510</v>
      </c>
      <c r="J144" s="613" t="s">
        <v>660</v>
      </c>
      <c r="K144" s="613">
        <v>2020</v>
      </c>
      <c r="L144" s="613">
        <v>2021</v>
      </c>
      <c r="M144" s="613">
        <v>2022</v>
      </c>
      <c r="N144" s="613">
        <v>2023</v>
      </c>
      <c r="O144" s="613">
        <v>2024</v>
      </c>
      <c r="P144" s="613">
        <v>2025</v>
      </c>
      <c r="Q144" s="613">
        <v>2026</v>
      </c>
      <c r="R144" s="613">
        <v>2027</v>
      </c>
      <c r="S144" s="613">
        <v>2028</v>
      </c>
      <c r="T144" s="613">
        <v>2029</v>
      </c>
      <c r="U144" s="613">
        <v>2030</v>
      </c>
      <c r="V144" s="613">
        <v>2031</v>
      </c>
      <c r="W144" s="613">
        <v>2032</v>
      </c>
      <c r="X144" s="613">
        <v>2033</v>
      </c>
      <c r="Y144" s="613">
        <v>2034</v>
      </c>
      <c r="Z144" s="613">
        <v>2035</v>
      </c>
      <c r="AA144" s="613">
        <v>2036</v>
      </c>
      <c r="AB144" s="613">
        <v>2037</v>
      </c>
      <c r="AC144" s="613">
        <v>2038</v>
      </c>
      <c r="AD144" s="613">
        <v>2039</v>
      </c>
      <c r="AE144" s="613">
        <v>2040</v>
      </c>
      <c r="AF144" s="613">
        <v>2041</v>
      </c>
      <c r="AG144" s="613">
        <v>2042</v>
      </c>
      <c r="AH144" s="613">
        <v>2043</v>
      </c>
      <c r="AI144" s="613">
        <v>2044</v>
      </c>
      <c r="AJ144" s="613">
        <v>2045</v>
      </c>
      <c r="AK144" s="613">
        <v>2046</v>
      </c>
      <c r="AL144" s="613">
        <v>2047</v>
      </c>
      <c r="AM144" s="613">
        <v>2048</v>
      </c>
      <c r="AN144" s="613">
        <v>2049</v>
      </c>
      <c r="AO144" s="613">
        <v>2050</v>
      </c>
      <c r="AP144" s="613" t="s">
        <v>661</v>
      </c>
    </row>
    <row r="145" spans="1:42" ht="17">
      <c r="A145" s="614" t="s">
        <v>510</v>
      </c>
      <c r="B145" s="612" t="str">
        <f>'Sector Target-Setting Tool'!$D231</f>
        <v>IEA NZE (2023)</v>
      </c>
      <c r="C145" s="145" t="s">
        <v>658</v>
      </c>
      <c r="E145" s="192" t="str" cm="1">
        <f t="array" ref="E145:AP145">_xlfn._xlws.FILTER(pathway_database,(pathway_database_sector="Automotive")*(pathway_database_metric_type=$B144)*(pathway_database_pathway=$B145),"")</f>
        <v>Automotive</v>
      </c>
      <c r="F145" s="192" t="str">
        <v>Not Applicable</v>
      </c>
      <c r="G145" s="192" t="str">
        <v>Technology Share</v>
      </c>
      <c r="H145" s="192" t="str">
        <v>% Zero Carbon Production</v>
      </c>
      <c r="I145" s="192" t="str">
        <v>IEA NZE (2023)</v>
      </c>
      <c r="J145" s="192" t="str">
        <v>Global</v>
      </c>
      <c r="K145" s="193">
        <v>5</v>
      </c>
      <c r="L145" s="193">
        <v>10.5</v>
      </c>
      <c r="M145" s="193">
        <v>16</v>
      </c>
      <c r="N145" s="193">
        <v>21.5</v>
      </c>
      <c r="O145" s="193">
        <v>27</v>
      </c>
      <c r="P145" s="193">
        <v>32.5</v>
      </c>
      <c r="Q145" s="193">
        <v>38</v>
      </c>
      <c r="R145" s="193">
        <v>43.5</v>
      </c>
      <c r="S145" s="193">
        <v>49</v>
      </c>
      <c r="T145" s="193">
        <v>54.5</v>
      </c>
      <c r="U145" s="193">
        <v>60</v>
      </c>
      <c r="V145" s="193">
        <v>62</v>
      </c>
      <c r="W145" s="193">
        <v>64</v>
      </c>
      <c r="X145" s="193">
        <v>66</v>
      </c>
      <c r="Y145" s="193">
        <v>68</v>
      </c>
      <c r="Z145" s="193">
        <v>70</v>
      </c>
      <c r="AA145" s="193">
        <v>72</v>
      </c>
      <c r="AB145" s="193">
        <v>74</v>
      </c>
      <c r="AC145" s="193">
        <v>76</v>
      </c>
      <c r="AD145" s="193">
        <v>78</v>
      </c>
      <c r="AE145" s="193">
        <v>80</v>
      </c>
      <c r="AF145" s="193">
        <v>82</v>
      </c>
      <c r="AG145" s="193">
        <v>84</v>
      </c>
      <c r="AH145" s="193">
        <v>86</v>
      </c>
      <c r="AI145" s="193">
        <v>88</v>
      </c>
      <c r="AJ145" s="193">
        <v>90</v>
      </c>
      <c r="AK145" s="193">
        <v>92</v>
      </c>
      <c r="AL145" s="193">
        <v>94</v>
      </c>
      <c r="AM145" s="193">
        <v>96</v>
      </c>
      <c r="AN145" s="193">
        <v>98</v>
      </c>
      <c r="AO145" s="193">
        <v>100</v>
      </c>
      <c r="AP145" s="192" t="str">
        <v>Not Applicable</v>
      </c>
    </row>
    <row r="146" spans="1:42" ht="17">
      <c r="A146" s="191" t="s">
        <v>477</v>
      </c>
      <c r="B146" s="615">
        <f>'Sector Target-Setting Tool'!$D232</f>
        <v>0</v>
      </c>
      <c r="C146" s="145" t="s">
        <v>658</v>
      </c>
    </row>
    <row r="147" spans="1:42" ht="17">
      <c r="A147" s="191" t="s">
        <v>479</v>
      </c>
      <c r="B147" s="615">
        <f>'Sector Target-Setting Tool'!$D238</f>
        <v>0</v>
      </c>
      <c r="C147" s="145" t="s">
        <v>658</v>
      </c>
    </row>
    <row r="148" spans="1:42">
      <c r="A148" s="614" t="s">
        <v>662</v>
      </c>
      <c r="B148" s="616">
        <v>2050</v>
      </c>
      <c r="C148" s="145" t="s">
        <v>663</v>
      </c>
    </row>
    <row r="149" spans="1:42" ht="17">
      <c r="A149" s="617" t="s">
        <v>664</v>
      </c>
      <c r="B149" s="618" t="str">
        <f>'Sector Target-Setting Tool'!$D235</f>
        <v/>
      </c>
      <c r="C149" s="145" t="s">
        <v>658</v>
      </c>
    </row>
    <row r="150" spans="1:42">
      <c r="A150" s="614" t="s">
        <v>665</v>
      </c>
      <c r="B150" s="618" t="str">
        <f>IF(ISBLANK('Sector Target-Setting Tool'!$D240),"",'Sector Target-Setting Tool'!$D240)</f>
        <v/>
      </c>
      <c r="C150" s="145" t="s">
        <v>658</v>
      </c>
    </row>
    <row r="151" spans="1:42">
      <c r="A151" s="614" t="s">
        <v>666</v>
      </c>
      <c r="B151" s="618" t="e">
        <f>HLOOKUP($B146,$E144:$AP145,2)</f>
        <v>#N/A</v>
      </c>
      <c r="C151" s="145" t="s">
        <v>667</v>
      </c>
    </row>
    <row r="152" spans="1:42">
      <c r="A152" s="614" t="s">
        <v>668</v>
      </c>
      <c r="B152" s="619" t="str">
        <f>IF(ISNUMBER($B149),IF($B149&lt;$B151,"No","Yes"),"")</f>
        <v/>
      </c>
      <c r="C152" s="145" t="s">
        <v>667</v>
      </c>
    </row>
    <row r="153" spans="1:42">
      <c r="A153" s="614" t="s">
        <v>669</v>
      </c>
      <c r="B153" s="618" t="e">
        <f>HLOOKUP($B147,$E144:$AP145,2)</f>
        <v>#N/A</v>
      </c>
      <c r="C153" s="145" t="s">
        <v>667</v>
      </c>
    </row>
    <row r="154" spans="1:42">
      <c r="A154" s="614" t="s">
        <v>670</v>
      </c>
      <c r="B154" s="618">
        <f>HLOOKUP($B148,$E144:$AP145,2)</f>
        <v>100</v>
      </c>
      <c r="C154" s="145" t="s">
        <v>667</v>
      </c>
    </row>
    <row r="155" spans="1:42">
      <c r="A155" s="614" t="s">
        <v>671</v>
      </c>
      <c r="B155" s="618" t="e">
        <f>IF(($B149-$B154)*(($B153-$B154)/($B151-$B154))+$B154&lt;$B149,$B149,($B149-$B154)*(($B153-$B154)/($B151-$B154))+$B154)</f>
        <v>#VALUE!</v>
      </c>
      <c r="C155" s="145" t="s">
        <v>667</v>
      </c>
      <c r="D155" s="620"/>
    </row>
    <row r="156" spans="1:42">
      <c r="A156" s="614" t="s">
        <v>363</v>
      </c>
      <c r="B156" s="619" t="str">
        <f>IF(ISNUMBER($B150),IF($B150&lt;$B155,"No","Yes"),"")</f>
        <v/>
      </c>
      <c r="C156" s="145" t="s">
        <v>667</v>
      </c>
    </row>
    <row r="157" spans="1:42">
      <c r="A157" s="1035" t="s">
        <v>672</v>
      </c>
      <c r="B157" s="618" t="str">
        <f>IFERROR($B151,"")</f>
        <v/>
      </c>
      <c r="C157" s="145" t="s">
        <v>667</v>
      </c>
    </row>
    <row r="158" spans="1:42">
      <c r="A158" s="1035"/>
      <c r="B158" s="618" t="str">
        <f>IFERROR($B152,"")</f>
        <v/>
      </c>
      <c r="C158" s="145" t="s">
        <v>667</v>
      </c>
    </row>
    <row r="159" spans="1:42">
      <c r="A159" s="1035"/>
      <c r="B159" s="618" t="str">
        <f>IFERROR($B155,"")</f>
        <v/>
      </c>
      <c r="C159" s="145" t="s">
        <v>667</v>
      </c>
    </row>
    <row r="160" spans="1:42">
      <c r="A160" s="1035"/>
      <c r="B160" s="618" t="str">
        <f>IFERROR($B156,"")</f>
        <v/>
      </c>
      <c r="C160" s="145" t="s">
        <v>667</v>
      </c>
    </row>
    <row r="161" spans="1:42">
      <c r="A161" s="195"/>
    </row>
    <row r="162" spans="1:42" ht="30">
      <c r="A162" s="189" t="str">
        <f>'Sector Target-Setting Tool'!$C284</f>
        <v>FLAG</v>
      </c>
    </row>
    <row r="163" spans="1:42" ht="17">
      <c r="A163" s="200" t="s">
        <v>659</v>
      </c>
      <c r="B163" s="612" t="str">
        <f>'Sector Target-Setting Tool'!$C287</f>
        <v>Beef</v>
      </c>
      <c r="C163" s="145" t="s">
        <v>658</v>
      </c>
      <c r="E163" s="613" t="s">
        <v>627</v>
      </c>
      <c r="F163" s="613" t="s">
        <v>659</v>
      </c>
      <c r="G163" s="613" t="s">
        <v>470</v>
      </c>
      <c r="H163" s="613" t="s">
        <v>472</v>
      </c>
      <c r="I163" s="613" t="s">
        <v>510</v>
      </c>
      <c r="J163" s="613" t="s">
        <v>660</v>
      </c>
      <c r="K163" s="613">
        <v>2020</v>
      </c>
      <c r="L163" s="613">
        <v>2021</v>
      </c>
      <c r="M163" s="613">
        <v>2022</v>
      </c>
      <c r="N163" s="613">
        <v>2023</v>
      </c>
      <c r="O163" s="613">
        <v>2024</v>
      </c>
      <c r="P163" s="613">
        <v>2025</v>
      </c>
      <c r="Q163" s="613">
        <v>2026</v>
      </c>
      <c r="R163" s="613">
        <v>2027</v>
      </c>
      <c r="S163" s="613">
        <v>2028</v>
      </c>
      <c r="T163" s="613">
        <v>2029</v>
      </c>
      <c r="U163" s="613">
        <v>2030</v>
      </c>
      <c r="V163" s="613">
        <v>2031</v>
      </c>
      <c r="W163" s="613">
        <v>2032</v>
      </c>
      <c r="X163" s="613">
        <v>2033</v>
      </c>
      <c r="Y163" s="613">
        <v>2034</v>
      </c>
      <c r="Z163" s="613">
        <v>2035</v>
      </c>
      <c r="AA163" s="613">
        <v>2036</v>
      </c>
      <c r="AB163" s="613">
        <v>2037</v>
      </c>
      <c r="AC163" s="613">
        <v>2038</v>
      </c>
      <c r="AD163" s="613">
        <v>2039</v>
      </c>
      <c r="AE163" s="613">
        <v>2040</v>
      </c>
      <c r="AF163" s="613">
        <v>2041</v>
      </c>
      <c r="AG163" s="613">
        <v>2042</v>
      </c>
      <c r="AH163" s="613">
        <v>2043</v>
      </c>
      <c r="AI163" s="613">
        <v>2044</v>
      </c>
      <c r="AJ163" s="613">
        <v>2045</v>
      </c>
      <c r="AK163" s="613">
        <v>2046</v>
      </c>
      <c r="AL163" s="613">
        <v>2047</v>
      </c>
      <c r="AM163" s="613">
        <v>2048</v>
      </c>
      <c r="AN163" s="613">
        <v>2049</v>
      </c>
      <c r="AO163" s="613">
        <v>2050</v>
      </c>
      <c r="AP163" s="613" t="s">
        <v>661</v>
      </c>
    </row>
    <row r="164" spans="1:42" ht="17">
      <c r="A164" s="191" t="s">
        <v>470</v>
      </c>
      <c r="B164" s="612" t="str">
        <f>'Sector Target-Setting Tool'!$D290</f>
        <v>Emissions Intensity</v>
      </c>
      <c r="C164" s="145" t="s">
        <v>658</v>
      </c>
      <c r="E164" s="192" t="str" cm="1">
        <f t="array" ref="E164:AP164">_xlfn._xlws.FILTER(pathway_database,(pathway_database_sector="FLAG")*(pathway_database_subsector=$B163)*(pathway_database_metric_type=$B164)*(pathway_database_pathway=$B165),"")</f>
        <v>FLAG</v>
      </c>
      <c r="F164" s="192" t="str">
        <v>Beef</v>
      </c>
      <c r="G164" s="192" t="str">
        <v>Emissions Intensity</v>
      </c>
      <c r="H164" s="192" t="str">
        <v>tCO2/t fresh weight</v>
      </c>
      <c r="I164" s="192" t="str">
        <v>SBTi Pathway</v>
      </c>
      <c r="J164" s="192" t="str">
        <v>Global</v>
      </c>
      <c r="K164" s="193">
        <v>31.958060339999999</v>
      </c>
      <c r="L164" s="193">
        <v>31.558983911999999</v>
      </c>
      <c r="M164" s="193">
        <v>31.159907483999998</v>
      </c>
      <c r="N164" s="193">
        <v>30.760831055999997</v>
      </c>
      <c r="O164" s="193">
        <v>30.361754627999996</v>
      </c>
      <c r="P164" s="193">
        <v>29.962678199999999</v>
      </c>
      <c r="Q164" s="193">
        <v>29.557542559999998</v>
      </c>
      <c r="R164" s="193">
        <v>29.152406919999997</v>
      </c>
      <c r="S164" s="193">
        <v>28.747271279999996</v>
      </c>
      <c r="T164" s="193">
        <v>28.342135639999995</v>
      </c>
      <c r="U164" s="193">
        <v>27.937000000000001</v>
      </c>
      <c r="V164" s="193">
        <v>27.654600000000002</v>
      </c>
      <c r="W164" s="193">
        <v>27.372200000000003</v>
      </c>
      <c r="X164" s="193">
        <v>27.089800000000004</v>
      </c>
      <c r="Y164" s="193">
        <v>26.807400000000005</v>
      </c>
      <c r="Z164" s="193">
        <v>26.524999999999999</v>
      </c>
      <c r="AA164" s="193">
        <v>26.2456</v>
      </c>
      <c r="AB164" s="193">
        <v>25.966200000000001</v>
      </c>
      <c r="AC164" s="193">
        <v>25.686800000000002</v>
      </c>
      <c r="AD164" s="193">
        <v>25.407400000000003</v>
      </c>
      <c r="AE164" s="193">
        <v>25.128</v>
      </c>
      <c r="AF164" s="193">
        <v>24.807600000000001</v>
      </c>
      <c r="AG164" s="193">
        <v>24.487200000000001</v>
      </c>
      <c r="AH164" s="193">
        <v>24.166800000000002</v>
      </c>
      <c r="AI164" s="193">
        <v>23.846400000000003</v>
      </c>
      <c r="AJ164" s="193">
        <v>23.526</v>
      </c>
      <c r="AK164" s="193">
        <v>23.134</v>
      </c>
      <c r="AL164" s="193">
        <v>22.742000000000001</v>
      </c>
      <c r="AM164" s="193">
        <v>22.35</v>
      </c>
      <c r="AN164" s="193">
        <v>21.958000000000002</v>
      </c>
      <c r="AO164" s="193">
        <v>21.565999999999999</v>
      </c>
      <c r="AP164" s="192" t="str">
        <v>Not Applicable</v>
      </c>
    </row>
    <row r="165" spans="1:42" ht="17">
      <c r="A165" s="614" t="s">
        <v>510</v>
      </c>
      <c r="B165" s="612" t="str">
        <f>'Sector Target-Setting Tool'!$D292</f>
        <v>SBTi Pathway</v>
      </c>
      <c r="C165" s="145" t="s">
        <v>658</v>
      </c>
    </row>
    <row r="166" spans="1:42" ht="17">
      <c r="A166" s="191" t="s">
        <v>477</v>
      </c>
      <c r="B166" s="615">
        <f>'Sector Target-Setting Tool'!$D293</f>
        <v>0</v>
      </c>
      <c r="C166" s="145" t="s">
        <v>658</v>
      </c>
    </row>
    <row r="167" spans="1:42" ht="17">
      <c r="A167" s="191" t="s">
        <v>479</v>
      </c>
      <c r="B167" s="615">
        <f>'Sector Target-Setting Tool'!$D299</f>
        <v>0</v>
      </c>
      <c r="C167" s="145" t="s">
        <v>658</v>
      </c>
    </row>
    <row r="168" spans="1:42">
      <c r="A168" s="614" t="s">
        <v>662</v>
      </c>
      <c r="B168" s="616">
        <v>2050</v>
      </c>
      <c r="C168" s="145" t="s">
        <v>663</v>
      </c>
    </row>
    <row r="169" spans="1:42" ht="17">
      <c r="A169" s="617" t="s">
        <v>664</v>
      </c>
      <c r="B169" s="618" t="str">
        <f>'Sector Target-Setting Tool'!$D296</f>
        <v/>
      </c>
      <c r="C169" s="145" t="s">
        <v>658</v>
      </c>
    </row>
    <row r="170" spans="1:42">
      <c r="A170" s="614" t="s">
        <v>665</v>
      </c>
      <c r="B170" s="618" t="str">
        <f>IF(ISBLANK('Sector Target-Setting Tool'!$D301),"",'Sector Target-Setting Tool'!$D301)</f>
        <v/>
      </c>
      <c r="C170" s="145" t="s">
        <v>658</v>
      </c>
    </row>
    <row r="171" spans="1:42">
      <c r="A171" s="614" t="s">
        <v>666</v>
      </c>
      <c r="B171" s="618" t="e">
        <f>HLOOKUP($B166,$E163:$AP164,2)</f>
        <v>#N/A</v>
      </c>
      <c r="C171" s="145" t="s">
        <v>667</v>
      </c>
    </row>
    <row r="172" spans="1:42">
      <c r="A172" s="614" t="s">
        <v>668</v>
      </c>
      <c r="B172" s="619" t="str">
        <f>IF(ISNUMBER($B169),IF($B169&gt;$B171,"No","Yes"),"")</f>
        <v/>
      </c>
      <c r="C172" s="145" t="s">
        <v>667</v>
      </c>
    </row>
    <row r="173" spans="1:42">
      <c r="A173" s="614" t="s">
        <v>669</v>
      </c>
      <c r="B173" s="618" t="e">
        <f>HLOOKUP($B167,$E163:$AP164,2)</f>
        <v>#N/A</v>
      </c>
      <c r="C173" s="145" t="s">
        <v>667</v>
      </c>
    </row>
    <row r="174" spans="1:42">
      <c r="A174" s="614" t="s">
        <v>670</v>
      </c>
      <c r="B174" s="618">
        <f>HLOOKUP($B168,$E163:$AP164,2)</f>
        <v>21.565999999999999</v>
      </c>
      <c r="C174" s="145" t="s">
        <v>667</v>
      </c>
      <c r="D174" s="620"/>
    </row>
    <row r="175" spans="1:42">
      <c r="A175" s="614" t="s">
        <v>671</v>
      </c>
      <c r="B175" s="618" t="e">
        <f>IF(($B169-$B174)*(($B173-$B174)/($B171-$B174))+$B174&gt;$B169,$B169,($B169-$B174)*(($B173-$B174)/($B171-$B174))+$B174)</f>
        <v>#VALUE!</v>
      </c>
      <c r="C175" s="145" t="s">
        <v>667</v>
      </c>
    </row>
    <row r="176" spans="1:42">
      <c r="A176" s="614" t="s">
        <v>363</v>
      </c>
      <c r="B176" s="619" t="str">
        <f>IF(ISNUMBER($B170),IF($B170&gt;$B175,"No","Yes"),"")</f>
        <v/>
      </c>
      <c r="C176" s="145" t="s">
        <v>667</v>
      </c>
    </row>
    <row r="177" spans="1:42">
      <c r="A177" s="1035" t="s">
        <v>672</v>
      </c>
      <c r="B177" s="618" t="str">
        <f>IFERROR($B171,"")</f>
        <v/>
      </c>
      <c r="C177" s="145" t="s">
        <v>667</v>
      </c>
    </row>
    <row r="178" spans="1:42">
      <c r="A178" s="1035"/>
      <c r="B178" s="618" t="str">
        <f>IFERROR($B172,"")</f>
        <v/>
      </c>
      <c r="C178" s="145" t="s">
        <v>667</v>
      </c>
    </row>
    <row r="179" spans="1:42">
      <c r="A179" s="1035"/>
      <c r="B179" s="618" t="str">
        <f>IFERROR($B175,"")</f>
        <v/>
      </c>
      <c r="C179" s="145" t="s">
        <v>667</v>
      </c>
    </row>
    <row r="180" spans="1:42">
      <c r="A180" s="1035"/>
      <c r="B180" s="618" t="str">
        <f>IFERROR($B176,"")</f>
        <v/>
      </c>
      <c r="C180" s="145" t="s">
        <v>667</v>
      </c>
    </row>
    <row r="181" spans="1:42">
      <c r="A181" s="195"/>
    </row>
    <row r="182" spans="1:42" ht="17">
      <c r="A182" s="200" t="s">
        <v>659</v>
      </c>
      <c r="B182" s="612" t="str">
        <f>'Sector Target-Setting Tool'!$C305</f>
        <v>Chicken</v>
      </c>
      <c r="C182" s="145" t="s">
        <v>658</v>
      </c>
      <c r="E182" s="613" t="s">
        <v>627</v>
      </c>
      <c r="F182" s="613" t="s">
        <v>659</v>
      </c>
      <c r="G182" s="613" t="s">
        <v>470</v>
      </c>
      <c r="H182" s="613" t="s">
        <v>472</v>
      </c>
      <c r="I182" s="613" t="s">
        <v>510</v>
      </c>
      <c r="J182" s="613" t="s">
        <v>660</v>
      </c>
      <c r="K182" s="613">
        <v>2020</v>
      </c>
      <c r="L182" s="613">
        <v>2021</v>
      </c>
      <c r="M182" s="613">
        <v>2022</v>
      </c>
      <c r="N182" s="613">
        <v>2023</v>
      </c>
      <c r="O182" s="613">
        <v>2024</v>
      </c>
      <c r="P182" s="613">
        <v>2025</v>
      </c>
      <c r="Q182" s="613">
        <v>2026</v>
      </c>
      <c r="R182" s="613">
        <v>2027</v>
      </c>
      <c r="S182" s="613">
        <v>2028</v>
      </c>
      <c r="T182" s="613">
        <v>2029</v>
      </c>
      <c r="U182" s="613">
        <v>2030</v>
      </c>
      <c r="V182" s="613">
        <v>2031</v>
      </c>
      <c r="W182" s="613">
        <v>2032</v>
      </c>
      <c r="X182" s="613">
        <v>2033</v>
      </c>
      <c r="Y182" s="613">
        <v>2034</v>
      </c>
      <c r="Z182" s="613">
        <v>2035</v>
      </c>
      <c r="AA182" s="613">
        <v>2036</v>
      </c>
      <c r="AB182" s="613">
        <v>2037</v>
      </c>
      <c r="AC182" s="613">
        <v>2038</v>
      </c>
      <c r="AD182" s="613">
        <v>2039</v>
      </c>
      <c r="AE182" s="613">
        <v>2040</v>
      </c>
      <c r="AF182" s="613">
        <v>2041</v>
      </c>
      <c r="AG182" s="613">
        <v>2042</v>
      </c>
      <c r="AH182" s="613">
        <v>2043</v>
      </c>
      <c r="AI182" s="613">
        <v>2044</v>
      </c>
      <c r="AJ182" s="613">
        <v>2045</v>
      </c>
      <c r="AK182" s="613">
        <v>2046</v>
      </c>
      <c r="AL182" s="613">
        <v>2047</v>
      </c>
      <c r="AM182" s="613">
        <v>2048</v>
      </c>
      <c r="AN182" s="613">
        <v>2049</v>
      </c>
      <c r="AO182" s="613">
        <v>2050</v>
      </c>
      <c r="AP182" s="613" t="s">
        <v>661</v>
      </c>
    </row>
    <row r="183" spans="1:42" ht="17">
      <c r="A183" s="191" t="s">
        <v>470</v>
      </c>
      <c r="B183" s="612" t="str">
        <f>'Sector Target-Setting Tool'!$D308</f>
        <v>Emissions Intensity</v>
      </c>
      <c r="C183" s="145" t="s">
        <v>658</v>
      </c>
      <c r="E183" s="192" t="str" cm="1">
        <f t="array" ref="E183:AP183">_xlfn._xlws.FILTER(pathway_database,(pathway_database_sector="FLAG")*(pathway_database_subsector=$B182)*(pathway_database_metric_type=$B183)*(pathway_database_pathway=$B184),"")</f>
        <v>FLAG</v>
      </c>
      <c r="F183" s="192" t="str">
        <v>Chicken</v>
      </c>
      <c r="G183" s="192" t="str">
        <v>Emissions Intensity</v>
      </c>
      <c r="H183" s="192" t="str">
        <v>tCO2/t fresh weight</v>
      </c>
      <c r="I183" s="192" t="str">
        <v>SBTi Pathway</v>
      </c>
      <c r="J183" s="192" t="str">
        <v>Global</v>
      </c>
      <c r="K183" s="193">
        <v>1.765050244</v>
      </c>
      <c r="L183" s="193">
        <v>1.7263459076000001</v>
      </c>
      <c r="M183" s="193">
        <v>1.6876415712000001</v>
      </c>
      <c r="N183" s="193">
        <v>1.6489372348000002</v>
      </c>
      <c r="O183" s="193">
        <v>1.6102328984000003</v>
      </c>
      <c r="P183" s="193">
        <v>1.5715285619999999</v>
      </c>
      <c r="Q183" s="193">
        <v>1.5388228495999998</v>
      </c>
      <c r="R183" s="193">
        <v>1.5061171371999997</v>
      </c>
      <c r="S183" s="193">
        <v>1.4734114247999996</v>
      </c>
      <c r="T183" s="193">
        <v>1.4407057123999996</v>
      </c>
      <c r="U183" s="193">
        <v>1.4079999999999999</v>
      </c>
      <c r="V183" s="193">
        <v>1.3901999999999999</v>
      </c>
      <c r="W183" s="193">
        <v>1.3723999999999998</v>
      </c>
      <c r="X183" s="193">
        <v>1.3545999999999998</v>
      </c>
      <c r="Y183" s="193">
        <v>1.3367999999999998</v>
      </c>
      <c r="Z183" s="193">
        <v>1.319</v>
      </c>
      <c r="AA183" s="193">
        <v>1.3053999999999999</v>
      </c>
      <c r="AB183" s="193">
        <v>1.2917999999999998</v>
      </c>
      <c r="AC183" s="193">
        <v>1.2781999999999998</v>
      </c>
      <c r="AD183" s="193">
        <v>1.2645999999999997</v>
      </c>
      <c r="AE183" s="193">
        <v>1.2509999999999999</v>
      </c>
      <c r="AF183" s="193">
        <v>1.234</v>
      </c>
      <c r="AG183" s="193">
        <v>1.2170000000000001</v>
      </c>
      <c r="AH183" s="193">
        <v>1.2000000000000002</v>
      </c>
      <c r="AI183" s="193">
        <v>1.1830000000000003</v>
      </c>
      <c r="AJ183" s="193">
        <v>1.1659999999999999</v>
      </c>
      <c r="AK183" s="193">
        <v>1.1437999999999999</v>
      </c>
      <c r="AL183" s="193">
        <v>1.1215999999999999</v>
      </c>
      <c r="AM183" s="193">
        <v>1.0993999999999999</v>
      </c>
      <c r="AN183" s="193">
        <v>1.0771999999999999</v>
      </c>
      <c r="AO183" s="193">
        <v>1.0549999999999999</v>
      </c>
      <c r="AP183" s="192" t="str">
        <v>Not Applicable</v>
      </c>
    </row>
    <row r="184" spans="1:42" ht="17">
      <c r="A184" s="614" t="s">
        <v>510</v>
      </c>
      <c r="B184" s="612" t="str">
        <f>'Sector Target-Setting Tool'!$D310</f>
        <v>SBTi Pathway</v>
      </c>
      <c r="C184" s="145" t="s">
        <v>658</v>
      </c>
    </row>
    <row r="185" spans="1:42" ht="17">
      <c r="A185" s="191" t="s">
        <v>477</v>
      </c>
      <c r="B185" s="615">
        <f>'Sector Target-Setting Tool'!$D311</f>
        <v>0</v>
      </c>
      <c r="C185" s="145" t="s">
        <v>658</v>
      </c>
    </row>
    <row r="186" spans="1:42" ht="17">
      <c r="A186" s="191" t="s">
        <v>479</v>
      </c>
      <c r="B186" s="615">
        <f>'Sector Target-Setting Tool'!$D317</f>
        <v>0</v>
      </c>
      <c r="C186" s="145" t="s">
        <v>658</v>
      </c>
    </row>
    <row r="187" spans="1:42">
      <c r="A187" s="614" t="s">
        <v>662</v>
      </c>
      <c r="B187" s="616">
        <v>2050</v>
      </c>
      <c r="C187" s="145" t="s">
        <v>663</v>
      </c>
    </row>
    <row r="188" spans="1:42" ht="17">
      <c r="A188" s="617" t="s">
        <v>664</v>
      </c>
      <c r="B188" s="618" t="str">
        <f>'Sector Target-Setting Tool'!$D314</f>
        <v/>
      </c>
      <c r="C188" s="145" t="s">
        <v>658</v>
      </c>
    </row>
    <row r="189" spans="1:42">
      <c r="A189" s="614" t="s">
        <v>665</v>
      </c>
      <c r="B189" s="618" t="str">
        <f>IF(ISBLANK('Sector Target-Setting Tool'!$D319),"",'Sector Target-Setting Tool'!$D319)</f>
        <v/>
      </c>
      <c r="C189" s="145" t="s">
        <v>658</v>
      </c>
    </row>
    <row r="190" spans="1:42">
      <c r="A190" s="614" t="s">
        <v>666</v>
      </c>
      <c r="B190" s="618" t="e">
        <f>HLOOKUP($B185,$E182:$AP183,2)</f>
        <v>#N/A</v>
      </c>
      <c r="C190" s="145" t="s">
        <v>667</v>
      </c>
    </row>
    <row r="191" spans="1:42">
      <c r="A191" s="614" t="s">
        <v>668</v>
      </c>
      <c r="B191" s="619" t="str">
        <f>IF(ISNUMBER($B188),IF($B188&gt;$B190,"No","Yes"),"")</f>
        <v/>
      </c>
      <c r="C191" s="145" t="s">
        <v>667</v>
      </c>
    </row>
    <row r="192" spans="1:42">
      <c r="A192" s="614" t="s">
        <v>669</v>
      </c>
      <c r="B192" s="618" t="e">
        <f>HLOOKUP($B186,$E182:$AP183,2)</f>
        <v>#N/A</v>
      </c>
      <c r="C192" s="145" t="s">
        <v>667</v>
      </c>
    </row>
    <row r="193" spans="1:42">
      <c r="A193" s="614" t="s">
        <v>670</v>
      </c>
      <c r="B193" s="618">
        <f>HLOOKUP($B187,$E182:$AP183,2)</f>
        <v>1.0549999999999999</v>
      </c>
      <c r="C193" s="145" t="s">
        <v>667</v>
      </c>
      <c r="D193" s="620"/>
    </row>
    <row r="194" spans="1:42">
      <c r="A194" s="614" t="s">
        <v>671</v>
      </c>
      <c r="B194" s="618" t="e">
        <f>IF(($B188-$B193)*(($B192-$B193)/($B190-$B193))+$B193&gt;$B188,$B188,($B188-$B193)*(($B192-$B193)/($B190-$B193))+$B193)</f>
        <v>#VALUE!</v>
      </c>
      <c r="C194" s="145" t="s">
        <v>667</v>
      </c>
    </row>
    <row r="195" spans="1:42">
      <c r="A195" s="614" t="s">
        <v>363</v>
      </c>
      <c r="B195" s="619" t="str">
        <f>IF(ISNUMBER($B189),IF($B189&gt;$B194,"No","Yes"),"")</f>
        <v/>
      </c>
      <c r="C195" s="145" t="s">
        <v>667</v>
      </c>
    </row>
    <row r="196" spans="1:42">
      <c r="A196" s="1035" t="s">
        <v>672</v>
      </c>
      <c r="B196" s="618" t="str">
        <f>IFERROR($B190,"")</f>
        <v/>
      </c>
      <c r="C196" s="145" t="s">
        <v>667</v>
      </c>
    </row>
    <row r="197" spans="1:42">
      <c r="A197" s="1035"/>
      <c r="B197" s="618" t="str">
        <f>IFERROR($B191,"")</f>
        <v/>
      </c>
      <c r="C197" s="145" t="s">
        <v>667</v>
      </c>
    </row>
    <row r="198" spans="1:42">
      <c r="A198" s="1035"/>
      <c r="B198" s="618" t="str">
        <f>IFERROR($B194,"")</f>
        <v/>
      </c>
      <c r="C198" s="145" t="s">
        <v>667</v>
      </c>
    </row>
    <row r="199" spans="1:42">
      <c r="A199" s="1035"/>
      <c r="B199" s="618" t="str">
        <f>IFERROR($B195,"")</f>
        <v/>
      </c>
      <c r="C199" s="145" t="s">
        <v>667</v>
      </c>
    </row>
    <row r="200" spans="1:42">
      <c r="A200" s="195"/>
    </row>
    <row r="201" spans="1:42" ht="17">
      <c r="A201" s="200" t="s">
        <v>659</v>
      </c>
      <c r="B201" s="612" t="str">
        <f>'Sector Target-Setting Tool'!$C323</f>
        <v>Dairy</v>
      </c>
      <c r="C201" s="145" t="s">
        <v>658</v>
      </c>
      <c r="E201" s="613" t="s">
        <v>627</v>
      </c>
      <c r="F201" s="613" t="s">
        <v>659</v>
      </c>
      <c r="G201" s="613" t="s">
        <v>470</v>
      </c>
      <c r="H201" s="613" t="s">
        <v>472</v>
      </c>
      <c r="I201" s="613" t="s">
        <v>510</v>
      </c>
      <c r="J201" s="613" t="s">
        <v>660</v>
      </c>
      <c r="K201" s="613">
        <v>2020</v>
      </c>
      <c r="L201" s="613">
        <v>2021</v>
      </c>
      <c r="M201" s="613">
        <v>2022</v>
      </c>
      <c r="N201" s="613">
        <v>2023</v>
      </c>
      <c r="O201" s="613">
        <v>2024</v>
      </c>
      <c r="P201" s="613">
        <v>2025</v>
      </c>
      <c r="Q201" s="613">
        <v>2026</v>
      </c>
      <c r="R201" s="613">
        <v>2027</v>
      </c>
      <c r="S201" s="613">
        <v>2028</v>
      </c>
      <c r="T201" s="613">
        <v>2029</v>
      </c>
      <c r="U201" s="613">
        <v>2030</v>
      </c>
      <c r="V201" s="613">
        <v>2031</v>
      </c>
      <c r="W201" s="613">
        <v>2032</v>
      </c>
      <c r="X201" s="613">
        <v>2033</v>
      </c>
      <c r="Y201" s="613">
        <v>2034</v>
      </c>
      <c r="Z201" s="613">
        <v>2035</v>
      </c>
      <c r="AA201" s="613">
        <v>2036</v>
      </c>
      <c r="AB201" s="613">
        <v>2037</v>
      </c>
      <c r="AC201" s="613">
        <v>2038</v>
      </c>
      <c r="AD201" s="613">
        <v>2039</v>
      </c>
      <c r="AE201" s="613">
        <v>2040</v>
      </c>
      <c r="AF201" s="613">
        <v>2041</v>
      </c>
      <c r="AG201" s="613">
        <v>2042</v>
      </c>
      <c r="AH201" s="613">
        <v>2043</v>
      </c>
      <c r="AI201" s="613">
        <v>2044</v>
      </c>
      <c r="AJ201" s="613">
        <v>2045</v>
      </c>
      <c r="AK201" s="613">
        <v>2046</v>
      </c>
      <c r="AL201" s="613">
        <v>2047</v>
      </c>
      <c r="AM201" s="613">
        <v>2048</v>
      </c>
      <c r="AN201" s="613">
        <v>2049</v>
      </c>
      <c r="AO201" s="613">
        <v>2050</v>
      </c>
      <c r="AP201" s="613" t="s">
        <v>661</v>
      </c>
    </row>
    <row r="202" spans="1:42" ht="17">
      <c r="A202" s="191" t="s">
        <v>470</v>
      </c>
      <c r="B202" s="612" t="str">
        <f>'Sector Target-Setting Tool'!$D326</f>
        <v>Emissions Intensity</v>
      </c>
      <c r="C202" s="145" t="s">
        <v>658</v>
      </c>
      <c r="E202" s="192" t="str" cm="1">
        <f t="array" ref="E202:AP202">_xlfn._xlws.FILTER(pathway_database,(pathway_database_sector="FLAG")*(pathway_database_subsector=$B201)*(pathway_database_metric_type=$B202)*(pathway_database_pathway=$B203),"")</f>
        <v>FLAG</v>
      </c>
      <c r="F202" s="192" t="str">
        <v>Dairy</v>
      </c>
      <c r="G202" s="192" t="str">
        <v>Emissions Intensity</v>
      </c>
      <c r="H202" s="192" t="str">
        <v>tCO2/t fresh weight</v>
      </c>
      <c r="I202" s="192" t="str">
        <v>SBTi Pathway</v>
      </c>
      <c r="J202" s="192" t="str">
        <v>Global</v>
      </c>
      <c r="K202" s="193">
        <v>1.333641538</v>
      </c>
      <c r="L202" s="193">
        <v>1.3213310445999999</v>
      </c>
      <c r="M202" s="193">
        <v>1.3090205511999999</v>
      </c>
      <c r="N202" s="193">
        <v>1.2967100577999999</v>
      </c>
      <c r="O202" s="193">
        <v>1.2843995643999999</v>
      </c>
      <c r="P202" s="193">
        <v>1.2720890709999999</v>
      </c>
      <c r="Q202" s="193">
        <v>1.2602712567999999</v>
      </c>
      <c r="R202" s="193">
        <v>1.2484534425999998</v>
      </c>
      <c r="S202" s="193">
        <v>1.2366356283999997</v>
      </c>
      <c r="T202" s="193">
        <v>1.2248178141999997</v>
      </c>
      <c r="U202" s="193">
        <v>1.2130000000000001</v>
      </c>
      <c r="V202" s="193">
        <v>1.2046000000000001</v>
      </c>
      <c r="W202" s="193">
        <v>1.1962000000000002</v>
      </c>
      <c r="X202" s="193">
        <v>1.1878000000000002</v>
      </c>
      <c r="Y202" s="193">
        <v>1.1794000000000002</v>
      </c>
      <c r="Z202" s="193">
        <v>1.171</v>
      </c>
      <c r="AA202" s="193">
        <v>1.1626000000000001</v>
      </c>
      <c r="AB202" s="193">
        <v>1.1542000000000001</v>
      </c>
      <c r="AC202" s="193">
        <v>1.1458000000000002</v>
      </c>
      <c r="AD202" s="193">
        <v>1.1374000000000002</v>
      </c>
      <c r="AE202" s="193">
        <v>1.129</v>
      </c>
      <c r="AF202" s="193">
        <v>1.1202000000000001</v>
      </c>
      <c r="AG202" s="193">
        <v>1.1114000000000002</v>
      </c>
      <c r="AH202" s="193">
        <v>1.1026000000000002</v>
      </c>
      <c r="AI202" s="193">
        <v>1.0938000000000003</v>
      </c>
      <c r="AJ202" s="193">
        <v>1.085</v>
      </c>
      <c r="AK202" s="193">
        <v>1.0724</v>
      </c>
      <c r="AL202" s="193">
        <v>1.0598000000000001</v>
      </c>
      <c r="AM202" s="193">
        <v>1.0472000000000001</v>
      </c>
      <c r="AN202" s="193">
        <v>1.0346000000000002</v>
      </c>
      <c r="AO202" s="193">
        <v>1.022</v>
      </c>
      <c r="AP202" s="192" t="str">
        <v>Not Applicable</v>
      </c>
    </row>
    <row r="203" spans="1:42" ht="17">
      <c r="A203" s="614" t="s">
        <v>510</v>
      </c>
      <c r="B203" s="612" t="str">
        <f>'Sector Target-Setting Tool'!$D328</f>
        <v>SBTi Pathway</v>
      </c>
      <c r="C203" s="145" t="s">
        <v>658</v>
      </c>
    </row>
    <row r="204" spans="1:42" ht="17">
      <c r="A204" s="191" t="s">
        <v>477</v>
      </c>
      <c r="B204" s="615">
        <f>'Sector Target-Setting Tool'!$D329</f>
        <v>0</v>
      </c>
      <c r="C204" s="145" t="s">
        <v>658</v>
      </c>
    </row>
    <row r="205" spans="1:42" ht="17">
      <c r="A205" s="191" t="s">
        <v>479</v>
      </c>
      <c r="B205" s="615">
        <f>'Sector Target-Setting Tool'!$D335</f>
        <v>0</v>
      </c>
      <c r="C205" s="145" t="s">
        <v>658</v>
      </c>
    </row>
    <row r="206" spans="1:42">
      <c r="A206" s="614" t="s">
        <v>662</v>
      </c>
      <c r="B206" s="616">
        <v>2050</v>
      </c>
      <c r="C206" s="145" t="s">
        <v>663</v>
      </c>
    </row>
    <row r="207" spans="1:42" ht="17">
      <c r="A207" s="617" t="s">
        <v>664</v>
      </c>
      <c r="B207" s="618" t="str">
        <f>'Sector Target-Setting Tool'!$D332</f>
        <v/>
      </c>
      <c r="C207" s="145" t="s">
        <v>658</v>
      </c>
    </row>
    <row r="208" spans="1:42">
      <c r="A208" s="614" t="s">
        <v>665</v>
      </c>
      <c r="B208" s="618" t="str">
        <f>IF(ISBLANK('Sector Target-Setting Tool'!$D337),"",'Sector Target-Setting Tool'!$D337)</f>
        <v/>
      </c>
      <c r="C208" s="145" t="s">
        <v>658</v>
      </c>
    </row>
    <row r="209" spans="1:42">
      <c r="A209" s="614" t="s">
        <v>666</v>
      </c>
      <c r="B209" s="618" t="e">
        <f>HLOOKUP($B204,$E201:$AP202,2)</f>
        <v>#N/A</v>
      </c>
      <c r="C209" s="145" t="s">
        <v>667</v>
      </c>
    </row>
    <row r="210" spans="1:42">
      <c r="A210" s="614" t="s">
        <v>668</v>
      </c>
      <c r="B210" s="619" t="str">
        <f>IF(ISNUMBER($B207),IF($B207&gt;$B209,"No","Yes"),"")</f>
        <v/>
      </c>
      <c r="C210" s="145" t="s">
        <v>667</v>
      </c>
    </row>
    <row r="211" spans="1:42">
      <c r="A211" s="614" t="s">
        <v>669</v>
      </c>
      <c r="B211" s="618" t="e">
        <f>HLOOKUP($B205,$E201:$AP202,2)</f>
        <v>#N/A</v>
      </c>
      <c r="C211" s="145" t="s">
        <v>667</v>
      </c>
    </row>
    <row r="212" spans="1:42">
      <c r="A212" s="614" t="s">
        <v>670</v>
      </c>
      <c r="B212" s="618">
        <f>HLOOKUP($B206,$E201:$AP202,2)</f>
        <v>1.022</v>
      </c>
      <c r="C212" s="145" t="s">
        <v>667</v>
      </c>
      <c r="D212" s="620"/>
    </row>
    <row r="213" spans="1:42">
      <c r="A213" s="614" t="s">
        <v>671</v>
      </c>
      <c r="B213" s="618" t="e">
        <f>IF(($B207-$B212)*(($B211-$B212)/($B209-$B212))+$B212&gt;$B207,$B207,($B207-$B212)*(($B211-$B212)/($B209-$B212))+$B212)</f>
        <v>#VALUE!</v>
      </c>
      <c r="C213" s="145" t="s">
        <v>667</v>
      </c>
    </row>
    <row r="214" spans="1:42">
      <c r="A214" s="614" t="s">
        <v>363</v>
      </c>
      <c r="B214" s="619" t="str">
        <f>IF(ISNUMBER($B208),IF($B208&gt;$B213,"No","Yes"),"")</f>
        <v/>
      </c>
      <c r="C214" s="145" t="s">
        <v>667</v>
      </c>
    </row>
    <row r="215" spans="1:42">
      <c r="A215" s="1035" t="s">
        <v>672</v>
      </c>
      <c r="B215" s="618" t="str">
        <f>IFERROR($B209,"")</f>
        <v/>
      </c>
      <c r="C215" s="145" t="s">
        <v>667</v>
      </c>
    </row>
    <row r="216" spans="1:42">
      <c r="A216" s="1035"/>
      <c r="B216" s="618" t="str">
        <f>IFERROR($B210,"")</f>
        <v/>
      </c>
      <c r="C216" s="145" t="s">
        <v>667</v>
      </c>
    </row>
    <row r="217" spans="1:42">
      <c r="A217" s="1035"/>
      <c r="B217" s="618" t="str">
        <f>IFERROR($B213,"")</f>
        <v/>
      </c>
      <c r="C217" s="145" t="s">
        <v>667</v>
      </c>
    </row>
    <row r="218" spans="1:42">
      <c r="A218" s="1035"/>
      <c r="B218" s="618" t="str">
        <f>IFERROR($B214,"")</f>
        <v/>
      </c>
      <c r="C218" s="145" t="s">
        <v>667</v>
      </c>
    </row>
    <row r="219" spans="1:42">
      <c r="A219" s="195"/>
    </row>
    <row r="220" spans="1:42" ht="17">
      <c r="A220" s="200" t="s">
        <v>659</v>
      </c>
      <c r="B220" s="612" t="str">
        <f>'Sector Target-Setting Tool'!$C341</f>
        <v>Leather</v>
      </c>
      <c r="C220" s="145" t="s">
        <v>658</v>
      </c>
      <c r="E220" s="613" t="s">
        <v>627</v>
      </c>
      <c r="F220" s="613" t="s">
        <v>659</v>
      </c>
      <c r="G220" s="613" t="s">
        <v>470</v>
      </c>
      <c r="H220" s="613" t="s">
        <v>472</v>
      </c>
      <c r="I220" s="613" t="s">
        <v>510</v>
      </c>
      <c r="J220" s="613" t="s">
        <v>660</v>
      </c>
      <c r="K220" s="613">
        <v>2020</v>
      </c>
      <c r="L220" s="613">
        <v>2021</v>
      </c>
      <c r="M220" s="613">
        <v>2022</v>
      </c>
      <c r="N220" s="613">
        <v>2023</v>
      </c>
      <c r="O220" s="613">
        <v>2024</v>
      </c>
      <c r="P220" s="613">
        <v>2025</v>
      </c>
      <c r="Q220" s="613">
        <v>2026</v>
      </c>
      <c r="R220" s="613">
        <v>2027</v>
      </c>
      <c r="S220" s="613">
        <v>2028</v>
      </c>
      <c r="T220" s="613">
        <v>2029</v>
      </c>
      <c r="U220" s="613">
        <v>2030</v>
      </c>
      <c r="V220" s="613">
        <v>2031</v>
      </c>
      <c r="W220" s="613">
        <v>2032</v>
      </c>
      <c r="X220" s="613">
        <v>2033</v>
      </c>
      <c r="Y220" s="613">
        <v>2034</v>
      </c>
      <c r="Z220" s="613">
        <v>2035</v>
      </c>
      <c r="AA220" s="613">
        <v>2036</v>
      </c>
      <c r="AB220" s="613">
        <v>2037</v>
      </c>
      <c r="AC220" s="613">
        <v>2038</v>
      </c>
      <c r="AD220" s="613">
        <v>2039</v>
      </c>
      <c r="AE220" s="613">
        <v>2040</v>
      </c>
      <c r="AF220" s="613">
        <v>2041</v>
      </c>
      <c r="AG220" s="613">
        <v>2042</v>
      </c>
      <c r="AH220" s="613">
        <v>2043</v>
      </c>
      <c r="AI220" s="613">
        <v>2044</v>
      </c>
      <c r="AJ220" s="613">
        <v>2045</v>
      </c>
      <c r="AK220" s="613">
        <v>2046</v>
      </c>
      <c r="AL220" s="613">
        <v>2047</v>
      </c>
      <c r="AM220" s="613">
        <v>2048</v>
      </c>
      <c r="AN220" s="613">
        <v>2049</v>
      </c>
      <c r="AO220" s="613">
        <v>2050</v>
      </c>
      <c r="AP220" s="613" t="s">
        <v>661</v>
      </c>
    </row>
    <row r="221" spans="1:42" ht="17">
      <c r="A221" s="191" t="s">
        <v>470</v>
      </c>
      <c r="B221" s="612" t="str">
        <f>'Sector Target-Setting Tool'!$D344</f>
        <v>Emissions Intensity</v>
      </c>
      <c r="C221" s="145" t="s">
        <v>658</v>
      </c>
      <c r="E221" s="192" t="str" cm="1">
        <f t="array" ref="E221:AP221">_xlfn._xlws.FILTER(pathway_database,(pathway_database_sector="FLAG")*(pathway_database_subsector=$B220)*(pathway_database_metric_type=$B221)*(pathway_database_pathway=$B222),"")</f>
        <v>FLAG</v>
      </c>
      <c r="F221" s="192" t="str">
        <v>Leather</v>
      </c>
      <c r="G221" s="192" t="str">
        <v>Emissions Intensity</v>
      </c>
      <c r="H221" s="192" t="str">
        <v>tCO2/t fresh weight</v>
      </c>
      <c r="I221" s="192" t="str">
        <v>SBTi Pathway</v>
      </c>
      <c r="J221" s="192" t="str">
        <v>Global</v>
      </c>
      <c r="K221" s="193">
        <v>7.2851852179999996</v>
      </c>
      <c r="L221" s="193">
        <v>7.1830656652</v>
      </c>
      <c r="M221" s="193">
        <v>7.0809461124000004</v>
      </c>
      <c r="N221" s="193">
        <v>6.9788265596000008</v>
      </c>
      <c r="O221" s="193">
        <v>6.8767070068000011</v>
      </c>
      <c r="P221" s="193">
        <v>6.7745874539999997</v>
      </c>
      <c r="Q221" s="193">
        <v>6.6758699631999994</v>
      </c>
      <c r="R221" s="193">
        <v>6.577152472399999</v>
      </c>
      <c r="S221" s="193">
        <v>6.4784349815999986</v>
      </c>
      <c r="T221" s="193">
        <v>6.3797174907999983</v>
      </c>
      <c r="U221" s="193">
        <v>6.2809999999999997</v>
      </c>
      <c r="V221" s="193">
        <v>6.2081999999999997</v>
      </c>
      <c r="W221" s="193">
        <v>6.1353999999999997</v>
      </c>
      <c r="X221" s="193">
        <v>6.0625999999999998</v>
      </c>
      <c r="Y221" s="193">
        <v>5.9897999999999998</v>
      </c>
      <c r="Z221" s="193">
        <v>5.9169999999999998</v>
      </c>
      <c r="AA221" s="193">
        <v>5.8457999999999997</v>
      </c>
      <c r="AB221" s="193">
        <v>5.7745999999999995</v>
      </c>
      <c r="AC221" s="193">
        <v>5.7033999999999994</v>
      </c>
      <c r="AD221" s="193">
        <v>5.6321999999999992</v>
      </c>
      <c r="AE221" s="193">
        <v>5.5609999999999999</v>
      </c>
      <c r="AF221" s="193">
        <v>5.4870000000000001</v>
      </c>
      <c r="AG221" s="193">
        <v>5.4130000000000003</v>
      </c>
      <c r="AH221" s="193">
        <v>5.3390000000000004</v>
      </c>
      <c r="AI221" s="193">
        <v>5.2650000000000006</v>
      </c>
      <c r="AJ221" s="193">
        <v>5.1909999999999998</v>
      </c>
      <c r="AK221" s="193">
        <v>5.1020000000000003</v>
      </c>
      <c r="AL221" s="193">
        <v>5.0130000000000008</v>
      </c>
      <c r="AM221" s="193">
        <v>4.9240000000000013</v>
      </c>
      <c r="AN221" s="193">
        <v>4.8350000000000017</v>
      </c>
      <c r="AO221" s="193">
        <v>4.7460000000000004</v>
      </c>
      <c r="AP221" s="192" t="str">
        <v>Not Applicable</v>
      </c>
    </row>
    <row r="222" spans="1:42" ht="17">
      <c r="A222" s="614" t="s">
        <v>510</v>
      </c>
      <c r="B222" s="612" t="str">
        <f>'Sector Target-Setting Tool'!$D346</f>
        <v>SBTi Pathway</v>
      </c>
      <c r="C222" s="145" t="s">
        <v>658</v>
      </c>
    </row>
    <row r="223" spans="1:42" ht="17">
      <c r="A223" s="191" t="s">
        <v>477</v>
      </c>
      <c r="B223" s="615">
        <f>'Sector Target-Setting Tool'!$D347</f>
        <v>0</v>
      </c>
      <c r="C223" s="145" t="s">
        <v>658</v>
      </c>
    </row>
    <row r="224" spans="1:42" ht="17">
      <c r="A224" s="191" t="s">
        <v>479</v>
      </c>
      <c r="B224" s="615">
        <f>'Sector Target-Setting Tool'!$D353</f>
        <v>0</v>
      </c>
      <c r="C224" s="145" t="s">
        <v>658</v>
      </c>
    </row>
    <row r="225" spans="1:42">
      <c r="A225" s="614" t="s">
        <v>662</v>
      </c>
      <c r="B225" s="616">
        <v>2050</v>
      </c>
      <c r="C225" s="145" t="s">
        <v>663</v>
      </c>
    </row>
    <row r="226" spans="1:42" ht="17">
      <c r="A226" s="617" t="s">
        <v>664</v>
      </c>
      <c r="B226" s="618" t="str">
        <f>'Sector Target-Setting Tool'!$D350</f>
        <v/>
      </c>
      <c r="C226" s="145" t="s">
        <v>658</v>
      </c>
    </row>
    <row r="227" spans="1:42">
      <c r="A227" s="614" t="s">
        <v>665</v>
      </c>
      <c r="B227" s="618" t="str">
        <f>IF(ISBLANK('Sector Target-Setting Tool'!$D355),"",'Sector Target-Setting Tool'!$D355)</f>
        <v/>
      </c>
      <c r="C227" s="145" t="s">
        <v>658</v>
      </c>
    </row>
    <row r="228" spans="1:42">
      <c r="A228" s="614" t="s">
        <v>666</v>
      </c>
      <c r="B228" s="618" t="e">
        <f>HLOOKUP($B223,$E220:$AP221,2)</f>
        <v>#N/A</v>
      </c>
      <c r="C228" s="145" t="s">
        <v>667</v>
      </c>
    </row>
    <row r="229" spans="1:42">
      <c r="A229" s="614" t="s">
        <v>668</v>
      </c>
      <c r="B229" s="619" t="str">
        <f>IF(ISNUMBER($B226),IF($B226&gt;$B228,"No","Yes"),"")</f>
        <v/>
      </c>
      <c r="C229" s="145" t="s">
        <v>667</v>
      </c>
    </row>
    <row r="230" spans="1:42">
      <c r="A230" s="614" t="s">
        <v>669</v>
      </c>
      <c r="B230" s="618" t="e">
        <f>HLOOKUP($B224,$E220:$AP221,2)</f>
        <v>#N/A</v>
      </c>
      <c r="C230" s="145" t="s">
        <v>667</v>
      </c>
    </row>
    <row r="231" spans="1:42">
      <c r="A231" s="614" t="s">
        <v>670</v>
      </c>
      <c r="B231" s="618">
        <f>HLOOKUP($B225,$E220:$AP221,2)</f>
        <v>4.7460000000000004</v>
      </c>
      <c r="C231" s="145" t="s">
        <v>667</v>
      </c>
      <c r="D231" s="620"/>
    </row>
    <row r="232" spans="1:42">
      <c r="A232" s="614" t="s">
        <v>671</v>
      </c>
      <c r="B232" s="618" t="e">
        <f>IF(($B226-$B231)*(($B230-$B231)/($B228-$B231))+$B231&gt;$B226,$B226,($B226-$B231)*(($B230-$B231)/($B228-$B231))+$B231)</f>
        <v>#VALUE!</v>
      </c>
      <c r="C232" s="145" t="s">
        <v>667</v>
      </c>
    </row>
    <row r="233" spans="1:42">
      <c r="A233" s="614" t="s">
        <v>363</v>
      </c>
      <c r="B233" s="619" t="str">
        <f>IF(ISNUMBER($B227),IF($B227&gt;$B232,"No","Yes"),"")</f>
        <v/>
      </c>
      <c r="C233" s="145" t="s">
        <v>667</v>
      </c>
    </row>
    <row r="234" spans="1:42">
      <c r="A234" s="1035" t="s">
        <v>672</v>
      </c>
      <c r="B234" s="618" t="str">
        <f>IFERROR($B228,"")</f>
        <v/>
      </c>
      <c r="C234" s="145" t="s">
        <v>667</v>
      </c>
    </row>
    <row r="235" spans="1:42">
      <c r="A235" s="1035"/>
      <c r="B235" s="618" t="str">
        <f>IFERROR($B229,"")</f>
        <v/>
      </c>
      <c r="C235" s="145" t="s">
        <v>667</v>
      </c>
    </row>
    <row r="236" spans="1:42">
      <c r="A236" s="1035"/>
      <c r="B236" s="618" t="str">
        <f>IFERROR($B232,"")</f>
        <v/>
      </c>
      <c r="C236" s="145" t="s">
        <v>667</v>
      </c>
    </row>
    <row r="237" spans="1:42">
      <c r="A237" s="1035"/>
      <c r="B237" s="618" t="str">
        <f>IFERROR($B233,"")</f>
        <v/>
      </c>
      <c r="C237" s="145" t="s">
        <v>667</v>
      </c>
    </row>
    <row r="238" spans="1:42">
      <c r="A238" s="195"/>
    </row>
    <row r="239" spans="1:42" ht="17">
      <c r="A239" s="200" t="s">
        <v>659</v>
      </c>
      <c r="B239" s="612" t="str">
        <f>'Sector Target-Setting Tool'!$C359</f>
        <v>Maize</v>
      </c>
      <c r="C239" s="145" t="s">
        <v>658</v>
      </c>
      <c r="E239" s="613" t="s">
        <v>627</v>
      </c>
      <c r="F239" s="613" t="s">
        <v>659</v>
      </c>
      <c r="G239" s="613" t="s">
        <v>470</v>
      </c>
      <c r="H239" s="613" t="s">
        <v>472</v>
      </c>
      <c r="I239" s="613" t="s">
        <v>510</v>
      </c>
      <c r="J239" s="613" t="s">
        <v>660</v>
      </c>
      <c r="K239" s="613">
        <v>2020</v>
      </c>
      <c r="L239" s="613">
        <v>2021</v>
      </c>
      <c r="M239" s="613">
        <v>2022</v>
      </c>
      <c r="N239" s="613">
        <v>2023</v>
      </c>
      <c r="O239" s="613">
        <v>2024</v>
      </c>
      <c r="P239" s="613">
        <v>2025</v>
      </c>
      <c r="Q239" s="613">
        <v>2026</v>
      </c>
      <c r="R239" s="613">
        <v>2027</v>
      </c>
      <c r="S239" s="613">
        <v>2028</v>
      </c>
      <c r="T239" s="613">
        <v>2029</v>
      </c>
      <c r="U239" s="613">
        <v>2030</v>
      </c>
      <c r="V239" s="613">
        <v>2031</v>
      </c>
      <c r="W239" s="613">
        <v>2032</v>
      </c>
      <c r="X239" s="613">
        <v>2033</v>
      </c>
      <c r="Y239" s="613">
        <v>2034</v>
      </c>
      <c r="Z239" s="613">
        <v>2035</v>
      </c>
      <c r="AA239" s="613">
        <v>2036</v>
      </c>
      <c r="AB239" s="613">
        <v>2037</v>
      </c>
      <c r="AC239" s="613">
        <v>2038</v>
      </c>
      <c r="AD239" s="613">
        <v>2039</v>
      </c>
      <c r="AE239" s="613">
        <v>2040</v>
      </c>
      <c r="AF239" s="613">
        <v>2041</v>
      </c>
      <c r="AG239" s="613">
        <v>2042</v>
      </c>
      <c r="AH239" s="613">
        <v>2043</v>
      </c>
      <c r="AI239" s="613">
        <v>2044</v>
      </c>
      <c r="AJ239" s="613">
        <v>2045</v>
      </c>
      <c r="AK239" s="613">
        <v>2046</v>
      </c>
      <c r="AL239" s="613">
        <v>2047</v>
      </c>
      <c r="AM239" s="613">
        <v>2048</v>
      </c>
      <c r="AN239" s="613">
        <v>2049</v>
      </c>
      <c r="AO239" s="613">
        <v>2050</v>
      </c>
      <c r="AP239" s="613" t="s">
        <v>661</v>
      </c>
    </row>
    <row r="240" spans="1:42" ht="17">
      <c r="A240" s="191" t="s">
        <v>470</v>
      </c>
      <c r="B240" s="612" t="str">
        <f>'Sector Target-Setting Tool'!$D362</f>
        <v>Emissions Intensity</v>
      </c>
      <c r="C240" s="145" t="s">
        <v>658</v>
      </c>
      <c r="E240" s="192" t="str" cm="1">
        <f t="array" ref="E240:AP240">_xlfn._xlws.FILTER(pathway_database,(pathway_database_sector="FLAG")*(pathway_database_subsector=$B239)*(pathway_database_metric_type=$B240)*(pathway_database_pathway=$B241),"")</f>
        <v>FLAG</v>
      </c>
      <c r="F240" s="192" t="str">
        <v>Maize</v>
      </c>
      <c r="G240" s="192" t="str">
        <v>Emissions Intensity</v>
      </c>
      <c r="H240" s="192" t="str">
        <v>tCO2/t fresh weight</v>
      </c>
      <c r="I240" s="192" t="str">
        <v>SBTi Pathway</v>
      </c>
      <c r="J240" s="192" t="str">
        <v>Global</v>
      </c>
      <c r="K240" s="193">
        <v>0.43713881100000002</v>
      </c>
      <c r="L240" s="193">
        <v>0.4240355106</v>
      </c>
      <c r="M240" s="193">
        <v>0.41093221019999998</v>
      </c>
      <c r="N240" s="193">
        <v>0.39782890979999996</v>
      </c>
      <c r="O240" s="193">
        <v>0.38472560939999995</v>
      </c>
      <c r="P240" s="193">
        <v>0.37162230899999998</v>
      </c>
      <c r="Q240" s="193">
        <v>0.35889784720000001</v>
      </c>
      <c r="R240" s="193">
        <v>0.34617338540000003</v>
      </c>
      <c r="S240" s="193">
        <v>0.33344892360000006</v>
      </c>
      <c r="T240" s="193">
        <v>0.32072446180000008</v>
      </c>
      <c r="U240" s="193">
        <v>0.308</v>
      </c>
      <c r="V240" s="193">
        <v>0.30199999999999999</v>
      </c>
      <c r="W240" s="193">
        <v>0.29599999999999999</v>
      </c>
      <c r="X240" s="193">
        <v>0.28999999999999998</v>
      </c>
      <c r="Y240" s="193">
        <v>0.28399999999999997</v>
      </c>
      <c r="Z240" s="193">
        <v>0.27800000000000002</v>
      </c>
      <c r="AA240" s="193">
        <v>0.27340000000000003</v>
      </c>
      <c r="AB240" s="193">
        <v>0.26880000000000004</v>
      </c>
      <c r="AC240" s="193">
        <v>0.26420000000000005</v>
      </c>
      <c r="AD240" s="193">
        <v>0.25960000000000005</v>
      </c>
      <c r="AE240" s="193">
        <v>0.255</v>
      </c>
      <c r="AF240" s="193">
        <v>0.25059999999999999</v>
      </c>
      <c r="AG240" s="193">
        <v>0.2462</v>
      </c>
      <c r="AH240" s="193">
        <v>0.24180000000000001</v>
      </c>
      <c r="AI240" s="193">
        <v>0.23740000000000003</v>
      </c>
      <c r="AJ240" s="193">
        <v>0.23300000000000001</v>
      </c>
      <c r="AK240" s="193">
        <v>0.2276</v>
      </c>
      <c r="AL240" s="193">
        <v>0.22219999999999998</v>
      </c>
      <c r="AM240" s="193">
        <v>0.21679999999999996</v>
      </c>
      <c r="AN240" s="193">
        <v>0.21139999999999995</v>
      </c>
      <c r="AO240" s="193">
        <v>0.20599999999999999</v>
      </c>
      <c r="AP240" s="192" t="str">
        <v>Not Applicable</v>
      </c>
    </row>
    <row r="241" spans="1:4" ht="17">
      <c r="A241" s="614" t="s">
        <v>510</v>
      </c>
      <c r="B241" s="612" t="str">
        <f>'Sector Target-Setting Tool'!$D364</f>
        <v>SBTi Pathway</v>
      </c>
      <c r="C241" s="145" t="s">
        <v>658</v>
      </c>
    </row>
    <row r="242" spans="1:4" ht="17">
      <c r="A242" s="191" t="s">
        <v>477</v>
      </c>
      <c r="B242" s="615">
        <f>'Sector Target-Setting Tool'!$D365</f>
        <v>0</v>
      </c>
      <c r="C242" s="145" t="s">
        <v>658</v>
      </c>
    </row>
    <row r="243" spans="1:4" ht="17">
      <c r="A243" s="191" t="s">
        <v>479</v>
      </c>
      <c r="B243" s="615">
        <f>'Sector Target-Setting Tool'!$D371</f>
        <v>0</v>
      </c>
      <c r="C243" s="145" t="s">
        <v>658</v>
      </c>
    </row>
    <row r="244" spans="1:4">
      <c r="A244" s="614" t="s">
        <v>662</v>
      </c>
      <c r="B244" s="616">
        <v>2050</v>
      </c>
      <c r="C244" s="145" t="s">
        <v>663</v>
      </c>
    </row>
    <row r="245" spans="1:4" ht="17">
      <c r="A245" s="617" t="s">
        <v>664</v>
      </c>
      <c r="B245" s="618" t="str">
        <f>'Sector Target-Setting Tool'!$D368</f>
        <v/>
      </c>
      <c r="C245" s="145" t="s">
        <v>658</v>
      </c>
    </row>
    <row r="246" spans="1:4">
      <c r="A246" s="614" t="s">
        <v>665</v>
      </c>
      <c r="B246" s="618" t="str">
        <f>IF(ISBLANK('Sector Target-Setting Tool'!$D373),"",'Sector Target-Setting Tool'!$D373)</f>
        <v/>
      </c>
      <c r="C246" s="145" t="s">
        <v>658</v>
      </c>
    </row>
    <row r="247" spans="1:4">
      <c r="A247" s="614" t="s">
        <v>666</v>
      </c>
      <c r="B247" s="618" t="e">
        <f>HLOOKUP($B242,$E239:$AP240,2)</f>
        <v>#N/A</v>
      </c>
      <c r="C247" s="145" t="s">
        <v>667</v>
      </c>
    </row>
    <row r="248" spans="1:4">
      <c r="A248" s="614" t="s">
        <v>668</v>
      </c>
      <c r="B248" s="619" t="str">
        <f>IF(ISNUMBER($B245),IF($B245&gt;$B247,"No","Yes"),"")</f>
        <v/>
      </c>
      <c r="C248" s="145" t="s">
        <v>667</v>
      </c>
    </row>
    <row r="249" spans="1:4">
      <c r="A249" s="614" t="s">
        <v>669</v>
      </c>
      <c r="B249" s="618" t="e">
        <f>HLOOKUP($B243,$E239:$AP240,2)</f>
        <v>#N/A</v>
      </c>
      <c r="C249" s="145" t="s">
        <v>667</v>
      </c>
    </row>
    <row r="250" spans="1:4">
      <c r="A250" s="614" t="s">
        <v>670</v>
      </c>
      <c r="B250" s="618">
        <f>HLOOKUP($B244,$E239:$AP240,2)</f>
        <v>0.20599999999999999</v>
      </c>
      <c r="C250" s="145" t="s">
        <v>667</v>
      </c>
      <c r="D250" s="620"/>
    </row>
    <row r="251" spans="1:4">
      <c r="A251" s="614" t="s">
        <v>671</v>
      </c>
      <c r="B251" s="618" t="e">
        <f>IF(($B245-$B250)*(($B249-$B250)/($B247-$B250))+$B250&gt;$B245,$B245,($B245-$B250)*(($B249-$B250)/($B247-$B250))+$B250)</f>
        <v>#VALUE!</v>
      </c>
      <c r="C251" s="145" t="s">
        <v>667</v>
      </c>
    </row>
    <row r="252" spans="1:4">
      <c r="A252" s="614" t="s">
        <v>363</v>
      </c>
      <c r="B252" s="619" t="str">
        <f>IF(ISNUMBER($B246),IF($B246&gt;$B251,"No","Yes"),"")</f>
        <v/>
      </c>
      <c r="C252" s="145" t="s">
        <v>667</v>
      </c>
    </row>
    <row r="253" spans="1:4">
      <c r="A253" s="1035" t="s">
        <v>672</v>
      </c>
      <c r="B253" s="618" t="str">
        <f>IFERROR($B247,"")</f>
        <v/>
      </c>
      <c r="C253" s="145" t="s">
        <v>667</v>
      </c>
    </row>
    <row r="254" spans="1:4">
      <c r="A254" s="1035"/>
      <c r="B254" s="618" t="str">
        <f>IFERROR($B248,"")</f>
        <v/>
      </c>
      <c r="C254" s="145" t="s">
        <v>667</v>
      </c>
    </row>
    <row r="255" spans="1:4">
      <c r="A255" s="1035"/>
      <c r="B255" s="618" t="str">
        <f>IFERROR($B251,"")</f>
        <v/>
      </c>
      <c r="C255" s="145" t="s">
        <v>667</v>
      </c>
    </row>
    <row r="256" spans="1:4">
      <c r="A256" s="1035"/>
      <c r="B256" s="618" t="str">
        <f>IFERROR($B252,"")</f>
        <v/>
      </c>
      <c r="C256" s="145" t="s">
        <v>667</v>
      </c>
    </row>
    <row r="257" spans="1:42">
      <c r="A257" s="195"/>
    </row>
    <row r="258" spans="1:42" ht="17">
      <c r="A258" s="200" t="s">
        <v>659</v>
      </c>
      <c r="B258" s="612" t="str">
        <f>'Sector Target-Setting Tool'!$C377</f>
        <v>Palm Oil</v>
      </c>
      <c r="C258" s="145" t="s">
        <v>658</v>
      </c>
      <c r="E258" s="613" t="s">
        <v>627</v>
      </c>
      <c r="F258" s="613" t="s">
        <v>659</v>
      </c>
      <c r="G258" s="613" t="s">
        <v>470</v>
      </c>
      <c r="H258" s="613" t="s">
        <v>472</v>
      </c>
      <c r="I258" s="613" t="s">
        <v>510</v>
      </c>
      <c r="J258" s="613" t="s">
        <v>660</v>
      </c>
      <c r="K258" s="613">
        <v>2020</v>
      </c>
      <c r="L258" s="613">
        <v>2021</v>
      </c>
      <c r="M258" s="613">
        <v>2022</v>
      </c>
      <c r="N258" s="613">
        <v>2023</v>
      </c>
      <c r="O258" s="613">
        <v>2024</v>
      </c>
      <c r="P258" s="613">
        <v>2025</v>
      </c>
      <c r="Q258" s="613">
        <v>2026</v>
      </c>
      <c r="R258" s="613">
        <v>2027</v>
      </c>
      <c r="S258" s="613">
        <v>2028</v>
      </c>
      <c r="T258" s="613">
        <v>2029</v>
      </c>
      <c r="U258" s="613">
        <v>2030</v>
      </c>
      <c r="V258" s="613">
        <v>2031</v>
      </c>
      <c r="W258" s="613">
        <v>2032</v>
      </c>
      <c r="X258" s="613">
        <v>2033</v>
      </c>
      <c r="Y258" s="613">
        <v>2034</v>
      </c>
      <c r="Z258" s="613">
        <v>2035</v>
      </c>
      <c r="AA258" s="613">
        <v>2036</v>
      </c>
      <c r="AB258" s="613">
        <v>2037</v>
      </c>
      <c r="AC258" s="613">
        <v>2038</v>
      </c>
      <c r="AD258" s="613">
        <v>2039</v>
      </c>
      <c r="AE258" s="613">
        <v>2040</v>
      </c>
      <c r="AF258" s="613">
        <v>2041</v>
      </c>
      <c r="AG258" s="613">
        <v>2042</v>
      </c>
      <c r="AH258" s="613">
        <v>2043</v>
      </c>
      <c r="AI258" s="613">
        <v>2044</v>
      </c>
      <c r="AJ258" s="613">
        <v>2045</v>
      </c>
      <c r="AK258" s="613">
        <v>2046</v>
      </c>
      <c r="AL258" s="613">
        <v>2047</v>
      </c>
      <c r="AM258" s="613">
        <v>2048</v>
      </c>
      <c r="AN258" s="613">
        <v>2049</v>
      </c>
      <c r="AO258" s="613">
        <v>2050</v>
      </c>
      <c r="AP258" s="613" t="s">
        <v>661</v>
      </c>
    </row>
    <row r="259" spans="1:42" ht="17">
      <c r="A259" s="191" t="s">
        <v>470</v>
      </c>
      <c r="B259" s="612" t="str">
        <f>'Sector Target-Setting Tool'!$D380</f>
        <v>Emissions Intensity</v>
      </c>
      <c r="C259" s="145" t="s">
        <v>658</v>
      </c>
      <c r="E259" s="192" t="str" cm="1">
        <f t="array" ref="E259:AP259">_xlfn._xlws.FILTER(pathway_database,(pathway_database_sector="FLAG")*(pathway_database_subsector=$B258)*(pathway_database_metric_type=$B259)*(pathway_database_pathway=$B260),"")</f>
        <v>FLAG</v>
      </c>
      <c r="F259" s="192" t="str">
        <v>Palm Oil</v>
      </c>
      <c r="G259" s="192" t="str">
        <v>Emissions Intensity</v>
      </c>
      <c r="H259" s="192" t="str">
        <v>tCO2/t fresh weight</v>
      </c>
      <c r="I259" s="192" t="str">
        <v>SBTi Pathway</v>
      </c>
      <c r="J259" s="192" t="str">
        <v>Global</v>
      </c>
      <c r="K259" s="193">
        <v>0.43713881100000002</v>
      </c>
      <c r="L259" s="193">
        <v>0.4240355106</v>
      </c>
      <c r="M259" s="193">
        <v>0.41093221019999998</v>
      </c>
      <c r="N259" s="193">
        <v>0.39782890979999996</v>
      </c>
      <c r="O259" s="193">
        <v>0.38472560939999995</v>
      </c>
      <c r="P259" s="193">
        <v>0.37162230899999998</v>
      </c>
      <c r="Q259" s="193">
        <v>0.35889784720000001</v>
      </c>
      <c r="R259" s="193">
        <v>0.34617338540000003</v>
      </c>
      <c r="S259" s="193">
        <v>0.33344892360000006</v>
      </c>
      <c r="T259" s="193">
        <v>0.32072446180000008</v>
      </c>
      <c r="U259" s="193">
        <v>0.308</v>
      </c>
      <c r="V259" s="193">
        <v>0.30199999999999999</v>
      </c>
      <c r="W259" s="193">
        <v>0.29599999999999999</v>
      </c>
      <c r="X259" s="193">
        <v>0.28999999999999998</v>
      </c>
      <c r="Y259" s="193">
        <v>0.28399999999999997</v>
      </c>
      <c r="Z259" s="193">
        <v>0.27800000000000002</v>
      </c>
      <c r="AA259" s="193">
        <v>0.27340000000000003</v>
      </c>
      <c r="AB259" s="193">
        <v>0.26880000000000004</v>
      </c>
      <c r="AC259" s="193">
        <v>0.26420000000000005</v>
      </c>
      <c r="AD259" s="193">
        <v>0.25960000000000005</v>
      </c>
      <c r="AE259" s="193">
        <v>0.255</v>
      </c>
      <c r="AF259" s="193">
        <v>0.25059999999999999</v>
      </c>
      <c r="AG259" s="193">
        <v>0.2462</v>
      </c>
      <c r="AH259" s="193">
        <v>0.24180000000000001</v>
      </c>
      <c r="AI259" s="193">
        <v>0.23740000000000003</v>
      </c>
      <c r="AJ259" s="193">
        <v>0.23300000000000001</v>
      </c>
      <c r="AK259" s="193">
        <v>0.2276</v>
      </c>
      <c r="AL259" s="193">
        <v>0.22219999999999998</v>
      </c>
      <c r="AM259" s="193">
        <v>0.21679999999999996</v>
      </c>
      <c r="AN259" s="193">
        <v>0.21139999999999995</v>
      </c>
      <c r="AO259" s="193">
        <v>0.20599999999999999</v>
      </c>
      <c r="AP259" s="192" t="str">
        <v>Not Applicable</v>
      </c>
    </row>
    <row r="260" spans="1:42" ht="17">
      <c r="A260" s="614" t="s">
        <v>510</v>
      </c>
      <c r="B260" s="612" t="str">
        <f>'Sector Target-Setting Tool'!$D382</f>
        <v>SBTi Pathway</v>
      </c>
      <c r="C260" s="145" t="s">
        <v>658</v>
      </c>
    </row>
    <row r="261" spans="1:42" ht="17">
      <c r="A261" s="191" t="s">
        <v>477</v>
      </c>
      <c r="B261" s="615">
        <f>'Sector Target-Setting Tool'!$D383</f>
        <v>0</v>
      </c>
      <c r="C261" s="145" t="s">
        <v>658</v>
      </c>
    </row>
    <row r="262" spans="1:42" ht="17">
      <c r="A262" s="191" t="s">
        <v>479</v>
      </c>
      <c r="B262" s="615">
        <f>'Sector Target-Setting Tool'!$D389</f>
        <v>0</v>
      </c>
      <c r="C262" s="145" t="s">
        <v>658</v>
      </c>
    </row>
    <row r="263" spans="1:42">
      <c r="A263" s="614" t="s">
        <v>662</v>
      </c>
      <c r="B263" s="616">
        <v>2050</v>
      </c>
      <c r="C263" s="145" t="s">
        <v>663</v>
      </c>
    </row>
    <row r="264" spans="1:42" ht="17">
      <c r="A264" s="617" t="s">
        <v>664</v>
      </c>
      <c r="B264" s="618" t="str">
        <f>'Sector Target-Setting Tool'!$D386</f>
        <v/>
      </c>
      <c r="C264" s="145" t="s">
        <v>658</v>
      </c>
    </row>
    <row r="265" spans="1:42">
      <c r="A265" s="614" t="s">
        <v>665</v>
      </c>
      <c r="B265" s="618" t="str">
        <f>IF(ISBLANK('Sector Target-Setting Tool'!$D391),"",'Sector Target-Setting Tool'!$D391)</f>
        <v/>
      </c>
      <c r="C265" s="145" t="s">
        <v>658</v>
      </c>
    </row>
    <row r="266" spans="1:42">
      <c r="A266" s="614" t="s">
        <v>666</v>
      </c>
      <c r="B266" s="618" t="e">
        <f>HLOOKUP($B261,$E258:$AP259,2)</f>
        <v>#N/A</v>
      </c>
      <c r="C266" s="145" t="s">
        <v>667</v>
      </c>
    </row>
    <row r="267" spans="1:42">
      <c r="A267" s="614" t="s">
        <v>668</v>
      </c>
      <c r="B267" s="619" t="str">
        <f>IF(ISNUMBER($B264),IF($B264&gt;$B266,"No","Yes"),"")</f>
        <v/>
      </c>
      <c r="C267" s="145" t="s">
        <v>667</v>
      </c>
    </row>
    <row r="268" spans="1:42">
      <c r="A268" s="614" t="s">
        <v>669</v>
      </c>
      <c r="B268" s="618" t="e">
        <f>HLOOKUP($B262,$E258:$AP259,2)</f>
        <v>#N/A</v>
      </c>
      <c r="C268" s="145" t="s">
        <v>667</v>
      </c>
    </row>
    <row r="269" spans="1:42">
      <c r="A269" s="614" t="s">
        <v>670</v>
      </c>
      <c r="B269" s="618">
        <f>HLOOKUP($B263,$E258:$AP259,2)</f>
        <v>0.20599999999999999</v>
      </c>
      <c r="C269" s="145" t="s">
        <v>667</v>
      </c>
      <c r="D269" s="620"/>
    </row>
    <row r="270" spans="1:42">
      <c r="A270" s="614" t="s">
        <v>671</v>
      </c>
      <c r="B270" s="618" t="e">
        <f>IF(($B264-$B269)*(($B268-$B269)/($B266-$B269))+$B269&gt;$B264,$B264,($B264-$B269)*(($B268-$B269)/($B266-$B269))+$B269)</f>
        <v>#VALUE!</v>
      </c>
      <c r="C270" s="145" t="s">
        <v>667</v>
      </c>
    </row>
    <row r="271" spans="1:42">
      <c r="A271" s="614" t="s">
        <v>363</v>
      </c>
      <c r="B271" s="619" t="str">
        <f>IF(ISNUMBER($B265),IF($B265&gt;$B270,"No","Yes"),"")</f>
        <v/>
      </c>
      <c r="C271" s="145" t="s">
        <v>667</v>
      </c>
    </row>
    <row r="272" spans="1:42">
      <c r="A272" s="1035" t="s">
        <v>672</v>
      </c>
      <c r="B272" s="618" t="str">
        <f>IFERROR($B266,"")</f>
        <v/>
      </c>
      <c r="C272" s="145" t="s">
        <v>667</v>
      </c>
    </row>
    <row r="273" spans="1:42">
      <c r="A273" s="1035"/>
      <c r="B273" s="618" t="str">
        <f>IFERROR($B267,"")</f>
        <v/>
      </c>
      <c r="C273" s="145" t="s">
        <v>667</v>
      </c>
    </row>
    <row r="274" spans="1:42">
      <c r="A274" s="1035"/>
      <c r="B274" s="618" t="str">
        <f>IFERROR($B270,"")</f>
        <v/>
      </c>
      <c r="C274" s="145" t="s">
        <v>667</v>
      </c>
    </row>
    <row r="275" spans="1:42">
      <c r="A275" s="1035"/>
      <c r="B275" s="618" t="str">
        <f>IFERROR($B271,"")</f>
        <v/>
      </c>
      <c r="C275" s="145" t="s">
        <v>667</v>
      </c>
    </row>
    <row r="276" spans="1:42">
      <c r="A276" s="195"/>
    </row>
    <row r="277" spans="1:42" ht="17">
      <c r="A277" s="200" t="s">
        <v>659</v>
      </c>
      <c r="B277" s="612" t="str">
        <f>'Sector Target-Setting Tool'!$C395</f>
        <v>Pork</v>
      </c>
      <c r="C277" s="145" t="s">
        <v>658</v>
      </c>
      <c r="E277" s="613" t="s">
        <v>627</v>
      </c>
      <c r="F277" s="613" t="s">
        <v>659</v>
      </c>
      <c r="G277" s="613" t="s">
        <v>470</v>
      </c>
      <c r="H277" s="613" t="s">
        <v>472</v>
      </c>
      <c r="I277" s="613" t="s">
        <v>510</v>
      </c>
      <c r="J277" s="613" t="s">
        <v>660</v>
      </c>
      <c r="K277" s="613">
        <v>2020</v>
      </c>
      <c r="L277" s="613">
        <v>2021</v>
      </c>
      <c r="M277" s="613">
        <v>2022</v>
      </c>
      <c r="N277" s="613">
        <v>2023</v>
      </c>
      <c r="O277" s="613">
        <v>2024</v>
      </c>
      <c r="P277" s="613">
        <v>2025</v>
      </c>
      <c r="Q277" s="613">
        <v>2026</v>
      </c>
      <c r="R277" s="613">
        <v>2027</v>
      </c>
      <c r="S277" s="613">
        <v>2028</v>
      </c>
      <c r="T277" s="613">
        <v>2029</v>
      </c>
      <c r="U277" s="613">
        <v>2030</v>
      </c>
      <c r="V277" s="613">
        <v>2031</v>
      </c>
      <c r="W277" s="613">
        <v>2032</v>
      </c>
      <c r="X277" s="613">
        <v>2033</v>
      </c>
      <c r="Y277" s="613">
        <v>2034</v>
      </c>
      <c r="Z277" s="613">
        <v>2035</v>
      </c>
      <c r="AA277" s="613">
        <v>2036</v>
      </c>
      <c r="AB277" s="613">
        <v>2037</v>
      </c>
      <c r="AC277" s="613">
        <v>2038</v>
      </c>
      <c r="AD277" s="613">
        <v>2039</v>
      </c>
      <c r="AE277" s="613">
        <v>2040</v>
      </c>
      <c r="AF277" s="613">
        <v>2041</v>
      </c>
      <c r="AG277" s="613">
        <v>2042</v>
      </c>
      <c r="AH277" s="613">
        <v>2043</v>
      </c>
      <c r="AI277" s="613">
        <v>2044</v>
      </c>
      <c r="AJ277" s="613">
        <v>2045</v>
      </c>
      <c r="AK277" s="613">
        <v>2046</v>
      </c>
      <c r="AL277" s="613">
        <v>2047</v>
      </c>
      <c r="AM277" s="613">
        <v>2048</v>
      </c>
      <c r="AN277" s="613">
        <v>2049</v>
      </c>
      <c r="AO277" s="613">
        <v>2050</v>
      </c>
      <c r="AP277" s="613" t="s">
        <v>661</v>
      </c>
    </row>
    <row r="278" spans="1:42" ht="17">
      <c r="A278" s="191" t="s">
        <v>470</v>
      </c>
      <c r="B278" s="612" t="str">
        <f>'Sector Target-Setting Tool'!$D398</f>
        <v>Emissions Intensity</v>
      </c>
      <c r="C278" s="145" t="s">
        <v>658</v>
      </c>
      <c r="E278" s="192" t="str" cm="1">
        <f t="array" ref="E278:AP278">_xlfn._xlws.FILTER(pathway_database,(pathway_database_sector="FLAG")*(pathway_database_subsector=$B277)*(pathway_database_metric_type=$B278)*(pathway_database_pathway=$B279),"")</f>
        <v>FLAG</v>
      </c>
      <c r="F278" s="192" t="str">
        <v>Pork</v>
      </c>
      <c r="G278" s="192" t="str">
        <v>Emissions Intensity</v>
      </c>
      <c r="H278" s="192" t="str">
        <v>tCO2/t fresh weight</v>
      </c>
      <c r="I278" s="192" t="str">
        <v>SBTi Pathway</v>
      </c>
      <c r="J278" s="192" t="str">
        <v>Global</v>
      </c>
      <c r="K278" s="193">
        <v>3.5280153159999998</v>
      </c>
      <c r="L278" s="193">
        <v>3.4507566169999997</v>
      </c>
      <c r="M278" s="193">
        <v>3.3734979179999995</v>
      </c>
      <c r="N278" s="193">
        <v>3.2962392189999994</v>
      </c>
      <c r="O278" s="193">
        <v>3.2189805199999992</v>
      </c>
      <c r="P278" s="193">
        <v>3.141721821</v>
      </c>
      <c r="Q278" s="193">
        <v>3.0821774567999998</v>
      </c>
      <c r="R278" s="193">
        <v>3.0226330925999996</v>
      </c>
      <c r="S278" s="193">
        <v>2.9630887283999994</v>
      </c>
      <c r="T278" s="193">
        <v>2.9035443641999992</v>
      </c>
      <c r="U278" s="193">
        <v>2.8439999999999999</v>
      </c>
      <c r="V278" s="193">
        <v>2.8024</v>
      </c>
      <c r="W278" s="193">
        <v>2.7608000000000001</v>
      </c>
      <c r="X278" s="193">
        <v>2.7192000000000003</v>
      </c>
      <c r="Y278" s="193">
        <v>2.6776000000000004</v>
      </c>
      <c r="Z278" s="193">
        <v>2.6360000000000001</v>
      </c>
      <c r="AA278" s="193">
        <v>2.6020000000000003</v>
      </c>
      <c r="AB278" s="193">
        <v>2.5680000000000005</v>
      </c>
      <c r="AC278" s="193">
        <v>2.5340000000000007</v>
      </c>
      <c r="AD278" s="193">
        <v>2.5000000000000009</v>
      </c>
      <c r="AE278" s="193">
        <v>2.4660000000000002</v>
      </c>
      <c r="AF278" s="193">
        <v>2.4328000000000003</v>
      </c>
      <c r="AG278" s="193">
        <v>2.3996000000000004</v>
      </c>
      <c r="AH278" s="193">
        <v>2.3664000000000005</v>
      </c>
      <c r="AI278" s="193">
        <v>2.3332000000000006</v>
      </c>
      <c r="AJ278" s="193">
        <v>2.2999999999999998</v>
      </c>
      <c r="AK278" s="193">
        <v>2.2574000000000001</v>
      </c>
      <c r="AL278" s="193">
        <v>2.2148000000000003</v>
      </c>
      <c r="AM278" s="193">
        <v>2.1722000000000006</v>
      </c>
      <c r="AN278" s="193">
        <v>2.1296000000000008</v>
      </c>
      <c r="AO278" s="193">
        <v>2.0870000000000002</v>
      </c>
      <c r="AP278" s="192" t="str">
        <v>Not Applicable</v>
      </c>
    </row>
    <row r="279" spans="1:42" ht="17">
      <c r="A279" s="614" t="s">
        <v>510</v>
      </c>
      <c r="B279" s="612" t="str">
        <f>'Sector Target-Setting Tool'!$D400</f>
        <v>SBTi Pathway</v>
      </c>
      <c r="C279" s="145" t="s">
        <v>658</v>
      </c>
    </row>
    <row r="280" spans="1:42" ht="17">
      <c r="A280" s="191" t="s">
        <v>477</v>
      </c>
      <c r="B280" s="615">
        <f>'Sector Target-Setting Tool'!$D401</f>
        <v>0</v>
      </c>
      <c r="C280" s="145" t="s">
        <v>658</v>
      </c>
    </row>
    <row r="281" spans="1:42" ht="17">
      <c r="A281" s="191" t="s">
        <v>479</v>
      </c>
      <c r="B281" s="615">
        <f>'Sector Target-Setting Tool'!$D407</f>
        <v>0</v>
      </c>
      <c r="C281" s="145" t="s">
        <v>658</v>
      </c>
    </row>
    <row r="282" spans="1:42">
      <c r="A282" s="614" t="s">
        <v>662</v>
      </c>
      <c r="B282" s="616">
        <v>2050</v>
      </c>
      <c r="C282" s="145" t="s">
        <v>663</v>
      </c>
    </row>
    <row r="283" spans="1:42" ht="17">
      <c r="A283" s="617" t="s">
        <v>664</v>
      </c>
      <c r="B283" s="618" t="str">
        <f>'Sector Target-Setting Tool'!$D404</f>
        <v/>
      </c>
      <c r="C283" s="145" t="s">
        <v>658</v>
      </c>
    </row>
    <row r="284" spans="1:42">
      <c r="A284" s="614" t="s">
        <v>665</v>
      </c>
      <c r="B284" s="618" t="str">
        <f>IF(ISBLANK('Sector Target-Setting Tool'!$D409),"",'Sector Target-Setting Tool'!$D409)</f>
        <v/>
      </c>
      <c r="C284" s="145" t="s">
        <v>658</v>
      </c>
    </row>
    <row r="285" spans="1:42">
      <c r="A285" s="614" t="s">
        <v>666</v>
      </c>
      <c r="B285" s="618" t="e">
        <f>HLOOKUP($B280,$E277:$AP278,2)</f>
        <v>#N/A</v>
      </c>
      <c r="C285" s="145" t="s">
        <v>667</v>
      </c>
    </row>
    <row r="286" spans="1:42">
      <c r="A286" s="614" t="s">
        <v>668</v>
      </c>
      <c r="B286" s="619" t="str">
        <f>IF(ISNUMBER($B283),IF($B283&gt;$B285,"No","Yes"),"")</f>
        <v/>
      </c>
      <c r="C286" s="145" t="s">
        <v>667</v>
      </c>
    </row>
    <row r="287" spans="1:42">
      <c r="A287" s="614" t="s">
        <v>669</v>
      </c>
      <c r="B287" s="618" t="e">
        <f>HLOOKUP($B281,$E277:$AP278,2)</f>
        <v>#N/A</v>
      </c>
      <c r="C287" s="145" t="s">
        <v>667</v>
      </c>
    </row>
    <row r="288" spans="1:42">
      <c r="A288" s="614" t="s">
        <v>670</v>
      </c>
      <c r="B288" s="618">
        <f>HLOOKUP($B282,$E277:$AP278,2)</f>
        <v>2.0870000000000002</v>
      </c>
      <c r="C288" s="145" t="s">
        <v>667</v>
      </c>
      <c r="D288" s="620"/>
    </row>
    <row r="289" spans="1:42">
      <c r="A289" s="614" t="s">
        <v>671</v>
      </c>
      <c r="B289" s="618" t="e">
        <f>IF(($B283-$B288)*(($B287-$B288)/($B285-$B288))+$B288&gt;$B283,$B283,($B283-$B288)*(($B287-$B288)/($B285-$B288))+$B288)</f>
        <v>#VALUE!</v>
      </c>
      <c r="C289" s="145" t="s">
        <v>667</v>
      </c>
    </row>
    <row r="290" spans="1:42">
      <c r="A290" s="614" t="s">
        <v>363</v>
      </c>
      <c r="B290" s="619" t="str">
        <f>IF(ISNUMBER($B284),IF($B284&gt;$B289,"No","Yes"),"")</f>
        <v/>
      </c>
      <c r="C290" s="145" t="s">
        <v>667</v>
      </c>
    </row>
    <row r="291" spans="1:42">
      <c r="A291" s="1035" t="s">
        <v>672</v>
      </c>
      <c r="B291" s="618" t="str">
        <f>IFERROR($B285,"")</f>
        <v/>
      </c>
      <c r="C291" s="145" t="s">
        <v>667</v>
      </c>
    </row>
    <row r="292" spans="1:42">
      <c r="A292" s="1035"/>
      <c r="B292" s="618" t="str">
        <f>IFERROR($B286,"")</f>
        <v/>
      </c>
      <c r="C292" s="145" t="s">
        <v>667</v>
      </c>
    </row>
    <row r="293" spans="1:42">
      <c r="A293" s="1035"/>
      <c r="B293" s="618" t="str">
        <f>IFERROR($B289,"")</f>
        <v/>
      </c>
      <c r="C293" s="145" t="s">
        <v>667</v>
      </c>
    </row>
    <row r="294" spans="1:42">
      <c r="A294" s="1035"/>
      <c r="B294" s="618" t="str">
        <f>IFERROR($B290,"")</f>
        <v/>
      </c>
      <c r="C294" s="145" t="s">
        <v>667</v>
      </c>
    </row>
    <row r="295" spans="1:42">
      <c r="A295" s="195"/>
    </row>
    <row r="296" spans="1:42" ht="17">
      <c r="A296" s="200" t="s">
        <v>659</v>
      </c>
      <c r="B296" s="612" t="str">
        <f>'Sector Target-Setting Tool'!$C413</f>
        <v>Rice</v>
      </c>
      <c r="C296" s="145" t="s">
        <v>658</v>
      </c>
      <c r="E296" s="613" t="s">
        <v>627</v>
      </c>
      <c r="F296" s="613" t="s">
        <v>659</v>
      </c>
      <c r="G296" s="613" t="s">
        <v>470</v>
      </c>
      <c r="H296" s="613" t="s">
        <v>472</v>
      </c>
      <c r="I296" s="613" t="s">
        <v>510</v>
      </c>
      <c r="J296" s="613" t="s">
        <v>660</v>
      </c>
      <c r="K296" s="613">
        <v>2020</v>
      </c>
      <c r="L296" s="613">
        <v>2021</v>
      </c>
      <c r="M296" s="613">
        <v>2022</v>
      </c>
      <c r="N296" s="613">
        <v>2023</v>
      </c>
      <c r="O296" s="613">
        <v>2024</v>
      </c>
      <c r="P296" s="613">
        <v>2025</v>
      </c>
      <c r="Q296" s="613">
        <v>2026</v>
      </c>
      <c r="R296" s="613">
        <v>2027</v>
      </c>
      <c r="S296" s="613">
        <v>2028</v>
      </c>
      <c r="T296" s="613">
        <v>2029</v>
      </c>
      <c r="U296" s="613">
        <v>2030</v>
      </c>
      <c r="V296" s="613">
        <v>2031</v>
      </c>
      <c r="W296" s="613">
        <v>2032</v>
      </c>
      <c r="X296" s="613">
        <v>2033</v>
      </c>
      <c r="Y296" s="613">
        <v>2034</v>
      </c>
      <c r="Z296" s="613">
        <v>2035</v>
      </c>
      <c r="AA296" s="613">
        <v>2036</v>
      </c>
      <c r="AB296" s="613">
        <v>2037</v>
      </c>
      <c r="AC296" s="613">
        <v>2038</v>
      </c>
      <c r="AD296" s="613">
        <v>2039</v>
      </c>
      <c r="AE296" s="613">
        <v>2040</v>
      </c>
      <c r="AF296" s="613">
        <v>2041</v>
      </c>
      <c r="AG296" s="613">
        <v>2042</v>
      </c>
      <c r="AH296" s="613">
        <v>2043</v>
      </c>
      <c r="AI296" s="613">
        <v>2044</v>
      </c>
      <c r="AJ296" s="613">
        <v>2045</v>
      </c>
      <c r="AK296" s="613">
        <v>2046</v>
      </c>
      <c r="AL296" s="613">
        <v>2047</v>
      </c>
      <c r="AM296" s="613">
        <v>2048</v>
      </c>
      <c r="AN296" s="613">
        <v>2049</v>
      </c>
      <c r="AO296" s="613">
        <v>2050</v>
      </c>
      <c r="AP296" s="613" t="s">
        <v>661</v>
      </c>
    </row>
    <row r="297" spans="1:42" ht="17">
      <c r="A297" s="191" t="s">
        <v>470</v>
      </c>
      <c r="B297" s="612" t="str">
        <f>'Sector Target-Setting Tool'!$D416</f>
        <v>Emissions Intensity</v>
      </c>
      <c r="C297" s="145" t="s">
        <v>658</v>
      </c>
      <c r="E297" s="192" t="str" cm="1">
        <f t="array" ref="E297:AP297">_xlfn._xlws.FILTER(pathway_database,(pathway_database_sector="FLAG")*(pathway_database_subsector=$B296)*(pathway_database_metric_type=$B297)*(pathway_database_pathway=$B298),"")</f>
        <v>FLAG</v>
      </c>
      <c r="F297" s="192" t="str">
        <v>Rice</v>
      </c>
      <c r="G297" s="192" t="str">
        <v>Emissions Intensity</v>
      </c>
      <c r="H297" s="192" t="str">
        <v>tCO2/t fresh weight</v>
      </c>
      <c r="I297" s="192" t="str">
        <v>SBTi Pathway</v>
      </c>
      <c r="J297" s="192" t="str">
        <v>Global</v>
      </c>
      <c r="K297" s="193">
        <v>1.4104692940000001</v>
      </c>
      <c r="L297" s="193">
        <v>1.3720293568000002</v>
      </c>
      <c r="M297" s="193">
        <v>1.3335894196000002</v>
      </c>
      <c r="N297" s="193">
        <v>1.2951494824000003</v>
      </c>
      <c r="O297" s="193">
        <v>1.2567095452000003</v>
      </c>
      <c r="P297" s="193">
        <v>1.2182696079999999</v>
      </c>
      <c r="Q297" s="193">
        <v>1.1866156863999999</v>
      </c>
      <c r="R297" s="193">
        <v>1.1549617647999999</v>
      </c>
      <c r="S297" s="193">
        <v>1.1233078431999999</v>
      </c>
      <c r="T297" s="193">
        <v>1.0916539215999999</v>
      </c>
      <c r="U297" s="193">
        <v>1.06</v>
      </c>
      <c r="V297" s="193">
        <v>1.0438000000000001</v>
      </c>
      <c r="W297" s="193">
        <v>1.0276000000000001</v>
      </c>
      <c r="X297" s="193">
        <v>1.0114000000000001</v>
      </c>
      <c r="Y297" s="193">
        <v>0.99520000000000008</v>
      </c>
      <c r="Z297" s="193">
        <v>0.97899999999999998</v>
      </c>
      <c r="AA297" s="193">
        <v>0.96379999999999999</v>
      </c>
      <c r="AB297" s="193">
        <v>0.9486</v>
      </c>
      <c r="AC297" s="193">
        <v>0.93340000000000001</v>
      </c>
      <c r="AD297" s="193">
        <v>0.91820000000000002</v>
      </c>
      <c r="AE297" s="193">
        <v>0.90300000000000002</v>
      </c>
      <c r="AF297" s="193">
        <v>0.88739999999999997</v>
      </c>
      <c r="AG297" s="193">
        <v>0.87179999999999991</v>
      </c>
      <c r="AH297" s="193">
        <v>0.85619999999999985</v>
      </c>
      <c r="AI297" s="193">
        <v>0.84059999999999979</v>
      </c>
      <c r="AJ297" s="193">
        <v>0.82499999999999996</v>
      </c>
      <c r="AK297" s="193">
        <v>0.80419999999999991</v>
      </c>
      <c r="AL297" s="193">
        <v>0.78339999999999987</v>
      </c>
      <c r="AM297" s="193">
        <v>0.76259999999999983</v>
      </c>
      <c r="AN297" s="193">
        <v>0.74179999999999979</v>
      </c>
      <c r="AO297" s="193">
        <v>0.72099999999999997</v>
      </c>
      <c r="AP297" s="192" t="str">
        <v>Not Applicable</v>
      </c>
    </row>
    <row r="298" spans="1:42" ht="17">
      <c r="A298" s="614" t="s">
        <v>510</v>
      </c>
      <c r="B298" s="612" t="str">
        <f>'Sector Target-Setting Tool'!$D418</f>
        <v>SBTi Pathway</v>
      </c>
      <c r="C298" s="145" t="s">
        <v>658</v>
      </c>
    </row>
    <row r="299" spans="1:42" ht="17">
      <c r="A299" s="191" t="s">
        <v>477</v>
      </c>
      <c r="B299" s="615">
        <f>'Sector Target-Setting Tool'!$D419</f>
        <v>0</v>
      </c>
      <c r="C299" s="145" t="s">
        <v>658</v>
      </c>
    </row>
    <row r="300" spans="1:42" ht="17">
      <c r="A300" s="191" t="s">
        <v>479</v>
      </c>
      <c r="B300" s="615">
        <f>'Sector Target-Setting Tool'!$D425</f>
        <v>0</v>
      </c>
      <c r="C300" s="145" t="s">
        <v>658</v>
      </c>
    </row>
    <row r="301" spans="1:42">
      <c r="A301" s="614" t="s">
        <v>662</v>
      </c>
      <c r="B301" s="616">
        <v>2050</v>
      </c>
      <c r="C301" s="145" t="s">
        <v>663</v>
      </c>
    </row>
    <row r="302" spans="1:42" ht="17">
      <c r="A302" s="617" t="s">
        <v>664</v>
      </c>
      <c r="B302" s="618" t="str">
        <f>'Sector Target-Setting Tool'!$D422</f>
        <v/>
      </c>
      <c r="C302" s="145" t="s">
        <v>658</v>
      </c>
    </row>
    <row r="303" spans="1:42">
      <c r="A303" s="614" t="s">
        <v>665</v>
      </c>
      <c r="B303" s="618" t="str">
        <f>IF(ISBLANK('Sector Target-Setting Tool'!$D427),"",'Sector Target-Setting Tool'!$D427)</f>
        <v/>
      </c>
      <c r="C303" s="145" t="s">
        <v>658</v>
      </c>
    </row>
    <row r="304" spans="1:42">
      <c r="A304" s="614" t="s">
        <v>666</v>
      </c>
      <c r="B304" s="618" t="e">
        <f>HLOOKUP($B299,$E296:$AP297,2)</f>
        <v>#N/A</v>
      </c>
      <c r="C304" s="145" t="s">
        <v>667</v>
      </c>
    </row>
    <row r="305" spans="1:42">
      <c r="A305" s="614" t="s">
        <v>668</v>
      </c>
      <c r="B305" s="619" t="str">
        <f>IF(ISNUMBER($B302),IF($B302&gt;$B304,"No","Yes"),"")</f>
        <v/>
      </c>
      <c r="C305" s="145" t="s">
        <v>667</v>
      </c>
    </row>
    <row r="306" spans="1:42">
      <c r="A306" s="614" t="s">
        <v>669</v>
      </c>
      <c r="B306" s="618" t="e">
        <f>HLOOKUP($B300,$E296:$AP297,2)</f>
        <v>#N/A</v>
      </c>
      <c r="C306" s="145" t="s">
        <v>667</v>
      </c>
    </row>
    <row r="307" spans="1:42">
      <c r="A307" s="614" t="s">
        <v>670</v>
      </c>
      <c r="B307" s="618">
        <f>HLOOKUP($B301,$E296:$AP297,2)</f>
        <v>0.72099999999999997</v>
      </c>
      <c r="C307" s="145" t="s">
        <v>667</v>
      </c>
      <c r="D307" s="620"/>
    </row>
    <row r="308" spans="1:42">
      <c r="A308" s="614" t="s">
        <v>671</v>
      </c>
      <c r="B308" s="618" t="e">
        <f>IF(($B302-$B307)*(($B306-$B307)/($B304-$B307))+$B307&gt;$B302,$B302,($B302-$B307)*(($B306-$B307)/($B304-$B307))+$B307)</f>
        <v>#VALUE!</v>
      </c>
      <c r="C308" s="145" t="s">
        <v>667</v>
      </c>
    </row>
    <row r="309" spans="1:42">
      <c r="A309" s="614" t="s">
        <v>363</v>
      </c>
      <c r="B309" s="619" t="str">
        <f>IF(ISNUMBER($B303),IF($B303&gt;$B308,"No","Yes"),"")</f>
        <v/>
      </c>
      <c r="C309" s="145" t="s">
        <v>667</v>
      </c>
    </row>
    <row r="310" spans="1:42">
      <c r="A310" s="1035" t="s">
        <v>672</v>
      </c>
      <c r="B310" s="618" t="str">
        <f>IFERROR($B304,"")</f>
        <v/>
      </c>
      <c r="C310" s="145" t="s">
        <v>667</v>
      </c>
    </row>
    <row r="311" spans="1:42">
      <c r="A311" s="1035"/>
      <c r="B311" s="618" t="str">
        <f>IFERROR($B305,"")</f>
        <v/>
      </c>
      <c r="C311" s="145" t="s">
        <v>667</v>
      </c>
    </row>
    <row r="312" spans="1:42">
      <c r="A312" s="1035"/>
      <c r="B312" s="618" t="str">
        <f>IFERROR($B308,"")</f>
        <v/>
      </c>
      <c r="C312" s="145" t="s">
        <v>667</v>
      </c>
    </row>
    <row r="313" spans="1:42">
      <c r="A313" s="1035"/>
      <c r="B313" s="618" t="str">
        <f>IFERROR($B309,"")</f>
        <v/>
      </c>
      <c r="C313" s="145" t="s">
        <v>667</v>
      </c>
    </row>
    <row r="314" spans="1:42">
      <c r="A314" s="195"/>
    </row>
    <row r="315" spans="1:42" ht="17">
      <c r="A315" s="200" t="s">
        <v>659</v>
      </c>
      <c r="B315" s="612" t="str">
        <f>'Sector Target-Setting Tool'!$C431</f>
        <v>Soy</v>
      </c>
      <c r="C315" s="145" t="s">
        <v>658</v>
      </c>
      <c r="E315" s="613" t="s">
        <v>627</v>
      </c>
      <c r="F315" s="613" t="s">
        <v>659</v>
      </c>
      <c r="G315" s="613" t="s">
        <v>470</v>
      </c>
      <c r="H315" s="613" t="s">
        <v>472</v>
      </c>
      <c r="I315" s="613" t="s">
        <v>510</v>
      </c>
      <c r="J315" s="613" t="s">
        <v>660</v>
      </c>
      <c r="K315" s="613">
        <v>2020</v>
      </c>
      <c r="L315" s="613">
        <v>2021</v>
      </c>
      <c r="M315" s="613">
        <v>2022</v>
      </c>
      <c r="N315" s="613">
        <v>2023</v>
      </c>
      <c r="O315" s="613">
        <v>2024</v>
      </c>
      <c r="P315" s="613">
        <v>2025</v>
      </c>
      <c r="Q315" s="613">
        <v>2026</v>
      </c>
      <c r="R315" s="613">
        <v>2027</v>
      </c>
      <c r="S315" s="613">
        <v>2028</v>
      </c>
      <c r="T315" s="613">
        <v>2029</v>
      </c>
      <c r="U315" s="613">
        <v>2030</v>
      </c>
      <c r="V315" s="613">
        <v>2031</v>
      </c>
      <c r="W315" s="613">
        <v>2032</v>
      </c>
      <c r="X315" s="613">
        <v>2033</v>
      </c>
      <c r="Y315" s="613">
        <v>2034</v>
      </c>
      <c r="Z315" s="613">
        <v>2035</v>
      </c>
      <c r="AA315" s="613">
        <v>2036</v>
      </c>
      <c r="AB315" s="613">
        <v>2037</v>
      </c>
      <c r="AC315" s="613">
        <v>2038</v>
      </c>
      <c r="AD315" s="613">
        <v>2039</v>
      </c>
      <c r="AE315" s="613">
        <v>2040</v>
      </c>
      <c r="AF315" s="613">
        <v>2041</v>
      </c>
      <c r="AG315" s="613">
        <v>2042</v>
      </c>
      <c r="AH315" s="613">
        <v>2043</v>
      </c>
      <c r="AI315" s="613">
        <v>2044</v>
      </c>
      <c r="AJ315" s="613">
        <v>2045</v>
      </c>
      <c r="AK315" s="613">
        <v>2046</v>
      </c>
      <c r="AL315" s="613">
        <v>2047</v>
      </c>
      <c r="AM315" s="613">
        <v>2048</v>
      </c>
      <c r="AN315" s="613">
        <v>2049</v>
      </c>
      <c r="AO315" s="613">
        <v>2050</v>
      </c>
      <c r="AP315" s="613" t="s">
        <v>661</v>
      </c>
    </row>
    <row r="316" spans="1:42" ht="17">
      <c r="A316" s="191" t="s">
        <v>470</v>
      </c>
      <c r="B316" s="612" t="str">
        <f>'Sector Target-Setting Tool'!$D434</f>
        <v>Emissions Intensity</v>
      </c>
      <c r="C316" s="145" t="s">
        <v>658</v>
      </c>
      <c r="E316" s="192" t="str" cm="1">
        <f t="array" ref="E316:AP316">_xlfn._xlws.FILTER(pathway_database,(pathway_database_sector="FLAG")*(pathway_database_subsector=$B315)*(pathway_database_metric_type=$B316)*(pathway_database_pathway=$B317),"")</f>
        <v>FLAG</v>
      </c>
      <c r="F316" s="192" t="str">
        <v>Soy</v>
      </c>
      <c r="G316" s="192" t="str">
        <v>Emissions Intensity</v>
      </c>
      <c r="H316" s="192" t="str">
        <v>tCO2/t fresh weight</v>
      </c>
      <c r="I316" s="192" t="str">
        <v>SBTi Pathway</v>
      </c>
      <c r="J316" s="192" t="str">
        <v>Global</v>
      </c>
      <c r="K316" s="193">
        <v>0.50073759399999995</v>
      </c>
      <c r="L316" s="193">
        <v>0.48613395099999995</v>
      </c>
      <c r="M316" s="193">
        <v>0.47153030799999995</v>
      </c>
      <c r="N316" s="193">
        <v>0.45692666499999995</v>
      </c>
      <c r="O316" s="193">
        <v>0.44232302199999995</v>
      </c>
      <c r="P316" s="193">
        <v>0.42771937900000001</v>
      </c>
      <c r="Q316" s="193">
        <v>0.41237550319999999</v>
      </c>
      <c r="R316" s="193">
        <v>0.39703162739999998</v>
      </c>
      <c r="S316" s="193">
        <v>0.38168775159999996</v>
      </c>
      <c r="T316" s="193">
        <v>0.36634387579999994</v>
      </c>
      <c r="U316" s="193">
        <v>0.35099999999999998</v>
      </c>
      <c r="V316" s="193">
        <v>0.34859999999999997</v>
      </c>
      <c r="W316" s="193">
        <v>0.34619999999999995</v>
      </c>
      <c r="X316" s="193">
        <v>0.34379999999999994</v>
      </c>
      <c r="Y316" s="193">
        <v>0.34139999999999993</v>
      </c>
      <c r="Z316" s="193">
        <v>0.33900000000000002</v>
      </c>
      <c r="AA316" s="193">
        <v>0.3372</v>
      </c>
      <c r="AB316" s="193">
        <v>0.33539999999999998</v>
      </c>
      <c r="AC316" s="193">
        <v>0.33359999999999995</v>
      </c>
      <c r="AD316" s="193">
        <v>0.33179999999999993</v>
      </c>
      <c r="AE316" s="193">
        <v>0.33</v>
      </c>
      <c r="AF316" s="193">
        <v>0.32180000000000003</v>
      </c>
      <c r="AG316" s="193">
        <v>0.31360000000000005</v>
      </c>
      <c r="AH316" s="193">
        <v>0.30540000000000006</v>
      </c>
      <c r="AI316" s="193">
        <v>0.29720000000000008</v>
      </c>
      <c r="AJ316" s="193">
        <v>0.28899999999999998</v>
      </c>
      <c r="AK316" s="193">
        <v>0.2802</v>
      </c>
      <c r="AL316" s="193">
        <v>0.27140000000000003</v>
      </c>
      <c r="AM316" s="193">
        <v>0.26260000000000006</v>
      </c>
      <c r="AN316" s="193">
        <v>0.25380000000000008</v>
      </c>
      <c r="AO316" s="193">
        <v>0.245</v>
      </c>
      <c r="AP316" s="192" t="str">
        <v>Not Applicable</v>
      </c>
    </row>
    <row r="317" spans="1:42" ht="17">
      <c r="A317" s="614" t="s">
        <v>510</v>
      </c>
      <c r="B317" s="612" t="str">
        <f>'Sector Target-Setting Tool'!$D436</f>
        <v>SBTi Pathway</v>
      </c>
      <c r="C317" s="145" t="s">
        <v>658</v>
      </c>
    </row>
    <row r="318" spans="1:42" ht="17">
      <c r="A318" s="191" t="s">
        <v>477</v>
      </c>
      <c r="B318" s="615">
        <f>'Sector Target-Setting Tool'!$D437</f>
        <v>0</v>
      </c>
      <c r="C318" s="145" t="s">
        <v>658</v>
      </c>
    </row>
    <row r="319" spans="1:42" ht="17">
      <c r="A319" s="191" t="s">
        <v>479</v>
      </c>
      <c r="B319" s="615">
        <f>'Sector Target-Setting Tool'!$D443</f>
        <v>0</v>
      </c>
      <c r="C319" s="145" t="s">
        <v>658</v>
      </c>
    </row>
    <row r="320" spans="1:42">
      <c r="A320" s="614" t="s">
        <v>662</v>
      </c>
      <c r="B320" s="616">
        <v>2050</v>
      </c>
      <c r="C320" s="145" t="s">
        <v>663</v>
      </c>
    </row>
    <row r="321" spans="1:42" ht="17">
      <c r="A321" s="617" t="s">
        <v>664</v>
      </c>
      <c r="B321" s="618" t="str">
        <f>'Sector Target-Setting Tool'!$D440</f>
        <v/>
      </c>
      <c r="C321" s="145" t="s">
        <v>658</v>
      </c>
    </row>
    <row r="322" spans="1:42">
      <c r="A322" s="614" t="s">
        <v>665</v>
      </c>
      <c r="B322" s="618" t="str">
        <f>IF(ISBLANK('Sector Target-Setting Tool'!$D445),"",'Sector Target-Setting Tool'!$D445)</f>
        <v/>
      </c>
      <c r="C322" s="145" t="s">
        <v>658</v>
      </c>
    </row>
    <row r="323" spans="1:42">
      <c r="A323" s="614" t="s">
        <v>666</v>
      </c>
      <c r="B323" s="618" t="e">
        <f>HLOOKUP($B318,$E315:$AP316,2)</f>
        <v>#N/A</v>
      </c>
      <c r="C323" s="145" t="s">
        <v>667</v>
      </c>
    </row>
    <row r="324" spans="1:42">
      <c r="A324" s="614" t="s">
        <v>668</v>
      </c>
      <c r="B324" s="619" t="str">
        <f>IF(ISNUMBER($B321),IF($B321&gt;$B323,"No","Yes"),"")</f>
        <v/>
      </c>
      <c r="C324" s="145" t="s">
        <v>667</v>
      </c>
    </row>
    <row r="325" spans="1:42">
      <c r="A325" s="614" t="s">
        <v>669</v>
      </c>
      <c r="B325" s="618" t="e">
        <f>HLOOKUP($B319,$E315:$AP316,2)</f>
        <v>#N/A</v>
      </c>
      <c r="C325" s="145" t="s">
        <v>667</v>
      </c>
    </row>
    <row r="326" spans="1:42">
      <c r="A326" s="614" t="s">
        <v>670</v>
      </c>
      <c r="B326" s="618">
        <f>HLOOKUP($B320,$E315:$AP316,2)</f>
        <v>0.245</v>
      </c>
      <c r="C326" s="145" t="s">
        <v>667</v>
      </c>
      <c r="D326" s="620"/>
    </row>
    <row r="327" spans="1:42">
      <c r="A327" s="614" t="s">
        <v>671</v>
      </c>
      <c r="B327" s="618" t="e">
        <f>IF(($B321-$B326)*(($B325-$B326)/($B323-$B326))+$B326&gt;$B321,$B321,($B321-$B326)*(($B325-$B326)/($B323-$B326))+$B326)</f>
        <v>#VALUE!</v>
      </c>
      <c r="C327" s="145" t="s">
        <v>667</v>
      </c>
    </row>
    <row r="328" spans="1:42">
      <c r="A328" s="614" t="s">
        <v>363</v>
      </c>
      <c r="B328" s="619" t="str">
        <f>IF(ISNUMBER($B322),IF($B322&gt;$B327,"No","Yes"),"")</f>
        <v/>
      </c>
      <c r="C328" s="145" t="s">
        <v>667</v>
      </c>
    </row>
    <row r="329" spans="1:42">
      <c r="A329" s="1035" t="s">
        <v>672</v>
      </c>
      <c r="B329" s="618" t="str">
        <f>IFERROR($B323,"")</f>
        <v/>
      </c>
      <c r="C329" s="145" t="s">
        <v>667</v>
      </c>
    </row>
    <row r="330" spans="1:42">
      <c r="A330" s="1035"/>
      <c r="B330" s="618" t="str">
        <f>IFERROR($B324,"")</f>
        <v/>
      </c>
      <c r="C330" s="145" t="s">
        <v>667</v>
      </c>
    </row>
    <row r="331" spans="1:42">
      <c r="A331" s="1035"/>
      <c r="B331" s="618" t="str">
        <f>IFERROR($B327,"")</f>
        <v/>
      </c>
      <c r="C331" s="145" t="s">
        <v>667</v>
      </c>
    </row>
    <row r="332" spans="1:42">
      <c r="A332" s="1035"/>
      <c r="B332" s="618" t="str">
        <f>IFERROR($B328,"")</f>
        <v/>
      </c>
      <c r="C332" s="145" t="s">
        <v>667</v>
      </c>
    </row>
    <row r="333" spans="1:42">
      <c r="A333" s="195"/>
    </row>
    <row r="334" spans="1:42" ht="17">
      <c r="A334" s="200" t="s">
        <v>659</v>
      </c>
      <c r="B334" s="612" t="str">
        <f>'Sector Target-Setting Tool'!$C449</f>
        <v>Wheat</v>
      </c>
      <c r="C334" s="145" t="s">
        <v>658</v>
      </c>
      <c r="E334" s="613" t="s">
        <v>627</v>
      </c>
      <c r="F334" s="613" t="s">
        <v>659</v>
      </c>
      <c r="G334" s="613" t="s">
        <v>470</v>
      </c>
      <c r="H334" s="613" t="s">
        <v>472</v>
      </c>
      <c r="I334" s="613" t="s">
        <v>510</v>
      </c>
      <c r="J334" s="613" t="s">
        <v>660</v>
      </c>
      <c r="K334" s="613">
        <v>2020</v>
      </c>
      <c r="L334" s="613">
        <v>2021</v>
      </c>
      <c r="M334" s="613">
        <v>2022</v>
      </c>
      <c r="N334" s="613">
        <v>2023</v>
      </c>
      <c r="O334" s="613">
        <v>2024</v>
      </c>
      <c r="P334" s="613">
        <v>2025</v>
      </c>
      <c r="Q334" s="613">
        <v>2026</v>
      </c>
      <c r="R334" s="613">
        <v>2027</v>
      </c>
      <c r="S334" s="613">
        <v>2028</v>
      </c>
      <c r="T334" s="613">
        <v>2029</v>
      </c>
      <c r="U334" s="613">
        <v>2030</v>
      </c>
      <c r="V334" s="613">
        <v>2031</v>
      </c>
      <c r="W334" s="613">
        <v>2032</v>
      </c>
      <c r="X334" s="613">
        <v>2033</v>
      </c>
      <c r="Y334" s="613">
        <v>2034</v>
      </c>
      <c r="Z334" s="613">
        <v>2035</v>
      </c>
      <c r="AA334" s="613">
        <v>2036</v>
      </c>
      <c r="AB334" s="613">
        <v>2037</v>
      </c>
      <c r="AC334" s="613">
        <v>2038</v>
      </c>
      <c r="AD334" s="613">
        <v>2039</v>
      </c>
      <c r="AE334" s="613">
        <v>2040</v>
      </c>
      <c r="AF334" s="613">
        <v>2041</v>
      </c>
      <c r="AG334" s="613">
        <v>2042</v>
      </c>
      <c r="AH334" s="613">
        <v>2043</v>
      </c>
      <c r="AI334" s="613">
        <v>2044</v>
      </c>
      <c r="AJ334" s="613">
        <v>2045</v>
      </c>
      <c r="AK334" s="613">
        <v>2046</v>
      </c>
      <c r="AL334" s="613">
        <v>2047</v>
      </c>
      <c r="AM334" s="613">
        <v>2048</v>
      </c>
      <c r="AN334" s="613">
        <v>2049</v>
      </c>
      <c r="AO334" s="613">
        <v>2050</v>
      </c>
      <c r="AP334" s="613" t="s">
        <v>661</v>
      </c>
    </row>
    <row r="335" spans="1:42" ht="17">
      <c r="A335" s="191" t="s">
        <v>470</v>
      </c>
      <c r="B335" s="612" t="str">
        <f>'Sector Target-Setting Tool'!$D452</f>
        <v>Emissions Intensity</v>
      </c>
      <c r="C335" s="145" t="s">
        <v>658</v>
      </c>
      <c r="E335" s="192" t="str" cm="1">
        <f t="array" ref="E335:AP335">_xlfn._xlws.FILTER(pathway_database,(pathway_database_sector="FLAG")*(pathway_database_subsector=$B334)*(pathway_database_metric_type=$B335)*(pathway_database_pathway=$B336),"")</f>
        <v>FLAG</v>
      </c>
      <c r="F335" s="192" t="str">
        <v>Wheat</v>
      </c>
      <c r="G335" s="192" t="str">
        <v>Emissions Intensity</v>
      </c>
      <c r="H335" s="192" t="str">
        <v>tCO2/t fresh weight</v>
      </c>
      <c r="I335" s="192" t="str">
        <v>SBTi Pathway</v>
      </c>
      <c r="J335" s="192" t="str">
        <v>Global</v>
      </c>
      <c r="K335" s="193">
        <v>0.45019380399999998</v>
      </c>
      <c r="L335" s="193">
        <v>0.43858720279999996</v>
      </c>
      <c r="M335" s="193">
        <v>0.42698060159999995</v>
      </c>
      <c r="N335" s="193">
        <v>0.41537400039999994</v>
      </c>
      <c r="O335" s="193">
        <v>0.40376739919999993</v>
      </c>
      <c r="P335" s="193">
        <v>0.39216079799999998</v>
      </c>
      <c r="Q335" s="193">
        <v>0.38332863839999998</v>
      </c>
      <c r="R335" s="193">
        <v>0.37449647879999998</v>
      </c>
      <c r="S335" s="193">
        <v>0.36566431919999998</v>
      </c>
      <c r="T335" s="193">
        <v>0.35683215959999998</v>
      </c>
      <c r="U335" s="193">
        <v>0.34799999999999998</v>
      </c>
      <c r="V335" s="193">
        <v>0.34159999999999996</v>
      </c>
      <c r="W335" s="193">
        <v>0.33519999999999994</v>
      </c>
      <c r="X335" s="193">
        <v>0.32879999999999993</v>
      </c>
      <c r="Y335" s="193">
        <v>0.32239999999999991</v>
      </c>
      <c r="Z335" s="193">
        <v>0.316</v>
      </c>
      <c r="AA335" s="193">
        <v>0.312</v>
      </c>
      <c r="AB335" s="193">
        <v>0.308</v>
      </c>
      <c r="AC335" s="193">
        <v>0.30399999999999999</v>
      </c>
      <c r="AD335" s="193">
        <v>0.3</v>
      </c>
      <c r="AE335" s="193">
        <v>0.29599999999999999</v>
      </c>
      <c r="AF335" s="193">
        <v>0.29380000000000001</v>
      </c>
      <c r="AG335" s="193">
        <v>0.29160000000000003</v>
      </c>
      <c r="AH335" s="193">
        <v>0.28940000000000005</v>
      </c>
      <c r="AI335" s="193">
        <v>0.28720000000000007</v>
      </c>
      <c r="AJ335" s="193">
        <v>0.28499999999999998</v>
      </c>
      <c r="AK335" s="193">
        <v>0.28259999999999996</v>
      </c>
      <c r="AL335" s="193">
        <v>0.28019999999999995</v>
      </c>
      <c r="AM335" s="193">
        <v>0.27779999999999994</v>
      </c>
      <c r="AN335" s="193">
        <v>0.27539999999999992</v>
      </c>
      <c r="AO335" s="193">
        <v>0.27300000000000002</v>
      </c>
      <c r="AP335" s="192" t="str">
        <v>Not Applicable</v>
      </c>
    </row>
    <row r="336" spans="1:42" ht="17">
      <c r="A336" s="614" t="s">
        <v>510</v>
      </c>
      <c r="B336" s="612" t="str">
        <f>'Sector Target-Setting Tool'!$D454</f>
        <v>SBTi Pathway</v>
      </c>
      <c r="C336" s="145" t="s">
        <v>658</v>
      </c>
    </row>
    <row r="337" spans="1:4" ht="17">
      <c r="A337" s="191" t="s">
        <v>477</v>
      </c>
      <c r="B337" s="615">
        <f>'Sector Target-Setting Tool'!$D455</f>
        <v>0</v>
      </c>
      <c r="C337" s="145" t="s">
        <v>658</v>
      </c>
    </row>
    <row r="338" spans="1:4" ht="17">
      <c r="A338" s="191" t="s">
        <v>479</v>
      </c>
      <c r="B338" s="615">
        <f>'Sector Target-Setting Tool'!$D461</f>
        <v>0</v>
      </c>
      <c r="C338" s="145" t="s">
        <v>658</v>
      </c>
    </row>
    <row r="339" spans="1:4">
      <c r="A339" s="614" t="s">
        <v>662</v>
      </c>
      <c r="B339" s="616">
        <v>2050</v>
      </c>
      <c r="C339" s="145" t="s">
        <v>663</v>
      </c>
    </row>
    <row r="340" spans="1:4" ht="17">
      <c r="A340" s="617" t="s">
        <v>664</v>
      </c>
      <c r="B340" s="618" t="str">
        <f>'Sector Target-Setting Tool'!$D458</f>
        <v/>
      </c>
      <c r="C340" s="145" t="s">
        <v>658</v>
      </c>
    </row>
    <row r="341" spans="1:4">
      <c r="A341" s="614" t="s">
        <v>665</v>
      </c>
      <c r="B341" s="618" t="str">
        <f>IF(ISBLANK('Sector Target-Setting Tool'!$D463),"",'Sector Target-Setting Tool'!$D463)</f>
        <v/>
      </c>
      <c r="C341" s="145" t="s">
        <v>658</v>
      </c>
    </row>
    <row r="342" spans="1:4">
      <c r="A342" s="614" t="s">
        <v>666</v>
      </c>
      <c r="B342" s="618" t="e">
        <f>HLOOKUP($B337,$E334:$AP335,2)</f>
        <v>#N/A</v>
      </c>
      <c r="C342" s="145" t="s">
        <v>667</v>
      </c>
    </row>
    <row r="343" spans="1:4">
      <c r="A343" s="614" t="s">
        <v>668</v>
      </c>
      <c r="B343" s="619" t="str">
        <f>IF(ISNUMBER($B340),IF($B340&gt;$B342,"No","Yes"),"")</f>
        <v/>
      </c>
      <c r="C343" s="145" t="s">
        <v>667</v>
      </c>
    </row>
    <row r="344" spans="1:4">
      <c r="A344" s="614" t="s">
        <v>669</v>
      </c>
      <c r="B344" s="618" t="e">
        <f>HLOOKUP($B338,$E334:$AP335,2)</f>
        <v>#N/A</v>
      </c>
      <c r="C344" s="145" t="s">
        <v>667</v>
      </c>
    </row>
    <row r="345" spans="1:4">
      <c r="A345" s="614" t="s">
        <v>670</v>
      </c>
      <c r="B345" s="618">
        <f>HLOOKUP($B339,$E334:$AP335,2)</f>
        <v>0.27300000000000002</v>
      </c>
      <c r="C345" s="145" t="s">
        <v>667</v>
      </c>
      <c r="D345" s="620"/>
    </row>
    <row r="346" spans="1:4">
      <c r="A346" s="614" t="s">
        <v>671</v>
      </c>
      <c r="B346" s="618" t="e">
        <f>IF(($B340-$B345)*(($B344-$B345)/($B342-$B345))+$B345&gt;$B340,$B340,($B340-$B345)*(($B344-$B345)/($B342-$B345))+$B345)</f>
        <v>#VALUE!</v>
      </c>
      <c r="C346" s="145" t="s">
        <v>667</v>
      </c>
    </row>
    <row r="347" spans="1:4">
      <c r="A347" s="614" t="s">
        <v>363</v>
      </c>
      <c r="B347" s="619" t="str">
        <f>IF(ISNUMBER($B341),IF($B341&gt;$B346,"No","Yes"),"")</f>
        <v/>
      </c>
      <c r="C347" s="145" t="s">
        <v>667</v>
      </c>
    </row>
    <row r="348" spans="1:4">
      <c r="A348" s="1035" t="s">
        <v>672</v>
      </c>
      <c r="B348" s="618" t="str">
        <f>IFERROR($B342,"")</f>
        <v/>
      </c>
      <c r="C348" s="145" t="s">
        <v>667</v>
      </c>
    </row>
    <row r="349" spans="1:4">
      <c r="A349" s="1035"/>
      <c r="B349" s="618" t="str">
        <f>IFERROR($B343,"")</f>
        <v/>
      </c>
      <c r="C349" s="145" t="s">
        <v>667</v>
      </c>
    </row>
    <row r="350" spans="1:4">
      <c r="A350" s="1035"/>
      <c r="B350" s="618" t="str">
        <f>IFERROR($B346,"")</f>
        <v/>
      </c>
      <c r="C350" s="145" t="s">
        <v>667</v>
      </c>
    </row>
    <row r="351" spans="1:4">
      <c r="A351" s="1035"/>
      <c r="B351" s="618" t="str">
        <f>IFERROR($B347,"")</f>
        <v/>
      </c>
      <c r="C351" s="145" t="s">
        <v>667</v>
      </c>
    </row>
    <row r="352" spans="1:4">
      <c r="A352" s="195"/>
    </row>
    <row r="353" spans="1:42" ht="30">
      <c r="A353" s="201" t="str">
        <f>'Sector Target-Setting Tool'!$C101</f>
        <v>Oil and Gas</v>
      </c>
    </row>
    <row r="354" spans="1:42" ht="17">
      <c r="A354" s="191" t="s">
        <v>470</v>
      </c>
      <c r="B354" s="612" t="str">
        <f>'Sector Target-Setting Tool'!$D104</f>
        <v>Absolute Emissions</v>
      </c>
      <c r="C354" s="145" t="s">
        <v>658</v>
      </c>
      <c r="E354" s="613" t="s">
        <v>627</v>
      </c>
      <c r="F354" s="613" t="s">
        <v>659</v>
      </c>
      <c r="G354" s="613" t="s">
        <v>470</v>
      </c>
      <c r="H354" s="613" t="s">
        <v>472</v>
      </c>
      <c r="I354" s="613" t="s">
        <v>510</v>
      </c>
      <c r="J354" s="613" t="s">
        <v>660</v>
      </c>
      <c r="K354" s="613">
        <v>2020</v>
      </c>
      <c r="L354" s="613">
        <v>2021</v>
      </c>
      <c r="M354" s="613">
        <v>2022</v>
      </c>
      <c r="N354" s="613">
        <v>2023</v>
      </c>
      <c r="O354" s="613">
        <v>2024</v>
      </c>
      <c r="P354" s="613">
        <v>2025</v>
      </c>
      <c r="Q354" s="613">
        <v>2026</v>
      </c>
      <c r="R354" s="613">
        <v>2027</v>
      </c>
      <c r="S354" s="613">
        <v>2028</v>
      </c>
      <c r="T354" s="613">
        <v>2029</v>
      </c>
      <c r="U354" s="613">
        <v>2030</v>
      </c>
      <c r="V354" s="613">
        <v>2031</v>
      </c>
      <c r="W354" s="613">
        <v>2032</v>
      </c>
      <c r="X354" s="613">
        <v>2033</v>
      </c>
      <c r="Y354" s="613">
        <v>2034</v>
      </c>
      <c r="Z354" s="613">
        <v>2035</v>
      </c>
      <c r="AA354" s="613">
        <v>2036</v>
      </c>
      <c r="AB354" s="613">
        <v>2037</v>
      </c>
      <c r="AC354" s="613">
        <v>2038</v>
      </c>
      <c r="AD354" s="613">
        <v>2039</v>
      </c>
      <c r="AE354" s="613">
        <v>2040</v>
      </c>
      <c r="AF354" s="613">
        <v>2041</v>
      </c>
      <c r="AG354" s="613">
        <v>2042</v>
      </c>
      <c r="AH354" s="613">
        <v>2043</v>
      </c>
      <c r="AI354" s="613">
        <v>2044</v>
      </c>
      <c r="AJ354" s="613">
        <v>2045</v>
      </c>
      <c r="AK354" s="613">
        <v>2046</v>
      </c>
      <c r="AL354" s="613">
        <v>2047</v>
      </c>
      <c r="AM354" s="613">
        <v>2048</v>
      </c>
      <c r="AN354" s="613">
        <v>2049</v>
      </c>
      <c r="AO354" s="613">
        <v>2050</v>
      </c>
      <c r="AP354" s="613" t="s">
        <v>661</v>
      </c>
    </row>
    <row r="355" spans="1:42" ht="17">
      <c r="A355" s="614" t="s">
        <v>510</v>
      </c>
      <c r="B355" s="612" t="str">
        <f>'Sector Target-Setting Tool'!$D106</f>
        <v>IEA NZE (2023)</v>
      </c>
      <c r="C355" s="145" t="s">
        <v>658</v>
      </c>
      <c r="E355" s="192" t="str" cm="1">
        <f t="array" ref="E355:AP355">_xlfn._xlws.FILTER(pathway_database,(pathway_database_sector="Oil &amp; Gas")*(pathway_database_metric_type=$B354)*(pathway_database_pathway=$B355),"")</f>
        <v>Oil &amp; Gas</v>
      </c>
      <c r="F355" s="192" t="str">
        <v>Not Applicable</v>
      </c>
      <c r="G355" s="192" t="str">
        <v>Absolute Emissions</v>
      </c>
      <c r="H355" s="192" t="str">
        <v>% 2022 Value (Scope 1, 2 &amp; 3.11)</v>
      </c>
      <c r="I355" s="192" t="str">
        <v>IEA NZE (2023)</v>
      </c>
      <c r="J355" s="192" t="str">
        <v>Global</v>
      </c>
      <c r="K355" s="193">
        <v>0</v>
      </c>
      <c r="L355" s="193">
        <v>0</v>
      </c>
      <c r="M355" s="193">
        <v>100</v>
      </c>
      <c r="N355" s="193">
        <v>95.918545454545452</v>
      </c>
      <c r="O355" s="193">
        <v>91.837090909090904</v>
      </c>
      <c r="P355" s="193">
        <v>87.75563636363637</v>
      </c>
      <c r="Q355" s="193">
        <v>83.674181818181822</v>
      </c>
      <c r="R355" s="193">
        <v>79.592727272727274</v>
      </c>
      <c r="S355" s="193">
        <v>75.51127272727274</v>
      </c>
      <c r="T355" s="193">
        <v>71.429818181818192</v>
      </c>
      <c r="U355" s="193">
        <v>67.335956681128707</v>
      </c>
      <c r="V355" s="193">
        <v>62.169593044765065</v>
      </c>
      <c r="W355" s="193">
        <v>57.003229408401431</v>
      </c>
      <c r="X355" s="193">
        <v>51.83686577203779</v>
      </c>
      <c r="Y355" s="193">
        <v>46.670502135674163</v>
      </c>
      <c r="Z355" s="193">
        <v>41.482527831029493</v>
      </c>
      <c r="AA355" s="193">
        <v>39.09889146739313</v>
      </c>
      <c r="AB355" s="193">
        <v>36.71525510375676</v>
      </c>
      <c r="AC355" s="193">
        <v>34.331618740120398</v>
      </c>
      <c r="AD355" s="193">
        <v>31.947982376484035</v>
      </c>
      <c r="AE355" s="193">
        <v>29.564346012847668</v>
      </c>
      <c r="AF355" s="193">
        <v>27.180709649211309</v>
      </c>
      <c r="AG355" s="193">
        <v>24.797073285574935</v>
      </c>
      <c r="AH355" s="193">
        <v>22.413436921938576</v>
      </c>
      <c r="AI355" s="193">
        <v>20.029800558302213</v>
      </c>
      <c r="AJ355" s="193">
        <v>17.646164194665847</v>
      </c>
      <c r="AK355" s="193">
        <v>15.26252783102948</v>
      </c>
      <c r="AL355" s="193">
        <v>12.878891467393119</v>
      </c>
      <c r="AM355" s="193">
        <v>10.495255103756755</v>
      </c>
      <c r="AN355" s="193">
        <v>8.1116187401203916</v>
      </c>
      <c r="AO355" s="193">
        <v>5.7266337066559041</v>
      </c>
      <c r="AP355" s="192" t="str">
        <v>Not Applicable</v>
      </c>
    </row>
    <row r="356" spans="1:42" ht="17">
      <c r="A356" s="191" t="s">
        <v>477</v>
      </c>
      <c r="B356" s="615">
        <f>'Sector Target-Setting Tool'!$D107</f>
        <v>0</v>
      </c>
      <c r="C356" s="145" t="s">
        <v>658</v>
      </c>
    </row>
    <row r="357" spans="1:42" ht="17">
      <c r="A357" s="191" t="s">
        <v>479</v>
      </c>
      <c r="B357" s="615">
        <f>'Sector Target-Setting Tool'!$D109</f>
        <v>0</v>
      </c>
      <c r="C357" s="145" t="s">
        <v>658</v>
      </c>
    </row>
    <row r="358" spans="1:42" ht="17">
      <c r="A358" s="617" t="s">
        <v>664</v>
      </c>
      <c r="B358" s="618">
        <f>'Sector Target-Setting Tool'!$D108</f>
        <v>0</v>
      </c>
      <c r="C358" s="145" t="s">
        <v>658</v>
      </c>
    </row>
    <row r="359" spans="1:42">
      <c r="A359" s="614" t="s">
        <v>665</v>
      </c>
      <c r="B359" s="618" t="str">
        <f>IF(ISBLANK('Sector Target-Setting Tool'!$D112),"",'Sector Target-Setting Tool'!$D112)</f>
        <v/>
      </c>
      <c r="C359" s="145" t="s">
        <v>658</v>
      </c>
    </row>
    <row r="360" spans="1:42">
      <c r="A360" s="614" t="s">
        <v>681</v>
      </c>
      <c r="B360" s="618" t="e">
        <f>100*($B358-$B359)/$B358</f>
        <v>#VALUE!</v>
      </c>
      <c r="C360" s="145" t="s">
        <v>658</v>
      </c>
    </row>
    <row r="361" spans="1:42">
      <c r="A361" s="614" t="s">
        <v>666</v>
      </c>
      <c r="B361" s="618" t="e" cm="1">
        <f t="array" ref="B361">_xlfn.IFS($B356=2020,$M355+2*($M355-$N355),$B356=2021,$M355+($M355-$N355),TRUE,HLOOKUP($B356,$E354:$AP355,2))</f>
        <v>#N/A</v>
      </c>
      <c r="C361" s="145" t="s">
        <v>667</v>
      </c>
    </row>
    <row r="362" spans="1:42">
      <c r="A362" s="614" t="s">
        <v>669</v>
      </c>
      <c r="B362" s="618" t="e">
        <f>HLOOKUP($B357,$E354:$AP355,2)</f>
        <v>#N/A</v>
      </c>
      <c r="C362" s="145" t="s">
        <v>667</v>
      </c>
    </row>
    <row r="363" spans="1:42">
      <c r="A363" s="614" t="s">
        <v>682</v>
      </c>
      <c r="B363" s="618" t="e">
        <f>100*($B361-$B362)/$B361</f>
        <v>#N/A</v>
      </c>
      <c r="C363" s="145" t="s">
        <v>667</v>
      </c>
    </row>
    <row r="364" spans="1:42">
      <c r="A364" s="614" t="s">
        <v>363</v>
      </c>
      <c r="B364" s="619" t="e">
        <f>IF($B360&lt;$B363,"No","Yes")</f>
        <v>#VALUE!</v>
      </c>
      <c r="C364" s="145" t="s">
        <v>667</v>
      </c>
    </row>
    <row r="365" spans="1:42">
      <c r="A365" s="195" t="s">
        <v>683</v>
      </c>
      <c r="B365" s="202" t="b">
        <f>NOT(ISNA(_xlfn.XMATCH($B355,oil_gas_pathways)))</f>
        <v>1</v>
      </c>
      <c r="C365" s="145" t="s">
        <v>667</v>
      </c>
    </row>
    <row r="366" spans="1:42">
      <c r="A366" s="195" t="s">
        <v>684</v>
      </c>
      <c r="B366" s="619" t="b">
        <f>AND($B356&gt;0,$B357&gt;0)</f>
        <v>0</v>
      </c>
      <c r="C366" s="145" t="s">
        <v>667</v>
      </c>
    </row>
    <row r="367" spans="1:42">
      <c r="A367" s="614" t="s">
        <v>685</v>
      </c>
      <c r="B367" s="619" t="b">
        <f>AND($B366,ISNUMBER($B360))</f>
        <v>0</v>
      </c>
      <c r="C367" s="145" t="s">
        <v>667</v>
      </c>
    </row>
    <row r="368" spans="1:42">
      <c r="A368" s="1035" t="s">
        <v>672</v>
      </c>
      <c r="B368" s="618" t="str">
        <f>IF($B366,$B363,"")</f>
        <v/>
      </c>
      <c r="C368" s="145" t="s">
        <v>667</v>
      </c>
    </row>
    <row r="369" spans="1:42">
      <c r="A369" s="1035"/>
      <c r="B369" s="618" t="str">
        <f>IF($B367,$B364,"")</f>
        <v/>
      </c>
      <c r="C369" s="145" t="s">
        <v>667</v>
      </c>
    </row>
    <row r="371" spans="1:42" ht="30">
      <c r="A371" s="201" t="str">
        <f>'Sector Target-Setting Tool'!$C11</f>
        <v>Coal</v>
      </c>
    </row>
    <row r="372" spans="1:42" ht="23">
      <c r="A372" s="203" t="str">
        <f>'Sector Target-Setting Tool'!$C71</f>
        <v>iii. Near-Term Reduction Target Option 1a (Non-OECD; Absolute Emissions)</v>
      </c>
    </row>
    <row r="373" spans="1:42" ht="17">
      <c r="A373" s="191" t="s">
        <v>470</v>
      </c>
      <c r="B373" s="612" t="str">
        <f>'Sector Target-Setting Tool'!$D74</f>
        <v>Absolute Emissions</v>
      </c>
      <c r="C373" s="145" t="s">
        <v>658</v>
      </c>
      <c r="E373" s="613"/>
      <c r="F373" s="613"/>
      <c r="G373" s="613"/>
      <c r="H373" s="613"/>
      <c r="I373" s="613"/>
      <c r="J373" s="613"/>
      <c r="K373" s="613"/>
      <c r="L373" s="613"/>
      <c r="M373" s="613"/>
      <c r="N373" s="613"/>
      <c r="O373" s="613"/>
      <c r="P373" s="613"/>
      <c r="Q373" s="613"/>
      <c r="R373" s="613"/>
      <c r="S373" s="613"/>
      <c r="T373" s="613"/>
      <c r="U373" s="613"/>
      <c r="V373" s="613"/>
      <c r="W373" s="613"/>
      <c r="X373" s="613"/>
      <c r="Y373" s="613"/>
      <c r="Z373" s="613"/>
      <c r="AA373" s="613"/>
      <c r="AB373" s="613"/>
      <c r="AC373" s="613"/>
      <c r="AD373" s="613"/>
      <c r="AE373" s="613"/>
      <c r="AF373" s="613"/>
      <c r="AG373" s="613"/>
      <c r="AH373" s="613"/>
      <c r="AI373" s="613"/>
      <c r="AJ373" s="613"/>
      <c r="AK373" s="613"/>
      <c r="AL373" s="613"/>
      <c r="AM373" s="613"/>
      <c r="AN373" s="613"/>
      <c r="AO373" s="613"/>
      <c r="AP373" s="613"/>
    </row>
    <row r="374" spans="1:42" ht="17">
      <c r="A374" s="191" t="s">
        <v>477</v>
      </c>
      <c r="B374" s="615">
        <f>'Sector Target-Setting Tool'!$D77</f>
        <v>0</v>
      </c>
      <c r="C374" s="145" t="s">
        <v>658</v>
      </c>
    </row>
    <row r="375" spans="1:42" ht="17">
      <c r="A375" s="191" t="s">
        <v>479</v>
      </c>
      <c r="B375" s="615">
        <f>'Sector Target-Setting Tool'!$D79</f>
        <v>0</v>
      </c>
      <c r="C375" s="145" t="s">
        <v>658</v>
      </c>
    </row>
    <row r="376" spans="1:42" ht="17">
      <c r="A376" s="617" t="s">
        <v>664</v>
      </c>
      <c r="B376" s="618">
        <f>'Sector Target-Setting Tool'!$D78</f>
        <v>0</v>
      </c>
      <c r="C376" s="145" t="s">
        <v>658</v>
      </c>
    </row>
    <row r="377" spans="1:42">
      <c r="A377" s="614" t="s">
        <v>665</v>
      </c>
      <c r="B377" s="618" t="str">
        <f>IF(ISBLANK('Sector Target-Setting Tool'!$D82),"",'Sector Target-Setting Tool'!$D82)</f>
        <v/>
      </c>
      <c r="C377" s="145" t="s">
        <v>658</v>
      </c>
    </row>
    <row r="378" spans="1:42">
      <c r="A378" s="614" t="s">
        <v>681</v>
      </c>
      <c r="B378" s="621" t="e">
        <f>($B376-$B377)/$B376</f>
        <v>#VALUE!</v>
      </c>
      <c r="C378" s="145" t="s">
        <v>658</v>
      </c>
    </row>
    <row r="379" spans="1:42">
      <c r="A379" s="614" t="s">
        <v>682</v>
      </c>
      <c r="B379" s="621" t="str">
        <f>IF(AND($B374&gt;0,$B375&gt;0),($B375-$B374)/('Sector Target-Setting Tool'!$D50-$B374),"")</f>
        <v/>
      </c>
      <c r="C379" s="145" t="s">
        <v>667</v>
      </c>
    </row>
    <row r="380" spans="1:42">
      <c r="A380" s="614" t="s">
        <v>363</v>
      </c>
      <c r="B380" s="619" t="e">
        <f>IF($B378&lt;$B379,"No","Yes")</f>
        <v>#VALUE!</v>
      </c>
      <c r="C380" s="145" t="s">
        <v>667</v>
      </c>
    </row>
    <row r="381" spans="1:42">
      <c r="A381" s="195" t="s">
        <v>684</v>
      </c>
      <c r="B381" s="619" t="b">
        <f>AND($B374&gt;0,$B375&gt;0)</f>
        <v>0</v>
      </c>
      <c r="C381" s="145" t="s">
        <v>667</v>
      </c>
    </row>
    <row r="382" spans="1:42">
      <c r="A382" s="614" t="s">
        <v>685</v>
      </c>
      <c r="B382" s="619" t="b">
        <f>AND($B381,$B376&gt;0,ISNUMBER($B378))</f>
        <v>0</v>
      </c>
      <c r="C382" s="145" t="s">
        <v>667</v>
      </c>
    </row>
    <row r="383" spans="1:42">
      <c r="A383" s="1035" t="s">
        <v>672</v>
      </c>
      <c r="B383" s="621" t="str">
        <f>IF($B381,$B379,"")</f>
        <v/>
      </c>
      <c r="C383" s="145" t="s">
        <v>667</v>
      </c>
    </row>
    <row r="384" spans="1:42">
      <c r="A384" s="1035"/>
      <c r="B384" s="618" t="str">
        <f>IF($B382,$B380,"")</f>
        <v/>
      </c>
      <c r="C384" s="145" t="s">
        <v>667</v>
      </c>
    </row>
    <row r="386" spans="1:3" ht="23">
      <c r="A386" s="203" t="str">
        <f>'Sector Target-Setting Tool'!$C85</f>
        <v>iii. Near-Term Reduction Target Option 1b (Non-OECD; Financial Exposure)</v>
      </c>
    </row>
    <row r="387" spans="1:3" ht="17">
      <c r="A387" s="191" t="s">
        <v>470</v>
      </c>
      <c r="B387" s="612" t="str">
        <f>'Sector Target-Setting Tool'!$D88</f>
        <v>Financial Exposure</v>
      </c>
      <c r="C387" s="145" t="s">
        <v>658</v>
      </c>
    </row>
    <row r="388" spans="1:3" ht="17">
      <c r="A388" s="191" t="s">
        <v>472</v>
      </c>
      <c r="B388" s="612" t="str">
        <f>'Sector Target-Setting Tool'!$D92</f>
        <v>Unspecified Currency</v>
      </c>
      <c r="C388" s="145" t="s">
        <v>658</v>
      </c>
    </row>
    <row r="389" spans="1:3" ht="17">
      <c r="A389" s="191" t="s">
        <v>477</v>
      </c>
      <c r="B389" s="615">
        <f>'Sector Target-Setting Tool'!$D93</f>
        <v>0</v>
      </c>
      <c r="C389" s="145" t="s">
        <v>658</v>
      </c>
    </row>
    <row r="390" spans="1:3" ht="17">
      <c r="A390" s="191" t="s">
        <v>479</v>
      </c>
      <c r="B390" s="615">
        <f>'Sector Target-Setting Tool'!$D95</f>
        <v>0</v>
      </c>
      <c r="C390" s="145" t="s">
        <v>658</v>
      </c>
    </row>
    <row r="391" spans="1:3" ht="17">
      <c r="A391" s="617" t="s">
        <v>664</v>
      </c>
      <c r="B391" s="618">
        <f>'Sector Target-Setting Tool'!$D94</f>
        <v>0</v>
      </c>
      <c r="C391" s="145" t="s">
        <v>658</v>
      </c>
    </row>
    <row r="392" spans="1:3">
      <c r="A392" s="614" t="s">
        <v>665</v>
      </c>
      <c r="B392" s="618" t="str">
        <f>IF(ISBLANK('Sector Target-Setting Tool'!$D98),"",'Sector Target-Setting Tool'!$D98)</f>
        <v/>
      </c>
      <c r="C392" s="145" t="s">
        <v>658</v>
      </c>
    </row>
    <row r="393" spans="1:3">
      <c r="A393" s="614" t="s">
        <v>681</v>
      </c>
      <c r="B393" s="621" t="e">
        <f>($B391-$B392)/$B391</f>
        <v>#VALUE!</v>
      </c>
      <c r="C393" s="145" t="s">
        <v>658</v>
      </c>
    </row>
    <row r="394" spans="1:3">
      <c r="A394" s="614" t="s">
        <v>682</v>
      </c>
      <c r="B394" s="621" t="str">
        <f>IF(AND($B389&gt;0,$B390&gt;0),($B390-$B389)/('Sector Target-Setting Tool'!$D66-$B389),"")</f>
        <v/>
      </c>
      <c r="C394" s="145" t="s">
        <v>667</v>
      </c>
    </row>
    <row r="395" spans="1:3">
      <c r="A395" s="614" t="s">
        <v>363</v>
      </c>
      <c r="B395" s="619" t="e">
        <f>IF($B393&lt;$B394,"No","Yes")</f>
        <v>#VALUE!</v>
      </c>
      <c r="C395" s="145" t="s">
        <v>667</v>
      </c>
    </row>
    <row r="396" spans="1:3">
      <c r="A396" s="195" t="s">
        <v>684</v>
      </c>
      <c r="B396" s="619" t="b">
        <f>AND($B388&lt;&gt;"Unspecified Currency",$B389&gt;0,$B390&gt;0)</f>
        <v>0</v>
      </c>
      <c r="C396" s="145" t="s">
        <v>667</v>
      </c>
    </row>
    <row r="397" spans="1:3">
      <c r="A397" s="614" t="s">
        <v>685</v>
      </c>
      <c r="B397" s="619" t="b">
        <f>AND($B396,ISNUMBER($B392))</f>
        <v>0</v>
      </c>
      <c r="C397" s="145" t="s">
        <v>667</v>
      </c>
    </row>
    <row r="398" spans="1:3">
      <c r="A398" s="1035" t="s">
        <v>672</v>
      </c>
      <c r="B398" s="621" t="str">
        <f>IF($B396,$B394,"")</f>
        <v/>
      </c>
      <c r="C398" s="145" t="s">
        <v>667</v>
      </c>
    </row>
    <row r="399" spans="1:3">
      <c r="A399" s="1035"/>
      <c r="B399" s="618" t="str">
        <f>IF($B397,$B395,"")</f>
        <v/>
      </c>
      <c r="C399" s="145" t="s">
        <v>667</v>
      </c>
    </row>
  </sheetData>
  <sheetProtection algorithmName="SHA-512" hashValue="zcP7reVHR/mpPGzo7EKpciSisxfOcXs8KqxoBitmO5GRgTWyyLhv8UaNSBzSrIvkpuwcgT2F4FppMjzEQXgl9A==" saltValue="FAYrco4tAVTnbO+/nUi3fg==" spinCount="100000" sheet="1" objects="1" scenarios="1" formatCells="0" formatColumns="0" formatRows="0"/>
  <mergeCells count="21">
    <mergeCell ref="A234:A237"/>
    <mergeCell ref="A15:A18"/>
    <mergeCell ref="A35:A38"/>
    <mergeCell ref="A55:A58"/>
    <mergeCell ref="A74:A77"/>
    <mergeCell ref="A99:A102"/>
    <mergeCell ref="A118:A121"/>
    <mergeCell ref="A138:A141"/>
    <mergeCell ref="A157:A160"/>
    <mergeCell ref="A177:A180"/>
    <mergeCell ref="A196:A199"/>
    <mergeCell ref="A215:A218"/>
    <mergeCell ref="A368:A369"/>
    <mergeCell ref="A383:A384"/>
    <mergeCell ref="A398:A399"/>
    <mergeCell ref="A253:A256"/>
    <mergeCell ref="A272:A275"/>
    <mergeCell ref="A291:A294"/>
    <mergeCell ref="A310:A313"/>
    <mergeCell ref="A329:A332"/>
    <mergeCell ref="A348:A35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Q32"/>
  <sheetViews>
    <sheetView showGridLines="0" workbookViewId="0">
      <selection activeCell="F385" sqref="F385"/>
    </sheetView>
  </sheetViews>
  <sheetFormatPr baseColWidth="10" defaultColWidth="11.5" defaultRowHeight="16"/>
  <cols>
    <col min="1" max="1" width="18.83203125" style="148" bestFit="1" customWidth="1"/>
    <col min="2" max="2" width="3.6640625" style="148" customWidth="1"/>
    <col min="3" max="3" width="19.5" style="148" bestFit="1" customWidth="1"/>
    <col min="4" max="4" width="3.6640625" style="148" customWidth="1"/>
    <col min="5" max="5" width="22.1640625" style="148" bestFit="1" customWidth="1"/>
    <col min="6" max="6" width="3.6640625" style="148" customWidth="1"/>
    <col min="7" max="7" width="21.1640625" style="148" bestFit="1" customWidth="1"/>
    <col min="8" max="8" width="11.5" style="148"/>
    <col min="9" max="9" width="15.6640625" style="148" customWidth="1"/>
    <col min="10" max="10" width="11.5" style="148"/>
    <col min="11" max="11" width="16.33203125" style="148" customWidth="1"/>
    <col min="12" max="12" width="11.5" style="148"/>
    <col min="13" max="13" width="16.5" style="148" customWidth="1"/>
    <col min="14" max="14" width="13.5" style="148" customWidth="1"/>
    <col min="15" max="15" width="19.83203125" style="148" customWidth="1"/>
    <col min="16" max="16384" width="11.5" style="148"/>
  </cols>
  <sheetData>
    <row r="1" spans="1:17" ht="52" thickBot="1">
      <c r="A1" s="148" t="s">
        <v>686</v>
      </c>
      <c r="B1" s="204"/>
      <c r="C1" s="148" t="s">
        <v>687</v>
      </c>
      <c r="E1" s="148" t="s">
        <v>688</v>
      </c>
      <c r="F1" s="204"/>
      <c r="G1" s="148" t="s">
        <v>689</v>
      </c>
      <c r="I1" s="464" t="s">
        <v>690</v>
      </c>
      <c r="K1" s="464" t="s">
        <v>691</v>
      </c>
      <c r="M1" s="148" t="s">
        <v>692</v>
      </c>
      <c r="O1" s="148" t="s">
        <v>693</v>
      </c>
      <c r="Q1" s="148" t="s">
        <v>482</v>
      </c>
    </row>
    <row r="2" spans="1:17" ht="17" thickBot="1">
      <c r="A2" s="205">
        <v>2020</v>
      </c>
      <c r="B2" s="206"/>
      <c r="C2" s="205">
        <f ca="1">YEAR(NOW())+1</f>
        <v>2026</v>
      </c>
      <c r="D2" s="207"/>
      <c r="E2" s="208" t="s">
        <v>694</v>
      </c>
      <c r="G2" s="209" t="s">
        <v>540</v>
      </c>
      <c r="I2" s="205" t="s">
        <v>24</v>
      </c>
      <c r="K2" s="210">
        <v>2026</v>
      </c>
      <c r="M2" s="210">
        <v>2026</v>
      </c>
      <c r="O2" s="205" t="s">
        <v>471</v>
      </c>
      <c r="Q2" s="476">
        <v>1</v>
      </c>
    </row>
    <row r="3" spans="1:17" ht="17" thickBot="1">
      <c r="A3" s="210">
        <f ca="1">IF(A2&lt;YEAR(NOW()),A2+1,"")</f>
        <v>2021</v>
      </c>
      <c r="B3" s="206"/>
      <c r="C3" s="210">
        <f ca="1">C2+1</f>
        <v>2027</v>
      </c>
      <c r="D3" s="207"/>
      <c r="E3" s="211" t="s">
        <v>488</v>
      </c>
      <c r="G3" s="212" t="s">
        <v>695</v>
      </c>
      <c r="I3" s="214" t="s">
        <v>457</v>
      </c>
      <c r="K3" s="210">
        <v>2027</v>
      </c>
      <c r="M3" s="210">
        <f>M2+1</f>
        <v>2027</v>
      </c>
      <c r="O3" s="214" t="s">
        <v>487</v>
      </c>
    </row>
    <row r="4" spans="1:17" ht="17">
      <c r="A4" s="210">
        <f t="shared" ref="A4:A32" ca="1" si="0">IF(A3&lt;YEAR(NOW()),A3+1,"")</f>
        <v>2022</v>
      </c>
      <c r="B4" s="206"/>
      <c r="C4" s="210">
        <f ca="1">C3+1</f>
        <v>2028</v>
      </c>
      <c r="E4" s="213" t="s">
        <v>696</v>
      </c>
      <c r="K4" s="210">
        <v>2028</v>
      </c>
      <c r="M4" s="210">
        <f>M3+1</f>
        <v>2028</v>
      </c>
    </row>
    <row r="5" spans="1:17">
      <c r="A5" s="210">
        <f t="shared" ca="1" si="0"/>
        <v>2023</v>
      </c>
      <c r="B5" s="206"/>
      <c r="C5" s="210">
        <f ca="1">C4+1</f>
        <v>2029</v>
      </c>
      <c r="E5" s="211" t="s">
        <v>697</v>
      </c>
      <c r="K5" s="210">
        <v>2029</v>
      </c>
      <c r="M5" s="210">
        <f>M4+1</f>
        <v>2029</v>
      </c>
    </row>
    <row r="6" spans="1:17" ht="17" thickBot="1">
      <c r="A6" s="210">
        <f t="shared" ca="1" si="0"/>
        <v>2024</v>
      </c>
      <c r="B6" s="206"/>
      <c r="C6" s="210">
        <f ca="1">C5+1</f>
        <v>2030</v>
      </c>
      <c r="E6" s="211" t="s">
        <v>698</v>
      </c>
      <c r="K6" s="210">
        <v>2030</v>
      </c>
      <c r="M6" s="214">
        <v>2030</v>
      </c>
    </row>
    <row r="7" spans="1:17">
      <c r="A7" s="210">
        <f t="shared" ca="1" si="0"/>
        <v>2025</v>
      </c>
      <c r="B7" s="206"/>
      <c r="C7" s="210">
        <f ca="1">C6+1</f>
        <v>2031</v>
      </c>
      <c r="E7" s="211" t="s">
        <v>699</v>
      </c>
      <c r="K7" s="210">
        <v>2031</v>
      </c>
    </row>
    <row r="8" spans="1:17" ht="17" thickBot="1">
      <c r="A8" s="210" t="str">
        <f t="shared" ca="1" si="0"/>
        <v/>
      </c>
      <c r="C8" s="214">
        <f ca="1">IF(5*ROUNDUP(C7/5,0)&gt;2050,"",5*ROUNDUP(C7/5,0))</f>
        <v>2035</v>
      </c>
      <c r="E8" s="211" t="s">
        <v>700</v>
      </c>
      <c r="K8" s="210">
        <v>2032</v>
      </c>
    </row>
    <row r="9" spans="1:17">
      <c r="A9" s="210" t="str">
        <f t="shared" ca="1" si="0"/>
        <v/>
      </c>
      <c r="E9" s="211" t="s">
        <v>701</v>
      </c>
      <c r="K9" s="210">
        <v>2033</v>
      </c>
    </row>
    <row r="10" spans="1:17">
      <c r="A10" s="210" t="str">
        <f t="shared" ca="1" si="0"/>
        <v/>
      </c>
      <c r="E10" s="211" t="s">
        <v>702</v>
      </c>
      <c r="K10" s="210">
        <v>2034</v>
      </c>
    </row>
    <row r="11" spans="1:17">
      <c r="A11" s="210" t="str">
        <f t="shared" ca="1" si="0"/>
        <v/>
      </c>
      <c r="E11" s="211" t="s">
        <v>703</v>
      </c>
      <c r="K11" s="210">
        <v>2035</v>
      </c>
    </row>
    <row r="12" spans="1:17" ht="17" thickBot="1">
      <c r="A12" s="210" t="str">
        <f t="shared" ca="1" si="0"/>
        <v/>
      </c>
      <c r="E12" s="215" t="s">
        <v>69</v>
      </c>
      <c r="K12" s="210">
        <v>2036</v>
      </c>
    </row>
    <row r="13" spans="1:17">
      <c r="A13" s="210" t="str">
        <f t="shared" ca="1" si="0"/>
        <v/>
      </c>
      <c r="K13" s="210">
        <v>2037</v>
      </c>
    </row>
    <row r="14" spans="1:17">
      <c r="A14" s="210" t="str">
        <f t="shared" ca="1" si="0"/>
        <v/>
      </c>
      <c r="K14" s="210">
        <v>2038</v>
      </c>
    </row>
    <row r="15" spans="1:17">
      <c r="A15" s="210" t="str">
        <f t="shared" ca="1" si="0"/>
        <v/>
      </c>
      <c r="K15" s="210">
        <v>2039</v>
      </c>
    </row>
    <row r="16" spans="1:17" ht="17" thickBot="1">
      <c r="A16" s="210" t="str">
        <f t="shared" ca="1" si="0"/>
        <v/>
      </c>
      <c r="K16" s="214">
        <v>2040</v>
      </c>
    </row>
    <row r="17" spans="1:1">
      <c r="A17" s="210" t="str">
        <f t="shared" ca="1" si="0"/>
        <v/>
      </c>
    </row>
    <row r="18" spans="1:1">
      <c r="A18" s="210" t="str">
        <f t="shared" ca="1" si="0"/>
        <v/>
      </c>
    </row>
    <row r="19" spans="1:1">
      <c r="A19" s="210" t="str">
        <f t="shared" ca="1" si="0"/>
        <v/>
      </c>
    </row>
    <row r="20" spans="1:1">
      <c r="A20" s="210" t="str">
        <f t="shared" ca="1" si="0"/>
        <v/>
      </c>
    </row>
    <row r="21" spans="1:1">
      <c r="A21" s="210" t="str">
        <f t="shared" ca="1" si="0"/>
        <v/>
      </c>
    </row>
    <row r="22" spans="1:1">
      <c r="A22" s="210" t="str">
        <f t="shared" ca="1" si="0"/>
        <v/>
      </c>
    </row>
    <row r="23" spans="1:1">
      <c r="A23" s="210" t="str">
        <f t="shared" ca="1" si="0"/>
        <v/>
      </c>
    </row>
    <row r="24" spans="1:1">
      <c r="A24" s="210" t="str">
        <f t="shared" ca="1" si="0"/>
        <v/>
      </c>
    </row>
    <row r="25" spans="1:1">
      <c r="A25" s="210" t="str">
        <f t="shared" ca="1" si="0"/>
        <v/>
      </c>
    </row>
    <row r="26" spans="1:1">
      <c r="A26" s="210" t="str">
        <f t="shared" ca="1" si="0"/>
        <v/>
      </c>
    </row>
    <row r="27" spans="1:1">
      <c r="A27" s="210" t="str">
        <f t="shared" ca="1" si="0"/>
        <v/>
      </c>
    </row>
    <row r="28" spans="1:1">
      <c r="A28" s="210" t="str">
        <f t="shared" ca="1" si="0"/>
        <v/>
      </c>
    </row>
    <row r="29" spans="1:1">
      <c r="A29" s="210" t="str">
        <f t="shared" ca="1" si="0"/>
        <v/>
      </c>
    </row>
    <row r="30" spans="1:1">
      <c r="A30" s="210" t="str">
        <f t="shared" ca="1" si="0"/>
        <v/>
      </c>
    </row>
    <row r="31" spans="1:1">
      <c r="A31" s="210" t="str">
        <f t="shared" ca="1" si="0"/>
        <v/>
      </c>
    </row>
    <row r="32" spans="1:1" ht="17" thickBot="1">
      <c r="A32" s="214" t="str">
        <f t="shared" ca="1" si="0"/>
        <v/>
      </c>
    </row>
  </sheetData>
  <sheetProtection algorithmName="SHA-512" hashValue="Wo5095fvfRlnt4mvCJ+cYeS9zSWpIJBnZyeNqgG8g3ysh86nqJCErSD8cRz30gUWG+ym3CGMsd8JngoGzjfokQ==" saltValue="quuQFZ1fyfSv/VoXX3QoXg=="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00B050"/>
    <outlinePr summaryBelow="0" summaryRight="0"/>
  </sheetPr>
  <dimension ref="B1:AZ37"/>
  <sheetViews>
    <sheetView showGridLines="0" zoomScale="80" zoomScaleNormal="80" workbookViewId="0"/>
  </sheetViews>
  <sheetFormatPr baseColWidth="10" defaultColWidth="12.5" defaultRowHeight="16"/>
  <cols>
    <col min="1" max="1" width="3.5" style="148" customWidth="1"/>
    <col min="2" max="2" width="24" style="148" customWidth="1"/>
    <col min="3" max="3" width="32.33203125" style="148" customWidth="1"/>
    <col min="4" max="4" width="19.1640625" style="148" bestFit="1" customWidth="1"/>
    <col min="5" max="5" width="32.5" style="148" bestFit="1" customWidth="1"/>
    <col min="6" max="6" width="41.5" style="148" bestFit="1" customWidth="1"/>
    <col min="7" max="7" width="7.83203125" style="148" bestFit="1" customWidth="1"/>
    <col min="8" max="38" width="8.6640625" style="216" customWidth="1"/>
    <col min="39" max="39" width="24.1640625" style="148" bestFit="1" customWidth="1"/>
    <col min="40" max="16384" width="12.5" style="148"/>
  </cols>
  <sheetData>
    <row r="1" spans="2:52" ht="30">
      <c r="B1" s="1029" t="s">
        <v>704</v>
      </c>
      <c r="C1" s="1029"/>
    </row>
    <row r="3" spans="2:52">
      <c r="B3" s="613" t="s">
        <v>627</v>
      </c>
      <c r="C3" s="613" t="s">
        <v>659</v>
      </c>
      <c r="D3" s="613" t="s">
        <v>470</v>
      </c>
      <c r="E3" s="613" t="s">
        <v>472</v>
      </c>
      <c r="F3" s="613" t="s">
        <v>510</v>
      </c>
      <c r="G3" s="613" t="s">
        <v>660</v>
      </c>
      <c r="H3" s="622">
        <v>2020</v>
      </c>
      <c r="I3" s="622">
        <v>2021</v>
      </c>
      <c r="J3" s="622">
        <v>2022</v>
      </c>
      <c r="K3" s="622">
        <v>2023</v>
      </c>
      <c r="L3" s="622">
        <v>2024</v>
      </c>
      <c r="M3" s="622">
        <v>2025</v>
      </c>
      <c r="N3" s="622">
        <v>2026</v>
      </c>
      <c r="O3" s="622">
        <v>2027</v>
      </c>
      <c r="P3" s="622">
        <v>2028</v>
      </c>
      <c r="Q3" s="622">
        <v>2029</v>
      </c>
      <c r="R3" s="622">
        <v>2030</v>
      </c>
      <c r="S3" s="622">
        <v>2031</v>
      </c>
      <c r="T3" s="622">
        <v>2032</v>
      </c>
      <c r="U3" s="622">
        <v>2033</v>
      </c>
      <c r="V3" s="622">
        <v>2034</v>
      </c>
      <c r="W3" s="622">
        <v>2035</v>
      </c>
      <c r="X3" s="622">
        <v>2036</v>
      </c>
      <c r="Y3" s="622">
        <v>2037</v>
      </c>
      <c r="Z3" s="622">
        <v>2038</v>
      </c>
      <c r="AA3" s="622">
        <v>2039</v>
      </c>
      <c r="AB3" s="622">
        <v>2040</v>
      </c>
      <c r="AC3" s="622">
        <v>2041</v>
      </c>
      <c r="AD3" s="622">
        <v>2042</v>
      </c>
      <c r="AE3" s="622">
        <v>2043</v>
      </c>
      <c r="AF3" s="622">
        <v>2044</v>
      </c>
      <c r="AG3" s="622">
        <v>2045</v>
      </c>
      <c r="AH3" s="622">
        <v>2046</v>
      </c>
      <c r="AI3" s="622">
        <v>2047</v>
      </c>
      <c r="AJ3" s="622">
        <v>2048</v>
      </c>
      <c r="AK3" s="622">
        <v>2049</v>
      </c>
      <c r="AL3" s="622">
        <v>2050</v>
      </c>
      <c r="AM3" s="613" t="s">
        <v>661</v>
      </c>
    </row>
    <row r="4" spans="2:52">
      <c r="B4" s="217" t="s">
        <v>533</v>
      </c>
      <c r="C4" s="217" t="s">
        <v>705</v>
      </c>
      <c r="D4" s="217" t="s">
        <v>516</v>
      </c>
      <c r="E4" s="217" t="s">
        <v>537</v>
      </c>
      <c r="F4" s="217" t="s">
        <v>538</v>
      </c>
      <c r="G4" s="217" t="s">
        <v>457</v>
      </c>
      <c r="H4" s="218">
        <v>564</v>
      </c>
      <c r="I4" s="218">
        <v>546.79999999999995</v>
      </c>
      <c r="J4" s="218">
        <v>529.59999999999991</v>
      </c>
      <c r="K4" s="218">
        <v>512.39999999999986</v>
      </c>
      <c r="L4" s="218">
        <v>495.19999999999987</v>
      </c>
      <c r="M4" s="218">
        <v>478</v>
      </c>
      <c r="N4" s="218">
        <v>464.8</v>
      </c>
      <c r="O4" s="218">
        <v>451.6</v>
      </c>
      <c r="P4" s="218">
        <v>438.40000000000003</v>
      </c>
      <c r="Q4" s="218">
        <v>425.20000000000005</v>
      </c>
      <c r="R4" s="218">
        <v>412</v>
      </c>
      <c r="S4" s="218">
        <v>385.6</v>
      </c>
      <c r="T4" s="218">
        <v>359.20000000000005</v>
      </c>
      <c r="U4" s="218">
        <v>332.80000000000007</v>
      </c>
      <c r="V4" s="218">
        <v>306.40000000000009</v>
      </c>
      <c r="W4" s="218">
        <v>280</v>
      </c>
      <c r="X4" s="218">
        <v>257</v>
      </c>
      <c r="Y4" s="218">
        <v>234</v>
      </c>
      <c r="Z4" s="218">
        <v>211</v>
      </c>
      <c r="AA4" s="218">
        <v>188</v>
      </c>
      <c r="AB4" s="218">
        <v>165</v>
      </c>
      <c r="AC4" s="218">
        <v>146.80000000000001</v>
      </c>
      <c r="AD4" s="218">
        <v>128.60000000000002</v>
      </c>
      <c r="AE4" s="218">
        <v>110.40000000000002</v>
      </c>
      <c r="AF4" s="218">
        <v>92.200000000000017</v>
      </c>
      <c r="AG4" s="218">
        <v>74</v>
      </c>
      <c r="AH4" s="218">
        <v>63.2</v>
      </c>
      <c r="AI4" s="218">
        <v>52.400000000000006</v>
      </c>
      <c r="AJ4" s="218">
        <v>41.600000000000009</v>
      </c>
      <c r="AK4" s="218">
        <v>30.800000000000008</v>
      </c>
      <c r="AL4" s="218">
        <v>20</v>
      </c>
      <c r="AM4" s="623" t="s">
        <v>633</v>
      </c>
    </row>
    <row r="5" spans="2:52">
      <c r="B5" s="217" t="s">
        <v>533</v>
      </c>
      <c r="C5" s="217" t="s">
        <v>706</v>
      </c>
      <c r="D5" s="217" t="s">
        <v>516</v>
      </c>
      <c r="E5" s="217" t="s">
        <v>537</v>
      </c>
      <c r="F5" s="217" t="s">
        <v>538</v>
      </c>
      <c r="G5" s="217" t="s">
        <v>457</v>
      </c>
      <c r="H5" s="218">
        <v>1087</v>
      </c>
      <c r="I5" s="218">
        <v>1053.5999999999999</v>
      </c>
      <c r="J5" s="218">
        <v>1020.1999999999999</v>
      </c>
      <c r="K5" s="218">
        <v>986.8</v>
      </c>
      <c r="L5" s="218">
        <v>953.4</v>
      </c>
      <c r="M5" s="218">
        <v>920</v>
      </c>
      <c r="N5" s="218">
        <v>894.8</v>
      </c>
      <c r="O5" s="218">
        <v>869.59999999999991</v>
      </c>
      <c r="P5" s="218">
        <v>844.39999999999986</v>
      </c>
      <c r="Q5" s="218">
        <v>819.19999999999982</v>
      </c>
      <c r="R5" s="218">
        <v>794</v>
      </c>
      <c r="S5" s="218">
        <v>743</v>
      </c>
      <c r="T5" s="218">
        <v>692</v>
      </c>
      <c r="U5" s="218">
        <v>641</v>
      </c>
      <c r="V5" s="218">
        <v>590</v>
      </c>
      <c r="W5" s="218">
        <v>539</v>
      </c>
      <c r="X5" s="218">
        <v>495</v>
      </c>
      <c r="Y5" s="218">
        <v>451</v>
      </c>
      <c r="Z5" s="218">
        <v>407</v>
      </c>
      <c r="AA5" s="218">
        <v>363</v>
      </c>
      <c r="AB5" s="218">
        <v>319</v>
      </c>
      <c r="AC5" s="218">
        <v>283.8</v>
      </c>
      <c r="AD5" s="218">
        <v>248.60000000000002</v>
      </c>
      <c r="AE5" s="218">
        <v>213.40000000000003</v>
      </c>
      <c r="AF5" s="218">
        <v>178.20000000000005</v>
      </c>
      <c r="AG5" s="218">
        <v>143</v>
      </c>
      <c r="AH5" s="218">
        <v>122</v>
      </c>
      <c r="AI5" s="218">
        <v>101</v>
      </c>
      <c r="AJ5" s="218">
        <v>80</v>
      </c>
      <c r="AK5" s="218">
        <v>59</v>
      </c>
      <c r="AL5" s="218">
        <v>38</v>
      </c>
      <c r="AM5" s="623" t="s">
        <v>633</v>
      </c>
    </row>
    <row r="6" spans="2:52">
      <c r="B6" s="217" t="s">
        <v>533</v>
      </c>
      <c r="C6" s="217" t="s">
        <v>707</v>
      </c>
      <c r="D6" s="217" t="s">
        <v>516</v>
      </c>
      <c r="E6" s="217" t="s">
        <v>708</v>
      </c>
      <c r="F6" s="217" t="s">
        <v>538</v>
      </c>
      <c r="G6" s="217" t="s">
        <v>457</v>
      </c>
      <c r="H6" s="218">
        <v>955</v>
      </c>
      <c r="I6" s="218">
        <v>925.8</v>
      </c>
      <c r="J6" s="218">
        <v>896.59999999999991</v>
      </c>
      <c r="K6" s="218">
        <v>867.39999999999986</v>
      </c>
      <c r="L6" s="218">
        <v>838.19999999999982</v>
      </c>
      <c r="M6" s="218">
        <v>809</v>
      </c>
      <c r="N6" s="218">
        <v>786.8</v>
      </c>
      <c r="O6" s="218">
        <v>764.59999999999991</v>
      </c>
      <c r="P6" s="218">
        <v>742.39999999999986</v>
      </c>
      <c r="Q6" s="218">
        <v>720.19999999999982</v>
      </c>
      <c r="R6" s="218">
        <v>698</v>
      </c>
      <c r="S6" s="218">
        <v>655.6</v>
      </c>
      <c r="T6" s="218">
        <v>613.20000000000005</v>
      </c>
      <c r="U6" s="218">
        <v>570.80000000000007</v>
      </c>
      <c r="V6" s="218">
        <v>528.40000000000009</v>
      </c>
      <c r="W6" s="218">
        <v>486</v>
      </c>
      <c r="X6" s="218">
        <v>442</v>
      </c>
      <c r="Y6" s="218">
        <v>398</v>
      </c>
      <c r="Z6" s="218">
        <v>354</v>
      </c>
      <c r="AA6" s="218">
        <v>310</v>
      </c>
      <c r="AB6" s="218">
        <v>266</v>
      </c>
      <c r="AC6" s="218">
        <v>235.4</v>
      </c>
      <c r="AD6" s="218">
        <v>204.8</v>
      </c>
      <c r="AE6" s="218">
        <v>174.20000000000002</v>
      </c>
      <c r="AF6" s="218">
        <v>143.60000000000002</v>
      </c>
      <c r="AG6" s="218">
        <v>113</v>
      </c>
      <c r="AH6" s="218">
        <v>95.6</v>
      </c>
      <c r="AI6" s="218">
        <v>78.199999999999989</v>
      </c>
      <c r="AJ6" s="218">
        <v>60.79999999999999</v>
      </c>
      <c r="AK6" s="218">
        <v>43.399999999999991</v>
      </c>
      <c r="AL6" s="218">
        <v>26</v>
      </c>
      <c r="AM6" s="623" t="s">
        <v>633</v>
      </c>
    </row>
    <row r="7" spans="2:52">
      <c r="B7" s="217" t="s">
        <v>533</v>
      </c>
      <c r="C7" s="217" t="s">
        <v>709</v>
      </c>
      <c r="D7" s="217" t="s">
        <v>516</v>
      </c>
      <c r="E7" s="217" t="s">
        <v>537</v>
      </c>
      <c r="F7" s="217" t="s">
        <v>538</v>
      </c>
      <c r="G7" s="217" t="s">
        <v>457</v>
      </c>
      <c r="H7" s="218">
        <v>613</v>
      </c>
      <c r="I7" s="218">
        <v>594.20000000000005</v>
      </c>
      <c r="J7" s="218">
        <v>575.40000000000009</v>
      </c>
      <c r="K7" s="218">
        <v>556.60000000000014</v>
      </c>
      <c r="L7" s="218">
        <v>537.80000000000018</v>
      </c>
      <c r="M7" s="218">
        <v>519</v>
      </c>
      <c r="N7" s="218">
        <v>504.8</v>
      </c>
      <c r="O7" s="218">
        <v>490.6</v>
      </c>
      <c r="P7" s="218">
        <v>476.40000000000003</v>
      </c>
      <c r="Q7" s="218">
        <v>462.20000000000005</v>
      </c>
      <c r="R7" s="218">
        <v>448</v>
      </c>
      <c r="S7" s="218">
        <v>421.6</v>
      </c>
      <c r="T7" s="218">
        <v>395.20000000000005</v>
      </c>
      <c r="U7" s="218">
        <v>368.80000000000007</v>
      </c>
      <c r="V7" s="218">
        <v>342.40000000000009</v>
      </c>
      <c r="W7" s="218">
        <v>316</v>
      </c>
      <c r="X7" s="218">
        <v>287.2</v>
      </c>
      <c r="Y7" s="218">
        <v>258.39999999999998</v>
      </c>
      <c r="Z7" s="218">
        <v>229.59999999999997</v>
      </c>
      <c r="AA7" s="218">
        <v>200.79999999999995</v>
      </c>
      <c r="AB7" s="218">
        <v>172</v>
      </c>
      <c r="AC7" s="218">
        <v>152.19999999999999</v>
      </c>
      <c r="AD7" s="218">
        <v>132.39999999999998</v>
      </c>
      <c r="AE7" s="218">
        <v>112.59999999999998</v>
      </c>
      <c r="AF7" s="218">
        <v>92.799999999999983</v>
      </c>
      <c r="AG7" s="218">
        <v>73</v>
      </c>
      <c r="AH7" s="218">
        <v>61.6</v>
      </c>
      <c r="AI7" s="218">
        <v>50.2</v>
      </c>
      <c r="AJ7" s="218">
        <v>38.800000000000004</v>
      </c>
      <c r="AK7" s="218">
        <v>27.400000000000006</v>
      </c>
      <c r="AL7" s="218">
        <v>16</v>
      </c>
      <c r="AM7" s="623" t="s">
        <v>633</v>
      </c>
    </row>
    <row r="8" spans="2:52">
      <c r="B8" s="217" t="s">
        <v>533</v>
      </c>
      <c r="C8" s="217" t="s">
        <v>710</v>
      </c>
      <c r="D8" s="217" t="s">
        <v>516</v>
      </c>
      <c r="E8" s="217" t="s">
        <v>537</v>
      </c>
      <c r="F8" s="217" t="s">
        <v>538</v>
      </c>
      <c r="G8" s="217" t="s">
        <v>457</v>
      </c>
      <c r="H8" s="218">
        <v>983</v>
      </c>
      <c r="I8" s="218">
        <v>953</v>
      </c>
      <c r="J8" s="218">
        <v>923</v>
      </c>
      <c r="K8" s="218">
        <v>893</v>
      </c>
      <c r="L8" s="218">
        <v>863</v>
      </c>
      <c r="M8" s="218">
        <v>833</v>
      </c>
      <c r="N8" s="218">
        <v>810</v>
      </c>
      <c r="O8" s="218">
        <v>787</v>
      </c>
      <c r="P8" s="218">
        <v>764</v>
      </c>
      <c r="Q8" s="218">
        <v>741</v>
      </c>
      <c r="R8" s="218">
        <v>718</v>
      </c>
      <c r="S8" s="218">
        <v>675.6</v>
      </c>
      <c r="T8" s="218">
        <v>633.20000000000005</v>
      </c>
      <c r="U8" s="218">
        <v>590.80000000000007</v>
      </c>
      <c r="V8" s="218">
        <v>548.40000000000009</v>
      </c>
      <c r="W8" s="218">
        <v>506</v>
      </c>
      <c r="X8" s="218">
        <v>460</v>
      </c>
      <c r="Y8" s="218">
        <v>414</v>
      </c>
      <c r="Z8" s="218">
        <v>368</v>
      </c>
      <c r="AA8" s="218">
        <v>322</v>
      </c>
      <c r="AB8" s="218">
        <v>276</v>
      </c>
      <c r="AC8" s="218">
        <v>244.2</v>
      </c>
      <c r="AD8" s="218">
        <v>212.39999999999998</v>
      </c>
      <c r="AE8" s="218">
        <v>180.59999999999997</v>
      </c>
      <c r="AF8" s="218">
        <v>148.79999999999995</v>
      </c>
      <c r="AG8" s="218">
        <v>117</v>
      </c>
      <c r="AH8" s="218">
        <v>98.8</v>
      </c>
      <c r="AI8" s="218">
        <v>80.599999999999994</v>
      </c>
      <c r="AJ8" s="218">
        <v>62.399999999999991</v>
      </c>
      <c r="AK8" s="218">
        <v>44.199999999999989</v>
      </c>
      <c r="AL8" s="218">
        <v>26</v>
      </c>
      <c r="AM8" s="623" t="s">
        <v>633</v>
      </c>
    </row>
    <row r="9" spans="2:52">
      <c r="B9" s="217" t="s">
        <v>533</v>
      </c>
      <c r="C9" s="217" t="s">
        <v>711</v>
      </c>
      <c r="D9" s="217" t="s">
        <v>516</v>
      </c>
      <c r="E9" s="217" t="s">
        <v>537</v>
      </c>
      <c r="F9" s="217" t="s">
        <v>538</v>
      </c>
      <c r="G9" s="217" t="s">
        <v>457</v>
      </c>
      <c r="H9" s="218">
        <v>1257</v>
      </c>
      <c r="I9" s="218">
        <v>1218.4000000000001</v>
      </c>
      <c r="J9" s="218">
        <v>1179.8000000000002</v>
      </c>
      <c r="K9" s="218">
        <v>1141.2000000000003</v>
      </c>
      <c r="L9" s="218">
        <v>1102.6000000000004</v>
      </c>
      <c r="M9" s="218">
        <v>1064</v>
      </c>
      <c r="N9" s="218">
        <v>1034.8</v>
      </c>
      <c r="O9" s="218">
        <v>1005.5999999999999</v>
      </c>
      <c r="P9" s="218">
        <v>976.39999999999986</v>
      </c>
      <c r="Q9" s="218">
        <v>947.19999999999982</v>
      </c>
      <c r="R9" s="218">
        <v>918</v>
      </c>
      <c r="S9" s="218">
        <v>863.8</v>
      </c>
      <c r="T9" s="218">
        <v>809.59999999999991</v>
      </c>
      <c r="U9" s="218">
        <v>755.39999999999986</v>
      </c>
      <c r="V9" s="218">
        <v>701.19999999999982</v>
      </c>
      <c r="W9" s="218">
        <v>647</v>
      </c>
      <c r="X9" s="218">
        <v>588.20000000000005</v>
      </c>
      <c r="Y9" s="218">
        <v>529.40000000000009</v>
      </c>
      <c r="Z9" s="218">
        <v>470.60000000000008</v>
      </c>
      <c r="AA9" s="218">
        <v>411.80000000000007</v>
      </c>
      <c r="AB9" s="218">
        <v>353</v>
      </c>
      <c r="AC9" s="218">
        <v>312.39999999999998</v>
      </c>
      <c r="AD9" s="218">
        <v>271.79999999999995</v>
      </c>
      <c r="AE9" s="218">
        <v>231.19999999999996</v>
      </c>
      <c r="AF9" s="218">
        <v>190.59999999999997</v>
      </c>
      <c r="AG9" s="218">
        <v>150</v>
      </c>
      <c r="AH9" s="218">
        <v>126.6</v>
      </c>
      <c r="AI9" s="218">
        <v>103.19999999999999</v>
      </c>
      <c r="AJ9" s="218">
        <v>79.799999999999983</v>
      </c>
      <c r="AK9" s="218">
        <v>56.399999999999984</v>
      </c>
      <c r="AL9" s="218">
        <v>33</v>
      </c>
      <c r="AM9" s="623" t="s">
        <v>633</v>
      </c>
    </row>
    <row r="10" spans="2:52">
      <c r="B10" s="219" t="s">
        <v>555</v>
      </c>
      <c r="C10" s="219" t="s">
        <v>633</v>
      </c>
      <c r="D10" s="219" t="s">
        <v>516</v>
      </c>
      <c r="E10" s="219" t="s">
        <v>712</v>
      </c>
      <c r="F10" s="219" t="s">
        <v>511</v>
      </c>
      <c r="G10" s="219" t="s">
        <v>457</v>
      </c>
      <c r="H10" s="220">
        <v>256.79999999999995</v>
      </c>
      <c r="I10" s="220">
        <v>252.49999999999997</v>
      </c>
      <c r="J10" s="220">
        <v>248.2</v>
      </c>
      <c r="K10" s="220">
        <v>243.9</v>
      </c>
      <c r="L10" s="220">
        <v>211.10000000000002</v>
      </c>
      <c r="M10" s="220">
        <v>178.3</v>
      </c>
      <c r="N10" s="220">
        <v>153.20000000000002</v>
      </c>
      <c r="O10" s="220">
        <v>128.10000000000002</v>
      </c>
      <c r="P10" s="220">
        <v>103.00000000000003</v>
      </c>
      <c r="Q10" s="220">
        <v>77.900000000000034</v>
      </c>
      <c r="R10" s="220">
        <v>52.8</v>
      </c>
      <c r="S10" s="220">
        <v>46.519999999999996</v>
      </c>
      <c r="T10" s="220">
        <v>40.239999999999995</v>
      </c>
      <c r="U10" s="220">
        <v>33.959999999999994</v>
      </c>
      <c r="V10" s="220">
        <v>27.679999999999993</v>
      </c>
      <c r="W10" s="220">
        <v>21.4</v>
      </c>
      <c r="X10" s="220">
        <v>19.16</v>
      </c>
      <c r="Y10" s="220">
        <v>16.920000000000002</v>
      </c>
      <c r="Z10" s="220">
        <v>14.680000000000001</v>
      </c>
      <c r="AA10" s="220">
        <v>12.440000000000001</v>
      </c>
      <c r="AB10" s="220">
        <v>10.199999999999999</v>
      </c>
      <c r="AC10" s="220">
        <v>9.34</v>
      </c>
      <c r="AD10" s="220">
        <v>8.48</v>
      </c>
      <c r="AE10" s="220">
        <v>7.620000000000001</v>
      </c>
      <c r="AF10" s="220">
        <v>6.7600000000000016</v>
      </c>
      <c r="AG10" s="220">
        <v>5.9</v>
      </c>
      <c r="AH10" s="220">
        <v>5.0600000000000005</v>
      </c>
      <c r="AI10" s="220">
        <v>4.2200000000000006</v>
      </c>
      <c r="AJ10" s="220">
        <v>3.3800000000000008</v>
      </c>
      <c r="AK10" s="220">
        <v>2.5400000000000009</v>
      </c>
      <c r="AL10" s="220">
        <v>1.7</v>
      </c>
      <c r="AM10" s="533" t="s">
        <v>633</v>
      </c>
    </row>
    <row r="11" spans="2:52">
      <c r="B11" s="219" t="s">
        <v>555</v>
      </c>
      <c r="C11" s="219" t="s">
        <v>633</v>
      </c>
      <c r="D11" s="219" t="s">
        <v>527</v>
      </c>
      <c r="E11" s="533" t="s">
        <v>713</v>
      </c>
      <c r="F11" s="219" t="s">
        <v>511</v>
      </c>
      <c r="G11" s="219" t="s">
        <v>457</v>
      </c>
      <c r="H11" s="220">
        <v>5</v>
      </c>
      <c r="I11" s="220">
        <v>10.5</v>
      </c>
      <c r="J11" s="220">
        <v>16</v>
      </c>
      <c r="K11" s="220">
        <v>21.5</v>
      </c>
      <c r="L11" s="220">
        <v>27</v>
      </c>
      <c r="M11" s="220">
        <v>32.5</v>
      </c>
      <c r="N11" s="220">
        <v>38</v>
      </c>
      <c r="O11" s="220">
        <v>43.5</v>
      </c>
      <c r="P11" s="220">
        <v>49</v>
      </c>
      <c r="Q11" s="220">
        <v>54.5</v>
      </c>
      <c r="R11" s="220">
        <v>60</v>
      </c>
      <c r="S11" s="220">
        <v>62</v>
      </c>
      <c r="T11" s="220">
        <v>64</v>
      </c>
      <c r="U11" s="220">
        <v>66</v>
      </c>
      <c r="V11" s="220">
        <v>68</v>
      </c>
      <c r="W11" s="220">
        <v>70</v>
      </c>
      <c r="X11" s="220">
        <v>72</v>
      </c>
      <c r="Y11" s="220">
        <v>74</v>
      </c>
      <c r="Z11" s="220">
        <v>76</v>
      </c>
      <c r="AA11" s="220">
        <v>78</v>
      </c>
      <c r="AB11" s="220">
        <v>80</v>
      </c>
      <c r="AC11" s="220">
        <v>82</v>
      </c>
      <c r="AD11" s="220">
        <v>84</v>
      </c>
      <c r="AE11" s="220">
        <v>86</v>
      </c>
      <c r="AF11" s="220">
        <v>88</v>
      </c>
      <c r="AG11" s="220">
        <v>90</v>
      </c>
      <c r="AH11" s="220">
        <v>92</v>
      </c>
      <c r="AI11" s="220">
        <v>94</v>
      </c>
      <c r="AJ11" s="220">
        <v>96</v>
      </c>
      <c r="AK11" s="220">
        <v>98</v>
      </c>
      <c r="AL11" s="220">
        <v>100</v>
      </c>
      <c r="AM11" s="533" t="s">
        <v>633</v>
      </c>
    </row>
    <row r="12" spans="2:52">
      <c r="B12" s="217" t="s">
        <v>198</v>
      </c>
      <c r="C12" s="217" t="s">
        <v>633</v>
      </c>
      <c r="D12" s="217" t="s">
        <v>516</v>
      </c>
      <c r="E12" s="217" t="s">
        <v>714</v>
      </c>
      <c r="F12" s="217" t="s">
        <v>572</v>
      </c>
      <c r="G12" s="217" t="s">
        <v>457</v>
      </c>
      <c r="H12" s="218">
        <v>0.5757276764</v>
      </c>
      <c r="I12" s="218">
        <v>0.56224419632</v>
      </c>
      <c r="J12" s="218">
        <v>0.54876071624</v>
      </c>
      <c r="K12" s="218">
        <v>0.53527723616</v>
      </c>
      <c r="L12" s="218">
        <v>0.52179375608</v>
      </c>
      <c r="M12" s="218">
        <v>0.50831027600000001</v>
      </c>
      <c r="N12" s="218">
        <v>0.49584502681999998</v>
      </c>
      <c r="O12" s="218">
        <v>0.48337977763999995</v>
      </c>
      <c r="P12" s="218">
        <v>0.47091452845999993</v>
      </c>
      <c r="Q12" s="218">
        <v>0.4584492792799999</v>
      </c>
      <c r="R12" s="218">
        <v>0.44598403009999998</v>
      </c>
      <c r="S12" s="218">
        <v>0.42367645741999999</v>
      </c>
      <c r="T12" s="218">
        <v>0.40136888473999999</v>
      </c>
      <c r="U12" s="218">
        <v>0.37906131205999999</v>
      </c>
      <c r="V12" s="218">
        <v>0.35675373937999999</v>
      </c>
      <c r="W12" s="218">
        <v>0.33444616669999999</v>
      </c>
      <c r="X12" s="218">
        <v>0.3114416512</v>
      </c>
      <c r="Y12" s="218">
        <v>0.28843713570000001</v>
      </c>
      <c r="Z12" s="218">
        <v>0.26543262020000002</v>
      </c>
      <c r="AA12" s="218">
        <v>0.24242810470000004</v>
      </c>
      <c r="AB12" s="218">
        <v>0.21942358919999999</v>
      </c>
      <c r="AC12" s="218">
        <v>0.20100143722</v>
      </c>
      <c r="AD12" s="218">
        <v>0.18257928524</v>
      </c>
      <c r="AE12" s="218">
        <v>0.16415713326</v>
      </c>
      <c r="AF12" s="218">
        <v>0.14573498128000001</v>
      </c>
      <c r="AG12" s="218">
        <v>0.12731282930000001</v>
      </c>
      <c r="AH12" s="218">
        <v>0.10844748566200001</v>
      </c>
      <c r="AI12" s="218">
        <v>8.9582142024E-2</v>
      </c>
      <c r="AJ12" s="218">
        <v>7.0716798385999993E-2</v>
      </c>
      <c r="AK12" s="218">
        <v>5.1851454747999987E-2</v>
      </c>
      <c r="AL12" s="218">
        <v>3.2986111110000001E-2</v>
      </c>
      <c r="AM12" s="623" t="s">
        <v>633</v>
      </c>
      <c r="AN12" s="613"/>
      <c r="AO12" s="613"/>
      <c r="AP12" s="613"/>
      <c r="AQ12" s="613"/>
      <c r="AR12" s="613"/>
      <c r="AS12" s="613"/>
      <c r="AT12" s="613"/>
      <c r="AU12" s="613"/>
      <c r="AV12" s="613"/>
      <c r="AW12" s="613"/>
      <c r="AX12" s="613"/>
      <c r="AY12" s="613"/>
      <c r="AZ12" s="613"/>
    </row>
    <row r="13" spans="2:52">
      <c r="B13" s="219" t="s">
        <v>16</v>
      </c>
      <c r="C13" s="219" t="s">
        <v>707</v>
      </c>
      <c r="D13" s="219" t="s">
        <v>471</v>
      </c>
      <c r="E13" s="219" t="s">
        <v>715</v>
      </c>
      <c r="F13" s="219" t="s">
        <v>598</v>
      </c>
      <c r="G13" s="219" t="s">
        <v>457</v>
      </c>
      <c r="H13" s="220">
        <v>10.54</v>
      </c>
      <c r="I13" s="220">
        <v>10.043419999996059</v>
      </c>
      <c r="J13" s="220">
        <v>9.5468399999921196</v>
      </c>
      <c r="K13" s="220">
        <v>9.0502599999881799</v>
      </c>
      <c r="L13" s="220">
        <v>8.5536799999842401</v>
      </c>
      <c r="M13" s="220">
        <v>8.0570999999803004</v>
      </c>
      <c r="N13" s="220">
        <v>7.5100799999842405</v>
      </c>
      <c r="O13" s="220">
        <v>6.9630599999881806</v>
      </c>
      <c r="P13" s="220">
        <v>6.4160399999921207</v>
      </c>
      <c r="Q13" s="220">
        <v>5.8690199999960608</v>
      </c>
      <c r="R13" s="220">
        <v>5.3220000000000001</v>
      </c>
      <c r="S13" s="220">
        <v>4.7728000000000002</v>
      </c>
      <c r="T13" s="220">
        <v>4.2236000000000002</v>
      </c>
      <c r="U13" s="220">
        <v>3.6744000000000003</v>
      </c>
      <c r="V13" s="220">
        <v>3.1252000000000004</v>
      </c>
      <c r="W13" s="220">
        <v>2.5760000000000001</v>
      </c>
      <c r="X13" s="220">
        <v>2.0756000000000001</v>
      </c>
      <c r="Y13" s="220">
        <v>1.5752000000000002</v>
      </c>
      <c r="Z13" s="220">
        <v>1.0748000000000002</v>
      </c>
      <c r="AA13" s="220">
        <v>0.57440000000000013</v>
      </c>
      <c r="AB13" s="220">
        <v>7.3999999999999996E-2</v>
      </c>
      <c r="AC13" s="220">
        <v>-9.9800000000000014E-2</v>
      </c>
      <c r="AD13" s="220">
        <v>-0.27360000000000001</v>
      </c>
      <c r="AE13" s="220">
        <v>-0.44740000000000002</v>
      </c>
      <c r="AF13" s="220">
        <v>-0.62119999999999997</v>
      </c>
      <c r="AG13" s="220">
        <v>-0.79500000000000004</v>
      </c>
      <c r="AH13" s="220">
        <v>-0.6362000000000001</v>
      </c>
      <c r="AI13" s="220">
        <v>-0.4774000000000001</v>
      </c>
      <c r="AJ13" s="220">
        <v>-0.31860000000000011</v>
      </c>
      <c r="AK13" s="220">
        <v>-0.15980000000000011</v>
      </c>
      <c r="AL13" s="220">
        <v>-1E-3</v>
      </c>
      <c r="AM13" s="533" t="s">
        <v>633</v>
      </c>
    </row>
    <row r="14" spans="2:52">
      <c r="B14" s="219" t="s">
        <v>16</v>
      </c>
      <c r="C14" s="219" t="s">
        <v>594</v>
      </c>
      <c r="D14" s="219" t="s">
        <v>516</v>
      </c>
      <c r="E14" s="219" t="s">
        <v>716</v>
      </c>
      <c r="F14" s="219" t="s">
        <v>598</v>
      </c>
      <c r="G14" s="219" t="s">
        <v>457</v>
      </c>
      <c r="H14" s="220">
        <v>31.958060339999999</v>
      </c>
      <c r="I14" s="220">
        <v>31.558983911999999</v>
      </c>
      <c r="J14" s="220">
        <v>31.159907483999998</v>
      </c>
      <c r="K14" s="220">
        <v>30.760831055999997</v>
      </c>
      <c r="L14" s="220">
        <v>30.361754627999996</v>
      </c>
      <c r="M14" s="220">
        <v>29.962678199999999</v>
      </c>
      <c r="N14" s="220">
        <v>29.557542559999998</v>
      </c>
      <c r="O14" s="220">
        <v>29.152406919999997</v>
      </c>
      <c r="P14" s="220">
        <v>28.747271279999996</v>
      </c>
      <c r="Q14" s="220">
        <v>28.342135639999995</v>
      </c>
      <c r="R14" s="220">
        <v>27.937000000000001</v>
      </c>
      <c r="S14" s="220">
        <v>27.654600000000002</v>
      </c>
      <c r="T14" s="220">
        <v>27.372200000000003</v>
      </c>
      <c r="U14" s="220">
        <v>27.089800000000004</v>
      </c>
      <c r="V14" s="220">
        <v>26.807400000000005</v>
      </c>
      <c r="W14" s="220">
        <v>26.524999999999999</v>
      </c>
      <c r="X14" s="220">
        <v>26.2456</v>
      </c>
      <c r="Y14" s="220">
        <v>25.966200000000001</v>
      </c>
      <c r="Z14" s="220">
        <v>25.686800000000002</v>
      </c>
      <c r="AA14" s="220">
        <v>25.407400000000003</v>
      </c>
      <c r="AB14" s="220">
        <v>25.128</v>
      </c>
      <c r="AC14" s="220">
        <v>24.807600000000001</v>
      </c>
      <c r="AD14" s="220">
        <v>24.487200000000001</v>
      </c>
      <c r="AE14" s="220">
        <v>24.166800000000002</v>
      </c>
      <c r="AF14" s="220">
        <v>23.846400000000003</v>
      </c>
      <c r="AG14" s="220">
        <v>23.526</v>
      </c>
      <c r="AH14" s="220">
        <v>23.134</v>
      </c>
      <c r="AI14" s="220">
        <v>22.742000000000001</v>
      </c>
      <c r="AJ14" s="220">
        <v>22.35</v>
      </c>
      <c r="AK14" s="220">
        <v>21.958000000000002</v>
      </c>
      <c r="AL14" s="220">
        <v>21.565999999999999</v>
      </c>
      <c r="AM14" s="533" t="s">
        <v>633</v>
      </c>
    </row>
    <row r="15" spans="2:52">
      <c r="B15" s="219" t="s">
        <v>16</v>
      </c>
      <c r="C15" s="219" t="s">
        <v>604</v>
      </c>
      <c r="D15" s="219" t="s">
        <v>516</v>
      </c>
      <c r="E15" s="219" t="s">
        <v>716</v>
      </c>
      <c r="F15" s="219" t="s">
        <v>598</v>
      </c>
      <c r="G15" s="219" t="s">
        <v>457</v>
      </c>
      <c r="H15" s="220">
        <v>1.765050244</v>
      </c>
      <c r="I15" s="220">
        <v>1.7263459076000001</v>
      </c>
      <c r="J15" s="220">
        <v>1.6876415712000001</v>
      </c>
      <c r="K15" s="220">
        <v>1.6489372348000002</v>
      </c>
      <c r="L15" s="220">
        <v>1.6102328984000003</v>
      </c>
      <c r="M15" s="220">
        <v>1.5715285619999999</v>
      </c>
      <c r="N15" s="220">
        <v>1.5388228495999998</v>
      </c>
      <c r="O15" s="220">
        <v>1.5061171371999997</v>
      </c>
      <c r="P15" s="220">
        <v>1.4734114247999996</v>
      </c>
      <c r="Q15" s="220">
        <v>1.4407057123999996</v>
      </c>
      <c r="R15" s="220">
        <v>1.4079999999999999</v>
      </c>
      <c r="S15" s="220">
        <v>1.3901999999999999</v>
      </c>
      <c r="T15" s="220">
        <v>1.3723999999999998</v>
      </c>
      <c r="U15" s="220">
        <v>1.3545999999999998</v>
      </c>
      <c r="V15" s="220">
        <v>1.3367999999999998</v>
      </c>
      <c r="W15" s="220">
        <v>1.319</v>
      </c>
      <c r="X15" s="220">
        <v>1.3053999999999999</v>
      </c>
      <c r="Y15" s="220">
        <v>1.2917999999999998</v>
      </c>
      <c r="Z15" s="220">
        <v>1.2781999999999998</v>
      </c>
      <c r="AA15" s="220">
        <v>1.2645999999999997</v>
      </c>
      <c r="AB15" s="220">
        <v>1.2509999999999999</v>
      </c>
      <c r="AC15" s="220">
        <v>1.234</v>
      </c>
      <c r="AD15" s="220">
        <v>1.2170000000000001</v>
      </c>
      <c r="AE15" s="220">
        <v>1.2000000000000002</v>
      </c>
      <c r="AF15" s="220">
        <v>1.1830000000000003</v>
      </c>
      <c r="AG15" s="220">
        <v>1.1659999999999999</v>
      </c>
      <c r="AH15" s="220">
        <v>1.1437999999999999</v>
      </c>
      <c r="AI15" s="220">
        <v>1.1215999999999999</v>
      </c>
      <c r="AJ15" s="220">
        <v>1.0993999999999999</v>
      </c>
      <c r="AK15" s="220">
        <v>1.0771999999999999</v>
      </c>
      <c r="AL15" s="220">
        <v>1.0549999999999999</v>
      </c>
      <c r="AM15" s="533" t="s">
        <v>633</v>
      </c>
    </row>
    <row r="16" spans="2:52">
      <c r="B16" s="219" t="s">
        <v>16</v>
      </c>
      <c r="C16" s="219" t="s">
        <v>605</v>
      </c>
      <c r="D16" s="219" t="s">
        <v>516</v>
      </c>
      <c r="E16" s="219" t="s">
        <v>716</v>
      </c>
      <c r="F16" s="219" t="s">
        <v>598</v>
      </c>
      <c r="G16" s="219" t="s">
        <v>457</v>
      </c>
      <c r="H16" s="220">
        <v>1.333641538</v>
      </c>
      <c r="I16" s="220">
        <v>1.3213310445999999</v>
      </c>
      <c r="J16" s="220">
        <v>1.3090205511999999</v>
      </c>
      <c r="K16" s="220">
        <v>1.2967100577999999</v>
      </c>
      <c r="L16" s="220">
        <v>1.2843995643999999</v>
      </c>
      <c r="M16" s="220">
        <v>1.2720890709999999</v>
      </c>
      <c r="N16" s="220">
        <v>1.2602712567999999</v>
      </c>
      <c r="O16" s="220">
        <v>1.2484534425999998</v>
      </c>
      <c r="P16" s="220">
        <v>1.2366356283999997</v>
      </c>
      <c r="Q16" s="220">
        <v>1.2248178141999997</v>
      </c>
      <c r="R16" s="220">
        <v>1.2130000000000001</v>
      </c>
      <c r="S16" s="220">
        <v>1.2046000000000001</v>
      </c>
      <c r="T16" s="220">
        <v>1.1962000000000002</v>
      </c>
      <c r="U16" s="220">
        <v>1.1878000000000002</v>
      </c>
      <c r="V16" s="220">
        <v>1.1794000000000002</v>
      </c>
      <c r="W16" s="220">
        <v>1.171</v>
      </c>
      <c r="X16" s="220">
        <v>1.1626000000000001</v>
      </c>
      <c r="Y16" s="220">
        <v>1.1542000000000001</v>
      </c>
      <c r="Z16" s="220">
        <v>1.1458000000000002</v>
      </c>
      <c r="AA16" s="220">
        <v>1.1374000000000002</v>
      </c>
      <c r="AB16" s="220">
        <v>1.129</v>
      </c>
      <c r="AC16" s="220">
        <v>1.1202000000000001</v>
      </c>
      <c r="AD16" s="220">
        <v>1.1114000000000002</v>
      </c>
      <c r="AE16" s="220">
        <v>1.1026000000000002</v>
      </c>
      <c r="AF16" s="220">
        <v>1.0938000000000003</v>
      </c>
      <c r="AG16" s="220">
        <v>1.085</v>
      </c>
      <c r="AH16" s="220">
        <v>1.0724</v>
      </c>
      <c r="AI16" s="220">
        <v>1.0598000000000001</v>
      </c>
      <c r="AJ16" s="220">
        <v>1.0472000000000001</v>
      </c>
      <c r="AK16" s="220">
        <v>1.0346000000000002</v>
      </c>
      <c r="AL16" s="220">
        <v>1.022</v>
      </c>
      <c r="AM16" s="533" t="s">
        <v>633</v>
      </c>
    </row>
    <row r="17" spans="2:39">
      <c r="B17" s="219" t="s">
        <v>16</v>
      </c>
      <c r="C17" s="219" t="s">
        <v>612</v>
      </c>
      <c r="D17" s="219" t="s">
        <v>516</v>
      </c>
      <c r="E17" s="219" t="s">
        <v>716</v>
      </c>
      <c r="F17" s="219" t="s">
        <v>598</v>
      </c>
      <c r="G17" s="219" t="s">
        <v>457</v>
      </c>
      <c r="H17" s="220">
        <v>7.2851852179999996</v>
      </c>
      <c r="I17" s="220">
        <v>7.1830656652</v>
      </c>
      <c r="J17" s="220">
        <v>7.0809461124000004</v>
      </c>
      <c r="K17" s="220">
        <v>6.9788265596000008</v>
      </c>
      <c r="L17" s="220">
        <v>6.8767070068000011</v>
      </c>
      <c r="M17" s="220">
        <v>6.7745874539999997</v>
      </c>
      <c r="N17" s="220">
        <v>6.6758699631999994</v>
      </c>
      <c r="O17" s="220">
        <v>6.577152472399999</v>
      </c>
      <c r="P17" s="220">
        <v>6.4784349815999986</v>
      </c>
      <c r="Q17" s="220">
        <v>6.3797174907999983</v>
      </c>
      <c r="R17" s="220">
        <v>6.2809999999999997</v>
      </c>
      <c r="S17" s="220">
        <v>6.2081999999999997</v>
      </c>
      <c r="T17" s="220">
        <v>6.1353999999999997</v>
      </c>
      <c r="U17" s="220">
        <v>6.0625999999999998</v>
      </c>
      <c r="V17" s="220">
        <v>5.9897999999999998</v>
      </c>
      <c r="W17" s="220">
        <v>5.9169999999999998</v>
      </c>
      <c r="X17" s="220">
        <v>5.8457999999999997</v>
      </c>
      <c r="Y17" s="220">
        <v>5.7745999999999995</v>
      </c>
      <c r="Z17" s="220">
        <v>5.7033999999999994</v>
      </c>
      <c r="AA17" s="220">
        <v>5.6321999999999992</v>
      </c>
      <c r="AB17" s="220">
        <v>5.5609999999999999</v>
      </c>
      <c r="AC17" s="220">
        <v>5.4870000000000001</v>
      </c>
      <c r="AD17" s="220">
        <v>5.4130000000000003</v>
      </c>
      <c r="AE17" s="220">
        <v>5.3390000000000004</v>
      </c>
      <c r="AF17" s="220">
        <v>5.2650000000000006</v>
      </c>
      <c r="AG17" s="220">
        <v>5.1909999999999998</v>
      </c>
      <c r="AH17" s="220">
        <v>5.1020000000000003</v>
      </c>
      <c r="AI17" s="220">
        <v>5.0130000000000008</v>
      </c>
      <c r="AJ17" s="220">
        <v>4.9240000000000013</v>
      </c>
      <c r="AK17" s="220">
        <v>4.8350000000000017</v>
      </c>
      <c r="AL17" s="220">
        <v>4.7460000000000004</v>
      </c>
      <c r="AM17" s="533" t="s">
        <v>633</v>
      </c>
    </row>
    <row r="18" spans="2:39">
      <c r="B18" s="219" t="s">
        <v>16</v>
      </c>
      <c r="C18" s="219" t="s">
        <v>613</v>
      </c>
      <c r="D18" s="219" t="s">
        <v>516</v>
      </c>
      <c r="E18" s="219" t="s">
        <v>716</v>
      </c>
      <c r="F18" s="219" t="s">
        <v>598</v>
      </c>
      <c r="G18" s="219" t="s">
        <v>457</v>
      </c>
      <c r="H18" s="220">
        <v>0.43713881100000002</v>
      </c>
      <c r="I18" s="220">
        <v>0.4240355106</v>
      </c>
      <c r="J18" s="220">
        <v>0.41093221019999998</v>
      </c>
      <c r="K18" s="220">
        <v>0.39782890979999996</v>
      </c>
      <c r="L18" s="220">
        <v>0.38472560939999995</v>
      </c>
      <c r="M18" s="220">
        <v>0.37162230899999998</v>
      </c>
      <c r="N18" s="220">
        <v>0.35889784720000001</v>
      </c>
      <c r="O18" s="220">
        <v>0.34617338540000003</v>
      </c>
      <c r="P18" s="220">
        <v>0.33344892360000006</v>
      </c>
      <c r="Q18" s="220">
        <v>0.32072446180000008</v>
      </c>
      <c r="R18" s="220">
        <v>0.308</v>
      </c>
      <c r="S18" s="220">
        <v>0.30199999999999999</v>
      </c>
      <c r="T18" s="220">
        <v>0.29599999999999999</v>
      </c>
      <c r="U18" s="220">
        <v>0.28999999999999998</v>
      </c>
      <c r="V18" s="220">
        <v>0.28399999999999997</v>
      </c>
      <c r="W18" s="220">
        <v>0.27800000000000002</v>
      </c>
      <c r="X18" s="220">
        <v>0.27340000000000003</v>
      </c>
      <c r="Y18" s="220">
        <v>0.26880000000000004</v>
      </c>
      <c r="Z18" s="220">
        <v>0.26420000000000005</v>
      </c>
      <c r="AA18" s="220">
        <v>0.25960000000000005</v>
      </c>
      <c r="AB18" s="220">
        <v>0.255</v>
      </c>
      <c r="AC18" s="220">
        <v>0.25059999999999999</v>
      </c>
      <c r="AD18" s="220">
        <v>0.2462</v>
      </c>
      <c r="AE18" s="220">
        <v>0.24180000000000001</v>
      </c>
      <c r="AF18" s="220">
        <v>0.23740000000000003</v>
      </c>
      <c r="AG18" s="220">
        <v>0.23300000000000001</v>
      </c>
      <c r="AH18" s="220">
        <v>0.2276</v>
      </c>
      <c r="AI18" s="220">
        <v>0.22219999999999998</v>
      </c>
      <c r="AJ18" s="220">
        <v>0.21679999999999996</v>
      </c>
      <c r="AK18" s="220">
        <v>0.21139999999999995</v>
      </c>
      <c r="AL18" s="220">
        <v>0.20599999999999999</v>
      </c>
      <c r="AM18" s="533" t="s">
        <v>633</v>
      </c>
    </row>
    <row r="19" spans="2:39">
      <c r="B19" s="219" t="s">
        <v>16</v>
      </c>
      <c r="C19" s="219" t="s">
        <v>614</v>
      </c>
      <c r="D19" s="219" t="s">
        <v>516</v>
      </c>
      <c r="E19" s="219" t="s">
        <v>716</v>
      </c>
      <c r="F19" s="219" t="s">
        <v>598</v>
      </c>
      <c r="G19" s="219" t="s">
        <v>457</v>
      </c>
      <c r="H19" s="220">
        <v>0.43713881100000002</v>
      </c>
      <c r="I19" s="220">
        <v>0.4240355106</v>
      </c>
      <c r="J19" s="220">
        <v>0.41093221019999998</v>
      </c>
      <c r="K19" s="220">
        <v>0.39782890979999996</v>
      </c>
      <c r="L19" s="220">
        <v>0.38472560939999995</v>
      </c>
      <c r="M19" s="220">
        <v>0.37162230899999998</v>
      </c>
      <c r="N19" s="220">
        <v>0.35889784720000001</v>
      </c>
      <c r="O19" s="220">
        <v>0.34617338540000003</v>
      </c>
      <c r="P19" s="220">
        <v>0.33344892360000006</v>
      </c>
      <c r="Q19" s="220">
        <v>0.32072446180000008</v>
      </c>
      <c r="R19" s="220">
        <v>0.308</v>
      </c>
      <c r="S19" s="220">
        <v>0.30199999999999999</v>
      </c>
      <c r="T19" s="220">
        <v>0.29599999999999999</v>
      </c>
      <c r="U19" s="220">
        <v>0.28999999999999998</v>
      </c>
      <c r="V19" s="220">
        <v>0.28399999999999997</v>
      </c>
      <c r="W19" s="220">
        <v>0.27800000000000002</v>
      </c>
      <c r="X19" s="220">
        <v>0.27340000000000003</v>
      </c>
      <c r="Y19" s="220">
        <v>0.26880000000000004</v>
      </c>
      <c r="Z19" s="220">
        <v>0.26420000000000005</v>
      </c>
      <c r="AA19" s="220">
        <v>0.25960000000000005</v>
      </c>
      <c r="AB19" s="220">
        <v>0.255</v>
      </c>
      <c r="AC19" s="220">
        <v>0.25059999999999999</v>
      </c>
      <c r="AD19" s="220">
        <v>0.2462</v>
      </c>
      <c r="AE19" s="220">
        <v>0.24180000000000001</v>
      </c>
      <c r="AF19" s="220">
        <v>0.23740000000000003</v>
      </c>
      <c r="AG19" s="220">
        <v>0.23300000000000001</v>
      </c>
      <c r="AH19" s="220">
        <v>0.2276</v>
      </c>
      <c r="AI19" s="220">
        <v>0.22219999999999998</v>
      </c>
      <c r="AJ19" s="220">
        <v>0.21679999999999996</v>
      </c>
      <c r="AK19" s="220">
        <v>0.21139999999999995</v>
      </c>
      <c r="AL19" s="220">
        <v>0.20599999999999999</v>
      </c>
      <c r="AM19" s="533" t="s">
        <v>633</v>
      </c>
    </row>
    <row r="20" spans="2:39">
      <c r="B20" s="219" t="s">
        <v>16</v>
      </c>
      <c r="C20" s="219" t="s">
        <v>621</v>
      </c>
      <c r="D20" s="219" t="s">
        <v>516</v>
      </c>
      <c r="E20" s="219" t="s">
        <v>716</v>
      </c>
      <c r="F20" s="219" t="s">
        <v>598</v>
      </c>
      <c r="G20" s="219" t="s">
        <v>457</v>
      </c>
      <c r="H20" s="220">
        <v>3.5280153159999998</v>
      </c>
      <c r="I20" s="220">
        <v>3.4507566169999997</v>
      </c>
      <c r="J20" s="220">
        <v>3.3734979179999995</v>
      </c>
      <c r="K20" s="220">
        <v>3.2962392189999994</v>
      </c>
      <c r="L20" s="220">
        <v>3.2189805199999992</v>
      </c>
      <c r="M20" s="220">
        <v>3.141721821</v>
      </c>
      <c r="N20" s="220">
        <v>3.0821774567999998</v>
      </c>
      <c r="O20" s="220">
        <v>3.0226330925999996</v>
      </c>
      <c r="P20" s="220">
        <v>2.9630887283999994</v>
      </c>
      <c r="Q20" s="220">
        <v>2.9035443641999992</v>
      </c>
      <c r="R20" s="220">
        <v>2.8439999999999999</v>
      </c>
      <c r="S20" s="220">
        <v>2.8024</v>
      </c>
      <c r="T20" s="220">
        <v>2.7608000000000001</v>
      </c>
      <c r="U20" s="220">
        <v>2.7192000000000003</v>
      </c>
      <c r="V20" s="220">
        <v>2.6776000000000004</v>
      </c>
      <c r="W20" s="220">
        <v>2.6360000000000001</v>
      </c>
      <c r="X20" s="220">
        <v>2.6020000000000003</v>
      </c>
      <c r="Y20" s="220">
        <v>2.5680000000000005</v>
      </c>
      <c r="Z20" s="220">
        <v>2.5340000000000007</v>
      </c>
      <c r="AA20" s="220">
        <v>2.5000000000000009</v>
      </c>
      <c r="AB20" s="220">
        <v>2.4660000000000002</v>
      </c>
      <c r="AC20" s="220">
        <v>2.4328000000000003</v>
      </c>
      <c r="AD20" s="220">
        <v>2.3996000000000004</v>
      </c>
      <c r="AE20" s="220">
        <v>2.3664000000000005</v>
      </c>
      <c r="AF20" s="220">
        <v>2.3332000000000006</v>
      </c>
      <c r="AG20" s="220">
        <v>2.2999999999999998</v>
      </c>
      <c r="AH20" s="220">
        <v>2.2574000000000001</v>
      </c>
      <c r="AI20" s="220">
        <v>2.2148000000000003</v>
      </c>
      <c r="AJ20" s="220">
        <v>2.1722000000000006</v>
      </c>
      <c r="AK20" s="220">
        <v>2.1296000000000008</v>
      </c>
      <c r="AL20" s="220">
        <v>2.0870000000000002</v>
      </c>
      <c r="AM20" s="533" t="s">
        <v>633</v>
      </c>
    </row>
    <row r="21" spans="2:39">
      <c r="B21" s="219" t="s">
        <v>16</v>
      </c>
      <c r="C21" s="219" t="s">
        <v>622</v>
      </c>
      <c r="D21" s="219" t="s">
        <v>516</v>
      </c>
      <c r="E21" s="219" t="s">
        <v>716</v>
      </c>
      <c r="F21" s="219" t="s">
        <v>598</v>
      </c>
      <c r="G21" s="219" t="s">
        <v>457</v>
      </c>
      <c r="H21" s="220">
        <v>1.4104692940000001</v>
      </c>
      <c r="I21" s="220">
        <v>1.3720293568000002</v>
      </c>
      <c r="J21" s="220">
        <v>1.3335894196000002</v>
      </c>
      <c r="K21" s="220">
        <v>1.2951494824000003</v>
      </c>
      <c r="L21" s="220">
        <v>1.2567095452000003</v>
      </c>
      <c r="M21" s="220">
        <v>1.2182696079999999</v>
      </c>
      <c r="N21" s="220">
        <v>1.1866156863999999</v>
      </c>
      <c r="O21" s="220">
        <v>1.1549617647999999</v>
      </c>
      <c r="P21" s="220">
        <v>1.1233078431999999</v>
      </c>
      <c r="Q21" s="220">
        <v>1.0916539215999999</v>
      </c>
      <c r="R21" s="220">
        <v>1.06</v>
      </c>
      <c r="S21" s="220">
        <v>1.0438000000000001</v>
      </c>
      <c r="T21" s="220">
        <v>1.0276000000000001</v>
      </c>
      <c r="U21" s="220">
        <v>1.0114000000000001</v>
      </c>
      <c r="V21" s="220">
        <v>0.99520000000000008</v>
      </c>
      <c r="W21" s="220">
        <v>0.97899999999999998</v>
      </c>
      <c r="X21" s="220">
        <v>0.96379999999999999</v>
      </c>
      <c r="Y21" s="220">
        <v>0.9486</v>
      </c>
      <c r="Z21" s="220">
        <v>0.93340000000000001</v>
      </c>
      <c r="AA21" s="220">
        <v>0.91820000000000002</v>
      </c>
      <c r="AB21" s="220">
        <v>0.90300000000000002</v>
      </c>
      <c r="AC21" s="220">
        <v>0.88739999999999997</v>
      </c>
      <c r="AD21" s="220">
        <v>0.87179999999999991</v>
      </c>
      <c r="AE21" s="220">
        <v>0.85619999999999985</v>
      </c>
      <c r="AF21" s="220">
        <v>0.84059999999999979</v>
      </c>
      <c r="AG21" s="220">
        <v>0.82499999999999996</v>
      </c>
      <c r="AH21" s="220">
        <v>0.80419999999999991</v>
      </c>
      <c r="AI21" s="220">
        <v>0.78339999999999987</v>
      </c>
      <c r="AJ21" s="220">
        <v>0.76259999999999983</v>
      </c>
      <c r="AK21" s="220">
        <v>0.74179999999999979</v>
      </c>
      <c r="AL21" s="220">
        <v>0.72099999999999997</v>
      </c>
      <c r="AM21" s="533" t="s">
        <v>633</v>
      </c>
    </row>
    <row r="22" spans="2:39">
      <c r="B22" s="219" t="s">
        <v>16</v>
      </c>
      <c r="C22" s="219" t="s">
        <v>623</v>
      </c>
      <c r="D22" s="219" t="s">
        <v>516</v>
      </c>
      <c r="E22" s="219" t="s">
        <v>716</v>
      </c>
      <c r="F22" s="219" t="s">
        <v>598</v>
      </c>
      <c r="G22" s="219" t="s">
        <v>457</v>
      </c>
      <c r="H22" s="220">
        <v>0.50073759399999995</v>
      </c>
      <c r="I22" s="220">
        <v>0.48613395099999995</v>
      </c>
      <c r="J22" s="220">
        <v>0.47153030799999995</v>
      </c>
      <c r="K22" s="220">
        <v>0.45692666499999995</v>
      </c>
      <c r="L22" s="220">
        <v>0.44232302199999995</v>
      </c>
      <c r="M22" s="220">
        <v>0.42771937900000001</v>
      </c>
      <c r="N22" s="220">
        <v>0.41237550319999999</v>
      </c>
      <c r="O22" s="220">
        <v>0.39703162739999998</v>
      </c>
      <c r="P22" s="220">
        <v>0.38168775159999996</v>
      </c>
      <c r="Q22" s="220">
        <v>0.36634387579999994</v>
      </c>
      <c r="R22" s="220">
        <v>0.35099999999999998</v>
      </c>
      <c r="S22" s="220">
        <v>0.34859999999999997</v>
      </c>
      <c r="T22" s="220">
        <v>0.34619999999999995</v>
      </c>
      <c r="U22" s="220">
        <v>0.34379999999999994</v>
      </c>
      <c r="V22" s="220">
        <v>0.34139999999999993</v>
      </c>
      <c r="W22" s="220">
        <v>0.33900000000000002</v>
      </c>
      <c r="X22" s="220">
        <v>0.3372</v>
      </c>
      <c r="Y22" s="220">
        <v>0.33539999999999998</v>
      </c>
      <c r="Z22" s="220">
        <v>0.33359999999999995</v>
      </c>
      <c r="AA22" s="220">
        <v>0.33179999999999993</v>
      </c>
      <c r="AB22" s="220">
        <v>0.33</v>
      </c>
      <c r="AC22" s="220">
        <v>0.32180000000000003</v>
      </c>
      <c r="AD22" s="220">
        <v>0.31360000000000005</v>
      </c>
      <c r="AE22" s="220">
        <v>0.30540000000000006</v>
      </c>
      <c r="AF22" s="220">
        <v>0.29720000000000008</v>
      </c>
      <c r="AG22" s="220">
        <v>0.28899999999999998</v>
      </c>
      <c r="AH22" s="220">
        <v>0.2802</v>
      </c>
      <c r="AI22" s="220">
        <v>0.27140000000000003</v>
      </c>
      <c r="AJ22" s="220">
        <v>0.26260000000000006</v>
      </c>
      <c r="AK22" s="220">
        <v>0.25380000000000008</v>
      </c>
      <c r="AL22" s="220">
        <v>0.245</v>
      </c>
      <c r="AM22" s="533" t="s">
        <v>633</v>
      </c>
    </row>
    <row r="23" spans="2:39">
      <c r="B23" s="219" t="s">
        <v>16</v>
      </c>
      <c r="C23" s="219" t="s">
        <v>624</v>
      </c>
      <c r="D23" s="219" t="s">
        <v>516</v>
      </c>
      <c r="E23" s="219" t="s">
        <v>716</v>
      </c>
      <c r="F23" s="219" t="s">
        <v>598</v>
      </c>
      <c r="G23" s="219" t="s">
        <v>457</v>
      </c>
      <c r="H23" s="220">
        <v>0.45019380399999998</v>
      </c>
      <c r="I23" s="220">
        <v>0.43858720279999996</v>
      </c>
      <c r="J23" s="220">
        <v>0.42698060159999995</v>
      </c>
      <c r="K23" s="220">
        <v>0.41537400039999994</v>
      </c>
      <c r="L23" s="220">
        <v>0.40376739919999993</v>
      </c>
      <c r="M23" s="220">
        <v>0.39216079799999998</v>
      </c>
      <c r="N23" s="220">
        <v>0.38332863839999998</v>
      </c>
      <c r="O23" s="220">
        <v>0.37449647879999998</v>
      </c>
      <c r="P23" s="220">
        <v>0.36566431919999998</v>
      </c>
      <c r="Q23" s="220">
        <v>0.35683215959999998</v>
      </c>
      <c r="R23" s="220">
        <v>0.34799999999999998</v>
      </c>
      <c r="S23" s="220">
        <v>0.34159999999999996</v>
      </c>
      <c r="T23" s="220">
        <v>0.33519999999999994</v>
      </c>
      <c r="U23" s="220">
        <v>0.32879999999999993</v>
      </c>
      <c r="V23" s="220">
        <v>0.32239999999999991</v>
      </c>
      <c r="W23" s="220">
        <v>0.316</v>
      </c>
      <c r="X23" s="220">
        <v>0.312</v>
      </c>
      <c r="Y23" s="220">
        <v>0.308</v>
      </c>
      <c r="Z23" s="220">
        <v>0.30399999999999999</v>
      </c>
      <c r="AA23" s="220">
        <v>0.3</v>
      </c>
      <c r="AB23" s="220">
        <v>0.29599999999999999</v>
      </c>
      <c r="AC23" s="220">
        <v>0.29380000000000001</v>
      </c>
      <c r="AD23" s="220">
        <v>0.29160000000000003</v>
      </c>
      <c r="AE23" s="220">
        <v>0.28940000000000005</v>
      </c>
      <c r="AF23" s="220">
        <v>0.28720000000000007</v>
      </c>
      <c r="AG23" s="220">
        <v>0.28499999999999998</v>
      </c>
      <c r="AH23" s="220">
        <v>0.28259999999999996</v>
      </c>
      <c r="AI23" s="220">
        <v>0.28019999999999995</v>
      </c>
      <c r="AJ23" s="220">
        <v>0.27779999999999994</v>
      </c>
      <c r="AK23" s="220">
        <v>0.27539999999999992</v>
      </c>
      <c r="AL23" s="220">
        <v>0.27300000000000002</v>
      </c>
      <c r="AM23" s="533" t="s">
        <v>633</v>
      </c>
    </row>
    <row r="24" spans="2:39">
      <c r="B24" s="217" t="s">
        <v>508</v>
      </c>
      <c r="C24" s="623" t="s">
        <v>633</v>
      </c>
      <c r="D24" s="217" t="s">
        <v>471</v>
      </c>
      <c r="E24" s="217" t="s">
        <v>717</v>
      </c>
      <c r="F24" s="217" t="s">
        <v>511</v>
      </c>
      <c r="G24" s="217" t="s">
        <v>457</v>
      </c>
      <c r="H24" s="624"/>
      <c r="I24" s="624"/>
      <c r="J24" s="624">
        <v>100</v>
      </c>
      <c r="K24" s="624">
        <v>95.918545454545452</v>
      </c>
      <c r="L24" s="624">
        <v>91.837090909090904</v>
      </c>
      <c r="M24" s="624">
        <v>87.75563636363637</v>
      </c>
      <c r="N24" s="624">
        <v>83.674181818181822</v>
      </c>
      <c r="O24" s="624">
        <v>79.592727272727274</v>
      </c>
      <c r="P24" s="624">
        <v>75.51127272727274</v>
      </c>
      <c r="Q24" s="624">
        <v>71.429818181818192</v>
      </c>
      <c r="R24" s="624">
        <v>67.335956681128707</v>
      </c>
      <c r="S24" s="624">
        <v>62.169593044765065</v>
      </c>
      <c r="T24" s="624">
        <v>57.003229408401431</v>
      </c>
      <c r="U24" s="624">
        <v>51.83686577203779</v>
      </c>
      <c r="V24" s="624">
        <v>46.670502135674163</v>
      </c>
      <c r="W24" s="624">
        <v>41.482527831029493</v>
      </c>
      <c r="X24" s="624">
        <v>39.09889146739313</v>
      </c>
      <c r="Y24" s="624">
        <v>36.71525510375676</v>
      </c>
      <c r="Z24" s="624">
        <v>34.331618740120398</v>
      </c>
      <c r="AA24" s="624">
        <v>31.947982376484035</v>
      </c>
      <c r="AB24" s="624">
        <v>29.564346012847668</v>
      </c>
      <c r="AC24" s="624">
        <v>27.180709649211309</v>
      </c>
      <c r="AD24" s="624">
        <v>24.797073285574935</v>
      </c>
      <c r="AE24" s="624">
        <v>22.413436921938576</v>
      </c>
      <c r="AF24" s="624">
        <v>20.029800558302213</v>
      </c>
      <c r="AG24" s="624">
        <v>17.646164194665847</v>
      </c>
      <c r="AH24" s="624">
        <v>15.26252783102948</v>
      </c>
      <c r="AI24" s="624">
        <v>12.878891467393119</v>
      </c>
      <c r="AJ24" s="624">
        <v>10.495255103756755</v>
      </c>
      <c r="AK24" s="624">
        <v>8.1116187401203916</v>
      </c>
      <c r="AL24" s="624">
        <v>5.7266337066559041</v>
      </c>
      <c r="AM24" s="623" t="s">
        <v>633</v>
      </c>
    </row>
    <row r="25" spans="2:39">
      <c r="B25" s="533" t="s">
        <v>513</v>
      </c>
      <c r="C25" s="533" t="s">
        <v>633</v>
      </c>
      <c r="D25" s="533" t="s">
        <v>516</v>
      </c>
      <c r="E25" s="533" t="s">
        <v>718</v>
      </c>
      <c r="F25" s="533" t="s">
        <v>518</v>
      </c>
      <c r="G25" s="625" t="s">
        <v>457</v>
      </c>
      <c r="H25" s="626">
        <v>0.4163</v>
      </c>
      <c r="I25" s="626">
        <v>0.38030000000000003</v>
      </c>
      <c r="J25" s="626">
        <v>0.34549999999999997</v>
      </c>
      <c r="K25" s="626">
        <v>0.31159999999999999</v>
      </c>
      <c r="L25" s="626">
        <v>0.27879999999999999</v>
      </c>
      <c r="M25" s="626">
        <v>0.24690000000000001</v>
      </c>
      <c r="N25" s="626">
        <v>0.21590000000000001</v>
      </c>
      <c r="O25" s="626">
        <v>0.1857</v>
      </c>
      <c r="P25" s="626">
        <v>0.15640000000000001</v>
      </c>
      <c r="Q25" s="626">
        <v>0.1278</v>
      </c>
      <c r="R25" s="626">
        <v>0.1</v>
      </c>
      <c r="S25" s="626">
        <v>0.09</v>
      </c>
      <c r="T25" s="626">
        <v>8.0500000000000002E-2</v>
      </c>
      <c r="U25" s="626">
        <v>7.1400000000000005E-2</v>
      </c>
      <c r="V25" s="626">
        <v>6.2700000000000006E-2</v>
      </c>
      <c r="W25" s="626">
        <v>5.45E-2</v>
      </c>
      <c r="X25" s="626">
        <v>4.6600000000000003E-2</v>
      </c>
      <c r="Y25" s="626">
        <v>3.9100000000000003E-2</v>
      </c>
      <c r="Z25" s="626">
        <v>3.1899999999999998E-2</v>
      </c>
      <c r="AA25" s="626">
        <v>2.5000000000000001E-2</v>
      </c>
      <c r="AB25" s="626">
        <v>1.84E-2</v>
      </c>
      <c r="AC25" s="626">
        <v>1.6299999999999999E-2</v>
      </c>
      <c r="AD25" s="626">
        <v>1.44E-2</v>
      </c>
      <c r="AE25" s="626">
        <v>1.24E-2</v>
      </c>
      <c r="AF25" s="626">
        <v>1.06E-2</v>
      </c>
      <c r="AG25" s="626">
        <v>8.8000000000000005E-3</v>
      </c>
      <c r="AH25" s="626">
        <v>7.0000000000000001E-3</v>
      </c>
      <c r="AI25" s="626">
        <v>5.3E-3</v>
      </c>
      <c r="AJ25" s="626">
        <v>3.7000000000000002E-3</v>
      </c>
      <c r="AK25" s="626">
        <v>2.0999999999999999E-3</v>
      </c>
      <c r="AL25" s="626">
        <v>5.0000000000000001E-4</v>
      </c>
      <c r="AM25" s="533" t="s">
        <v>633</v>
      </c>
    </row>
    <row r="26" spans="2:39">
      <c r="B26" s="533" t="s">
        <v>513</v>
      </c>
      <c r="C26" s="533" t="s">
        <v>633</v>
      </c>
      <c r="D26" s="533" t="s">
        <v>527</v>
      </c>
      <c r="E26" s="533" t="s">
        <v>713</v>
      </c>
      <c r="F26" s="533" t="s">
        <v>518</v>
      </c>
      <c r="G26" s="625" t="s">
        <v>457</v>
      </c>
      <c r="H26" s="626">
        <v>37</v>
      </c>
      <c r="I26" s="626">
        <v>43</v>
      </c>
      <c r="J26" s="626">
        <v>49</v>
      </c>
      <c r="K26" s="626">
        <v>55</v>
      </c>
      <c r="L26" s="626">
        <v>61</v>
      </c>
      <c r="M26" s="626">
        <v>67</v>
      </c>
      <c r="N26" s="626">
        <v>70.599999999999994</v>
      </c>
      <c r="O26" s="626">
        <v>74.199999999999989</v>
      </c>
      <c r="P26" s="626">
        <v>77.799999999999983</v>
      </c>
      <c r="Q26" s="626">
        <v>81.399999999999977</v>
      </c>
      <c r="R26" s="626">
        <v>85</v>
      </c>
      <c r="S26" s="626">
        <v>86.8</v>
      </c>
      <c r="T26" s="626">
        <v>88.6</v>
      </c>
      <c r="U26" s="626">
        <v>90.399999999999991</v>
      </c>
      <c r="V26" s="626">
        <v>92.199999999999989</v>
      </c>
      <c r="W26" s="626">
        <v>94</v>
      </c>
      <c r="X26" s="626">
        <v>94.4</v>
      </c>
      <c r="Y26" s="626">
        <v>94.800000000000011</v>
      </c>
      <c r="Z26" s="626">
        <v>95.200000000000017</v>
      </c>
      <c r="AA26" s="626">
        <v>95.600000000000023</v>
      </c>
      <c r="AB26" s="626">
        <v>96</v>
      </c>
      <c r="AC26" s="626">
        <v>96</v>
      </c>
      <c r="AD26" s="626">
        <v>96</v>
      </c>
      <c r="AE26" s="626">
        <v>96</v>
      </c>
      <c r="AF26" s="626">
        <v>96</v>
      </c>
      <c r="AG26" s="626">
        <v>96</v>
      </c>
      <c r="AH26" s="626">
        <v>96</v>
      </c>
      <c r="AI26" s="626">
        <v>96</v>
      </c>
      <c r="AJ26" s="626">
        <v>96</v>
      </c>
      <c r="AK26" s="626">
        <v>96</v>
      </c>
      <c r="AL26" s="626">
        <v>96</v>
      </c>
      <c r="AM26" s="533" t="s">
        <v>633</v>
      </c>
    </row>
    <row r="27" spans="2:39">
      <c r="B27" s="217" t="s">
        <v>194</v>
      </c>
      <c r="C27" s="217" t="s">
        <v>719</v>
      </c>
      <c r="D27" s="217" t="s">
        <v>516</v>
      </c>
      <c r="E27" s="217" t="s">
        <v>720</v>
      </c>
      <c r="F27" s="217" t="s">
        <v>572</v>
      </c>
      <c r="G27" s="217" t="s">
        <v>457</v>
      </c>
      <c r="H27" s="218">
        <v>2.423</v>
      </c>
      <c r="I27" s="218">
        <v>2.3466</v>
      </c>
      <c r="J27" s="218">
        <v>2.2702</v>
      </c>
      <c r="K27" s="218">
        <v>2.1938</v>
      </c>
      <c r="L27" s="218">
        <v>2.1173999999999999</v>
      </c>
      <c r="M27" s="218">
        <v>2.0409999999999999</v>
      </c>
      <c r="N27" s="218">
        <v>1.9751999999999998</v>
      </c>
      <c r="O27" s="218">
        <v>1.9093999999999998</v>
      </c>
      <c r="P27" s="218">
        <v>1.8435999999999997</v>
      </c>
      <c r="Q27" s="218">
        <v>1.7777999999999996</v>
      </c>
      <c r="R27" s="218">
        <v>1.712</v>
      </c>
      <c r="S27" s="218">
        <v>1.6194</v>
      </c>
      <c r="T27" s="218">
        <v>1.5267999999999999</v>
      </c>
      <c r="U27" s="218">
        <v>1.4341999999999999</v>
      </c>
      <c r="V27" s="218">
        <v>1.3415999999999999</v>
      </c>
      <c r="W27" s="218">
        <v>1.2490000000000001</v>
      </c>
      <c r="X27" s="218">
        <v>1.1526000000000001</v>
      </c>
      <c r="Y27" s="218">
        <v>1.0562</v>
      </c>
      <c r="Z27" s="218">
        <v>0.95979999999999999</v>
      </c>
      <c r="AA27" s="218">
        <v>0.86339999999999995</v>
      </c>
      <c r="AB27" s="218">
        <v>0.76700000000000002</v>
      </c>
      <c r="AC27" s="218">
        <v>0.70240000000000002</v>
      </c>
      <c r="AD27" s="218">
        <v>0.63780000000000003</v>
      </c>
      <c r="AE27" s="218">
        <v>0.57320000000000004</v>
      </c>
      <c r="AF27" s="218">
        <v>0.50860000000000005</v>
      </c>
      <c r="AG27" s="218">
        <v>0.44400000000000001</v>
      </c>
      <c r="AH27" s="218">
        <v>0.377</v>
      </c>
      <c r="AI27" s="218">
        <v>0.31</v>
      </c>
      <c r="AJ27" s="218">
        <v>0.24299999999999999</v>
      </c>
      <c r="AK27" s="218">
        <v>0.17599999999999999</v>
      </c>
      <c r="AL27" s="218">
        <v>0.109</v>
      </c>
      <c r="AM27" s="623" t="s">
        <v>633</v>
      </c>
    </row>
    <row r="28" spans="2:39">
      <c r="B28" s="217" t="s">
        <v>194</v>
      </c>
      <c r="C28" s="217" t="s">
        <v>721</v>
      </c>
      <c r="D28" s="217" t="s">
        <v>516</v>
      </c>
      <c r="E28" s="217" t="s">
        <v>720</v>
      </c>
      <c r="F28" s="217" t="s">
        <v>572</v>
      </c>
      <c r="G28" s="217" t="s">
        <v>457</v>
      </c>
      <c r="H28" s="218">
        <v>0.5</v>
      </c>
      <c r="I28" s="218">
        <v>0.48699999999999999</v>
      </c>
      <c r="J28" s="218">
        <v>0.47399999999999998</v>
      </c>
      <c r="K28" s="218">
        <v>0.46099999999999997</v>
      </c>
      <c r="L28" s="218">
        <v>0.44799999999999995</v>
      </c>
      <c r="M28" s="218">
        <v>0.435</v>
      </c>
      <c r="N28" s="218">
        <v>0.42199999999999999</v>
      </c>
      <c r="O28" s="218">
        <v>0.40899999999999997</v>
      </c>
      <c r="P28" s="218">
        <v>0.39599999999999996</v>
      </c>
      <c r="Q28" s="218">
        <v>0.38299999999999995</v>
      </c>
      <c r="R28" s="218">
        <v>0.37</v>
      </c>
      <c r="S28" s="218">
        <v>0.35699999999999998</v>
      </c>
      <c r="T28" s="218">
        <v>0.34399999999999997</v>
      </c>
      <c r="U28" s="218">
        <v>0.33099999999999996</v>
      </c>
      <c r="V28" s="218">
        <v>0.31799999999999995</v>
      </c>
      <c r="W28" s="218">
        <v>0.30499999999999999</v>
      </c>
      <c r="X28" s="218">
        <v>0.29199999999999998</v>
      </c>
      <c r="Y28" s="218">
        <v>0.27899999999999997</v>
      </c>
      <c r="Z28" s="218">
        <v>0.26599999999999996</v>
      </c>
      <c r="AA28" s="218">
        <v>0.25299999999999995</v>
      </c>
      <c r="AB28" s="218">
        <v>0.24</v>
      </c>
      <c r="AC28" s="218">
        <v>0.2268</v>
      </c>
      <c r="AD28" s="218">
        <v>0.21360000000000001</v>
      </c>
      <c r="AE28" s="218">
        <v>0.20040000000000002</v>
      </c>
      <c r="AF28" s="218">
        <v>0.18720000000000003</v>
      </c>
      <c r="AG28" s="218">
        <v>0.17399999999999999</v>
      </c>
      <c r="AH28" s="218">
        <v>0.16099999999999998</v>
      </c>
      <c r="AI28" s="218">
        <v>0.14799999999999996</v>
      </c>
      <c r="AJ28" s="218">
        <v>0.13499999999999995</v>
      </c>
      <c r="AK28" s="218">
        <v>0.12199999999999996</v>
      </c>
      <c r="AL28" s="218">
        <v>0.109</v>
      </c>
      <c r="AM28" s="623" t="s">
        <v>633</v>
      </c>
    </row>
    <row r="30" spans="2:39">
      <c r="B30" s="570" t="s">
        <v>722</v>
      </c>
      <c r="C30" s="571"/>
      <c r="D30" s="571"/>
      <c r="E30" s="571"/>
    </row>
    <row r="31" spans="2:39">
      <c r="B31" s="170" t="s">
        <v>533</v>
      </c>
      <c r="C31" s="148" t="s">
        <v>723</v>
      </c>
    </row>
    <row r="32" spans="2:39">
      <c r="B32" s="170" t="s">
        <v>555</v>
      </c>
      <c r="C32" s="148" t="s">
        <v>724</v>
      </c>
    </row>
    <row r="33" spans="2:3">
      <c r="B33" s="170" t="s">
        <v>198</v>
      </c>
      <c r="C33" s="148" t="s">
        <v>725</v>
      </c>
    </row>
    <row r="34" spans="2:3">
      <c r="B34" s="170" t="s">
        <v>16</v>
      </c>
      <c r="C34" s="148" t="s">
        <v>726</v>
      </c>
    </row>
    <row r="35" spans="2:3">
      <c r="B35" s="170" t="s">
        <v>727</v>
      </c>
      <c r="C35" s="148" t="s">
        <v>728</v>
      </c>
    </row>
    <row r="36" spans="2:3">
      <c r="B36" s="170" t="s">
        <v>513</v>
      </c>
      <c r="C36" s="148" t="s">
        <v>729</v>
      </c>
    </row>
    <row r="37" spans="2:3">
      <c r="B37" s="170" t="s">
        <v>194</v>
      </c>
      <c r="C37" s="148" t="s">
        <v>730</v>
      </c>
    </row>
  </sheetData>
  <sheetProtection algorithmName="SHA-512" hashValue="dyoeLUJWW0aaCiS0GOG9J+09/Ajv731Qw2WElh+2Cp3HZJQYrTnPvxIq0W3cZ0ISwRCLpIWQn1boVU67ggS9jA==" saltValue="ldnvnfCCJQ7R6PAEaRe1Ew==" spinCount="100000" sheet="1" formatColumns="0"/>
  <mergeCells count="1">
    <mergeCell ref="B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0"/>
  </sheetPr>
  <dimension ref="A1:AM55"/>
  <sheetViews>
    <sheetView zoomScale="80" zoomScaleNormal="80" workbookViewId="0">
      <selection activeCell="B55" sqref="B55:T55"/>
    </sheetView>
  </sheetViews>
  <sheetFormatPr baseColWidth="10" defaultColWidth="0" defaultRowHeight="13" zeroHeight="1"/>
  <cols>
    <col min="1" max="1" width="3.5" style="73" customWidth="1"/>
    <col min="2" max="29" width="11.5" style="73" customWidth="1"/>
    <col min="30" max="39" width="11.5" style="73" hidden="1" customWidth="1"/>
    <col min="40" max="16384" width="11.5" style="73" hidden="1"/>
  </cols>
  <sheetData>
    <row r="1" spans="2:29" s="41" customFormat="1" ht="20" customHeight="1">
      <c r="C1" s="221"/>
      <c r="E1" s="685" t="s">
        <v>38</v>
      </c>
      <c r="F1" s="685"/>
      <c r="G1" s="685"/>
      <c r="H1" s="685"/>
      <c r="I1" s="685"/>
      <c r="J1" s="685"/>
      <c r="K1" s="685"/>
      <c r="L1" s="685"/>
      <c r="M1" s="685"/>
      <c r="N1" s="685"/>
      <c r="O1" s="685"/>
      <c r="P1" s="685"/>
      <c r="Q1" s="685"/>
      <c r="R1" s="685"/>
      <c r="S1" s="685"/>
      <c r="T1" s="685"/>
      <c r="U1" s="685"/>
      <c r="V1" s="685"/>
      <c r="W1" s="685"/>
      <c r="X1" s="685"/>
      <c r="Y1" s="685"/>
      <c r="Z1" s="685"/>
      <c r="AA1" s="685"/>
      <c r="AB1" s="685"/>
      <c r="AC1" s="221"/>
    </row>
    <row r="2" spans="2:29" s="41" customFormat="1" ht="20" customHeight="1">
      <c r="B2" s="221"/>
      <c r="C2" s="221"/>
      <c r="D2" s="221"/>
      <c r="E2" s="685"/>
      <c r="F2" s="685"/>
      <c r="G2" s="685"/>
      <c r="H2" s="685"/>
      <c r="I2" s="685"/>
      <c r="J2" s="685"/>
      <c r="K2" s="685"/>
      <c r="L2" s="685"/>
      <c r="M2" s="685"/>
      <c r="N2" s="685"/>
      <c r="O2" s="685"/>
      <c r="P2" s="685"/>
      <c r="Q2" s="685"/>
      <c r="R2" s="685"/>
      <c r="S2" s="685"/>
      <c r="T2" s="685"/>
      <c r="U2" s="685"/>
      <c r="V2" s="685"/>
      <c r="W2" s="685"/>
      <c r="X2" s="685"/>
      <c r="Y2" s="685"/>
      <c r="Z2" s="685"/>
      <c r="AA2" s="685"/>
      <c r="AB2" s="685"/>
      <c r="AC2" s="221"/>
    </row>
    <row r="3" spans="2:29" s="41" customFormat="1" ht="20" customHeight="1">
      <c r="B3" s="221"/>
      <c r="C3" s="221"/>
      <c r="D3" s="221"/>
      <c r="E3" s="685"/>
      <c r="F3" s="685"/>
      <c r="G3" s="685"/>
      <c r="H3" s="685"/>
      <c r="I3" s="685"/>
      <c r="J3" s="685"/>
      <c r="K3" s="685"/>
      <c r="L3" s="685"/>
      <c r="M3" s="685"/>
      <c r="N3" s="685"/>
      <c r="O3" s="685"/>
      <c r="P3" s="685"/>
      <c r="Q3" s="685"/>
      <c r="R3" s="685"/>
      <c r="S3" s="685"/>
      <c r="T3" s="685"/>
      <c r="U3" s="685"/>
      <c r="V3" s="685"/>
      <c r="W3" s="685"/>
      <c r="X3" s="685"/>
      <c r="Y3" s="685"/>
      <c r="Z3" s="685"/>
      <c r="AA3" s="685"/>
      <c r="AB3" s="685"/>
      <c r="AC3" s="221"/>
    </row>
    <row r="4" spans="2:29" s="41" customFormat="1" ht="20" customHeight="1">
      <c r="B4" s="221"/>
      <c r="C4" s="221"/>
      <c r="D4" s="221"/>
      <c r="E4" s="685"/>
      <c r="F4" s="685"/>
      <c r="G4" s="685"/>
      <c r="H4" s="685"/>
      <c r="I4" s="685"/>
      <c r="J4" s="685"/>
      <c r="K4" s="685"/>
      <c r="L4" s="685"/>
      <c r="M4" s="685"/>
      <c r="N4" s="685"/>
      <c r="O4" s="685"/>
      <c r="P4" s="685"/>
      <c r="Q4" s="685"/>
      <c r="R4" s="685"/>
      <c r="S4" s="685"/>
      <c r="T4" s="685"/>
      <c r="U4" s="685"/>
      <c r="V4" s="685"/>
      <c r="W4" s="685"/>
      <c r="X4" s="685"/>
      <c r="Y4" s="685"/>
      <c r="Z4" s="685"/>
      <c r="AA4" s="685"/>
      <c r="AB4" s="685"/>
      <c r="AC4" s="221"/>
    </row>
    <row r="5" spans="2:29" s="41" customFormat="1" ht="45" customHeight="1">
      <c r="B5" s="221"/>
      <c r="C5" s="221"/>
      <c r="D5" s="221"/>
      <c r="E5" s="685"/>
      <c r="F5" s="685"/>
      <c r="G5" s="685"/>
      <c r="H5" s="685"/>
      <c r="I5" s="685"/>
      <c r="J5" s="685"/>
      <c r="K5" s="685"/>
      <c r="L5" s="685"/>
      <c r="M5" s="685"/>
      <c r="N5" s="685"/>
      <c r="O5" s="685"/>
      <c r="P5" s="685"/>
      <c r="Q5" s="685"/>
      <c r="R5" s="685"/>
      <c r="S5" s="685"/>
      <c r="T5" s="685"/>
      <c r="U5" s="685"/>
      <c r="V5" s="685"/>
      <c r="W5" s="685"/>
      <c r="X5" s="685"/>
      <c r="Y5" s="685"/>
      <c r="Z5" s="685"/>
      <c r="AA5" s="685"/>
      <c r="AB5" s="685"/>
      <c r="AC5" s="221"/>
    </row>
    <row r="6" spans="2:29" s="41" customFormat="1">
      <c r="B6" s="221"/>
      <c r="C6" s="221"/>
      <c r="D6" s="221"/>
      <c r="E6" s="221"/>
      <c r="F6" s="221"/>
      <c r="G6" s="221"/>
      <c r="H6" s="221"/>
      <c r="I6" s="221"/>
      <c r="J6" s="221"/>
      <c r="K6" s="221"/>
      <c r="L6" s="221"/>
      <c r="M6" s="221"/>
      <c r="N6" s="221"/>
      <c r="O6" s="221"/>
      <c r="P6" s="221"/>
      <c r="Q6" s="221"/>
      <c r="R6" s="221"/>
      <c r="S6" s="221"/>
      <c r="T6" s="221"/>
      <c r="U6" s="221"/>
      <c r="V6" s="221"/>
      <c r="W6" s="221"/>
      <c r="X6" s="221"/>
      <c r="Y6" s="221"/>
      <c r="Z6" s="221"/>
      <c r="AA6" s="221"/>
      <c r="AB6" s="221"/>
    </row>
    <row r="7" spans="2:29">
      <c r="B7" s="221"/>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1"/>
    </row>
    <row r="8" spans="2:29" ht="16">
      <c r="B8" s="74"/>
      <c r="C8" s="74"/>
      <c r="D8" s="74"/>
      <c r="E8" s="74"/>
      <c r="F8" s="74"/>
      <c r="G8" s="74"/>
      <c r="H8" s="74"/>
      <c r="I8" s="74"/>
      <c r="J8" s="74"/>
      <c r="K8" s="74"/>
      <c r="L8" s="74"/>
      <c r="M8" s="74"/>
      <c r="N8" s="74"/>
      <c r="O8" s="74"/>
      <c r="P8" s="74"/>
      <c r="Q8" s="74"/>
      <c r="R8" s="74"/>
      <c r="S8" s="74"/>
      <c r="T8" s="74"/>
      <c r="U8" s="74"/>
      <c r="V8" s="74"/>
      <c r="W8" s="74"/>
      <c r="X8" s="74"/>
    </row>
    <row r="9" spans="2:29" ht="25">
      <c r="B9" s="75" t="s">
        <v>39</v>
      </c>
      <c r="C9" s="76"/>
      <c r="D9" s="76"/>
      <c r="E9" s="76"/>
      <c r="F9" s="76"/>
      <c r="G9" s="76"/>
      <c r="H9" s="76"/>
      <c r="I9" s="76"/>
      <c r="J9" s="76"/>
      <c r="K9" s="76"/>
      <c r="L9" s="76"/>
      <c r="M9" s="76"/>
      <c r="N9" s="76"/>
      <c r="O9" s="76"/>
      <c r="P9" s="76"/>
      <c r="Q9" s="76"/>
      <c r="R9" s="76"/>
      <c r="S9" s="76"/>
      <c r="T9" s="76"/>
      <c r="U9" s="76"/>
      <c r="V9" s="76"/>
      <c r="W9" s="76"/>
      <c r="X9" s="76"/>
      <c r="Y9" s="76"/>
      <c r="Z9" s="76"/>
      <c r="AA9" s="76"/>
      <c r="AB9" s="76"/>
    </row>
    <row r="10" spans="2:29">
      <c r="B10" s="77"/>
      <c r="C10" s="77"/>
      <c r="D10" s="77"/>
      <c r="E10" s="77"/>
      <c r="F10" s="77"/>
      <c r="G10" s="77"/>
      <c r="H10" s="77"/>
      <c r="I10" s="77"/>
      <c r="J10" s="77"/>
      <c r="K10" s="77"/>
      <c r="L10" s="77"/>
      <c r="M10" s="77"/>
      <c r="N10" s="77"/>
      <c r="O10" s="77"/>
      <c r="P10" s="77"/>
      <c r="Q10" s="77"/>
      <c r="R10" s="77"/>
      <c r="S10" s="77"/>
      <c r="T10" s="77"/>
      <c r="U10" s="77"/>
      <c r="V10" s="77"/>
      <c r="W10" s="77"/>
      <c r="X10" s="77"/>
    </row>
    <row r="11" spans="2:29" ht="25">
      <c r="B11" s="78" t="s">
        <v>40</v>
      </c>
      <c r="C11" s="79"/>
      <c r="D11" s="79"/>
      <c r="E11" s="79"/>
      <c r="F11" s="79"/>
      <c r="G11" s="79"/>
      <c r="H11" s="79"/>
      <c r="I11" s="79"/>
      <c r="J11" s="79"/>
      <c r="K11" s="79"/>
      <c r="L11" s="79"/>
      <c r="M11" s="79"/>
      <c r="N11" s="79"/>
      <c r="O11" s="79"/>
      <c r="P11" s="79"/>
      <c r="Q11" s="79"/>
      <c r="R11" s="79"/>
      <c r="S11" s="79"/>
      <c r="T11" s="79"/>
      <c r="U11" s="79"/>
      <c r="V11" s="79"/>
      <c r="W11" s="79"/>
      <c r="X11" s="79"/>
    </row>
    <row r="12" spans="2:29" ht="25">
      <c r="B12" s="78"/>
      <c r="C12" s="79"/>
      <c r="D12" s="79"/>
      <c r="E12" s="79"/>
      <c r="F12" s="79"/>
      <c r="G12" s="79"/>
      <c r="H12" s="79"/>
      <c r="I12" s="79"/>
      <c r="J12" s="79"/>
      <c r="K12" s="79"/>
      <c r="L12" s="79"/>
      <c r="M12" s="79"/>
      <c r="N12" s="79"/>
      <c r="O12" s="79"/>
      <c r="P12" s="79"/>
      <c r="Q12" s="79"/>
      <c r="R12" s="79"/>
      <c r="S12" s="79"/>
      <c r="T12" s="79"/>
      <c r="U12" s="79"/>
      <c r="V12" s="79"/>
      <c r="W12" s="79"/>
      <c r="X12" s="79"/>
    </row>
    <row r="13" spans="2:29" ht="16">
      <c r="B13" s="668" t="s">
        <v>41</v>
      </c>
      <c r="C13" s="668"/>
      <c r="D13" s="668"/>
      <c r="E13" s="80"/>
      <c r="F13" s="669" t="s">
        <v>42</v>
      </c>
      <c r="G13" s="669"/>
      <c r="H13" s="669"/>
      <c r="I13" s="80"/>
      <c r="J13" s="670" t="s">
        <v>43</v>
      </c>
      <c r="K13" s="670"/>
      <c r="L13" s="670"/>
      <c r="M13" s="80"/>
      <c r="N13" s="681" t="s">
        <v>44</v>
      </c>
      <c r="O13" s="681"/>
      <c r="P13" s="681"/>
      <c r="Q13" s="80"/>
      <c r="R13" s="682" t="s">
        <v>743</v>
      </c>
      <c r="S13" s="682"/>
      <c r="T13" s="682"/>
      <c r="U13" s="81"/>
      <c r="V13" s="683" t="s">
        <v>744</v>
      </c>
      <c r="W13" s="683"/>
      <c r="X13" s="683"/>
      <c r="Y13" s="81"/>
      <c r="Z13" s="684" t="s">
        <v>745</v>
      </c>
      <c r="AA13" s="684"/>
      <c r="AB13" s="684"/>
    </row>
    <row r="14" spans="2:29" ht="33" customHeight="1">
      <c r="B14" s="668"/>
      <c r="C14" s="668"/>
      <c r="D14" s="668"/>
      <c r="E14" s="80"/>
      <c r="F14" s="669"/>
      <c r="G14" s="669"/>
      <c r="H14" s="669"/>
      <c r="I14" s="80"/>
      <c r="J14" s="670"/>
      <c r="K14" s="670"/>
      <c r="L14" s="670"/>
      <c r="M14" s="80"/>
      <c r="N14" s="681"/>
      <c r="O14" s="681"/>
      <c r="P14" s="681"/>
      <c r="Q14" s="80"/>
      <c r="R14" s="682"/>
      <c r="S14" s="682"/>
      <c r="T14" s="682"/>
      <c r="U14" s="81"/>
      <c r="V14" s="683"/>
      <c r="W14" s="683"/>
      <c r="X14" s="683"/>
      <c r="Y14" s="81"/>
      <c r="Z14" s="684"/>
      <c r="AA14" s="684"/>
      <c r="AB14" s="684"/>
    </row>
    <row r="15" spans="2:29" ht="46.25" customHeight="1">
      <c r="B15" s="675" t="s">
        <v>45</v>
      </c>
      <c r="C15" s="675"/>
      <c r="D15" s="675"/>
      <c r="E15" s="82"/>
      <c r="F15" s="676" t="s">
        <v>747</v>
      </c>
      <c r="G15" s="676"/>
      <c r="H15" s="676"/>
      <c r="I15" s="82"/>
      <c r="J15" s="677" t="s">
        <v>748</v>
      </c>
      <c r="K15" s="677"/>
      <c r="L15" s="677"/>
      <c r="M15" s="82"/>
      <c r="N15" s="678" t="s">
        <v>46</v>
      </c>
      <c r="O15" s="678"/>
      <c r="P15" s="678"/>
      <c r="Q15" s="82"/>
      <c r="R15" s="679" t="s">
        <v>749</v>
      </c>
      <c r="S15" s="679"/>
      <c r="T15" s="679"/>
      <c r="U15" s="83"/>
      <c r="V15" s="680" t="s">
        <v>47</v>
      </c>
      <c r="W15" s="680"/>
      <c r="X15" s="680"/>
      <c r="Y15" s="83"/>
      <c r="Z15" s="673" t="s">
        <v>48</v>
      </c>
      <c r="AA15" s="673"/>
      <c r="AB15" s="673"/>
    </row>
    <row r="16" spans="2:29" ht="46.25" customHeight="1">
      <c r="B16" s="675"/>
      <c r="C16" s="675"/>
      <c r="D16" s="675"/>
      <c r="E16" s="82"/>
      <c r="F16" s="676"/>
      <c r="G16" s="676"/>
      <c r="H16" s="676"/>
      <c r="I16" s="82"/>
      <c r="J16" s="677"/>
      <c r="K16" s="677"/>
      <c r="L16" s="677"/>
      <c r="M16" s="82"/>
      <c r="N16" s="678"/>
      <c r="O16" s="678"/>
      <c r="P16" s="678"/>
      <c r="Q16" s="82"/>
      <c r="R16" s="679"/>
      <c r="S16" s="679"/>
      <c r="T16" s="679"/>
      <c r="U16" s="83"/>
      <c r="V16" s="680"/>
      <c r="W16" s="680"/>
      <c r="X16" s="680"/>
      <c r="Y16" s="83"/>
      <c r="Z16" s="673"/>
      <c r="AA16" s="673"/>
      <c r="AB16" s="673"/>
    </row>
    <row r="17" spans="2:28" ht="46.25" customHeight="1">
      <c r="B17" s="675"/>
      <c r="C17" s="675"/>
      <c r="D17" s="675"/>
      <c r="E17" s="82"/>
      <c r="F17" s="676"/>
      <c r="G17" s="676"/>
      <c r="H17" s="676"/>
      <c r="I17" s="82"/>
      <c r="J17" s="677"/>
      <c r="K17" s="677"/>
      <c r="L17" s="677"/>
      <c r="M17" s="82"/>
      <c r="N17" s="678"/>
      <c r="O17" s="678"/>
      <c r="P17" s="678"/>
      <c r="Q17" s="82"/>
      <c r="R17" s="679"/>
      <c r="S17" s="679"/>
      <c r="T17" s="679"/>
      <c r="U17" s="83"/>
      <c r="V17" s="680"/>
      <c r="W17" s="680"/>
      <c r="X17" s="680"/>
      <c r="Y17" s="83"/>
      <c r="Z17" s="673"/>
      <c r="AA17" s="673"/>
      <c r="AB17" s="673"/>
    </row>
    <row r="18" spans="2:28" ht="46.25" customHeight="1">
      <c r="B18" s="675"/>
      <c r="C18" s="675"/>
      <c r="D18" s="675"/>
      <c r="E18" s="82"/>
      <c r="F18" s="676"/>
      <c r="G18" s="676"/>
      <c r="H18" s="676"/>
      <c r="I18" s="82"/>
      <c r="J18" s="677"/>
      <c r="K18" s="677"/>
      <c r="L18" s="677"/>
      <c r="M18" s="82"/>
      <c r="N18" s="678"/>
      <c r="O18" s="678"/>
      <c r="P18" s="678"/>
      <c r="Q18" s="82"/>
      <c r="R18" s="679"/>
      <c r="S18" s="679"/>
      <c r="T18" s="679"/>
      <c r="U18" s="83"/>
      <c r="V18" s="680"/>
      <c r="W18" s="680"/>
      <c r="X18" s="680"/>
      <c r="Y18" s="83"/>
      <c r="Z18" s="673"/>
      <c r="AA18" s="673"/>
      <c r="AB18" s="673"/>
    </row>
    <row r="19" spans="2:28" ht="64" customHeight="1">
      <c r="B19" s="675"/>
      <c r="C19" s="675"/>
      <c r="D19" s="675"/>
      <c r="E19" s="43"/>
      <c r="F19" s="676"/>
      <c r="G19" s="676"/>
      <c r="H19" s="676"/>
      <c r="I19" s="43"/>
      <c r="J19" s="677"/>
      <c r="K19" s="677"/>
      <c r="L19" s="677"/>
      <c r="M19" s="43"/>
      <c r="N19" s="678"/>
      <c r="O19" s="678"/>
      <c r="P19" s="678"/>
      <c r="Q19" s="43"/>
      <c r="R19" s="679"/>
      <c r="S19" s="679"/>
      <c r="T19" s="679"/>
      <c r="U19" s="83"/>
      <c r="V19" s="680"/>
      <c r="W19" s="680"/>
      <c r="X19" s="680"/>
      <c r="Y19" s="83"/>
      <c r="Z19" s="673"/>
      <c r="AA19" s="673"/>
      <c r="AB19" s="673"/>
    </row>
    <row r="20" spans="2:28" ht="14">
      <c r="C20" s="43"/>
      <c r="D20" s="43"/>
      <c r="E20" s="43"/>
      <c r="F20" s="43"/>
      <c r="G20" s="43"/>
      <c r="H20" s="43"/>
      <c r="I20" s="43"/>
      <c r="J20" s="43"/>
      <c r="K20" s="43"/>
      <c r="L20" s="43"/>
      <c r="M20" s="43"/>
      <c r="N20" s="43"/>
      <c r="O20" s="43"/>
      <c r="P20" s="43"/>
      <c r="Q20" s="43"/>
      <c r="R20" s="43"/>
      <c r="S20" s="43"/>
      <c r="T20" s="43"/>
      <c r="U20" s="43"/>
      <c r="V20" s="43"/>
      <c r="W20" s="43"/>
      <c r="X20" s="43"/>
    </row>
    <row r="21" spans="2:28" ht="25">
      <c r="B21" s="84" t="s">
        <v>49</v>
      </c>
      <c r="C21" s="43"/>
      <c r="D21" s="43"/>
      <c r="E21" s="43"/>
      <c r="F21" s="43"/>
      <c r="G21" s="43"/>
      <c r="H21" s="43"/>
      <c r="I21" s="43"/>
      <c r="J21" s="43"/>
      <c r="K21" s="43"/>
      <c r="L21" s="43"/>
      <c r="M21" s="43"/>
      <c r="N21" s="43"/>
      <c r="O21" s="43"/>
      <c r="P21" s="43"/>
    </row>
    <row r="22" spans="2:28" ht="25">
      <c r="B22" s="85"/>
      <c r="C22" s="86"/>
      <c r="D22" s="86"/>
      <c r="E22" s="86"/>
      <c r="F22" s="86"/>
      <c r="G22" s="86"/>
      <c r="H22" s="86"/>
      <c r="I22" s="86"/>
      <c r="J22" s="86"/>
      <c r="K22" s="86"/>
      <c r="L22" s="86"/>
      <c r="M22" s="86"/>
      <c r="N22" s="86"/>
      <c r="O22" s="86"/>
      <c r="P22" s="86"/>
      <c r="Q22" s="87"/>
      <c r="R22" s="87"/>
      <c r="S22" s="87"/>
      <c r="T22" s="87"/>
      <c r="U22" s="87"/>
      <c r="V22" s="87"/>
      <c r="W22" s="87"/>
      <c r="X22" s="87"/>
      <c r="Y22" s="87"/>
      <c r="Z22" s="87"/>
      <c r="AA22" s="87"/>
      <c r="AB22" s="87"/>
    </row>
    <row r="23" spans="2:28" ht="16">
      <c r="B23" s="88">
        <v>1</v>
      </c>
      <c r="C23" s="674" t="s">
        <v>50</v>
      </c>
      <c r="D23" s="674"/>
      <c r="E23" s="674"/>
      <c r="F23" s="674"/>
      <c r="G23" s="674"/>
      <c r="H23" s="674"/>
      <c r="I23" s="674"/>
      <c r="J23" s="674"/>
      <c r="K23" s="674"/>
      <c r="L23" s="674"/>
      <c r="M23" s="674"/>
      <c r="N23" s="674"/>
      <c r="O23" s="674"/>
      <c r="P23" s="674"/>
      <c r="Q23" s="674"/>
      <c r="R23" s="674"/>
      <c r="S23" s="674"/>
      <c r="T23" s="674"/>
      <c r="U23" s="674"/>
      <c r="V23" s="674"/>
      <c r="W23" s="674"/>
      <c r="X23" s="44"/>
      <c r="Y23" s="87"/>
      <c r="Z23" s="87"/>
      <c r="AA23" s="87"/>
      <c r="AB23" s="87"/>
    </row>
    <row r="24" spans="2:28" ht="16">
      <c r="B24" s="88">
        <v>2</v>
      </c>
      <c r="C24" s="674" t="s">
        <v>746</v>
      </c>
      <c r="D24" s="674"/>
      <c r="E24" s="674"/>
      <c r="F24" s="674"/>
      <c r="G24" s="674"/>
      <c r="H24" s="674"/>
      <c r="I24" s="674"/>
      <c r="J24" s="674"/>
      <c r="K24" s="674"/>
      <c r="L24" s="674"/>
      <c r="M24" s="674"/>
      <c r="N24" s="674"/>
      <c r="O24" s="674"/>
      <c r="P24" s="674"/>
      <c r="Q24" s="674"/>
      <c r="R24" s="674"/>
      <c r="S24" s="674"/>
      <c r="T24" s="674"/>
      <c r="U24" s="674"/>
      <c r="V24" s="674"/>
      <c r="W24" s="674"/>
      <c r="X24" s="44"/>
      <c r="Y24" s="87"/>
      <c r="Z24" s="87"/>
      <c r="AA24" s="87"/>
      <c r="AB24" s="87"/>
    </row>
    <row r="25" spans="2:28" ht="16">
      <c r="B25" s="88">
        <v>3</v>
      </c>
      <c r="C25" s="674" t="s">
        <v>51</v>
      </c>
      <c r="D25" s="674"/>
      <c r="E25" s="674"/>
      <c r="F25" s="674"/>
      <c r="G25" s="674"/>
      <c r="H25" s="674"/>
      <c r="I25" s="674"/>
      <c r="J25" s="674"/>
      <c r="K25" s="674"/>
      <c r="L25" s="674"/>
      <c r="M25" s="674"/>
      <c r="N25" s="674"/>
      <c r="O25" s="674"/>
      <c r="P25" s="674"/>
      <c r="Q25" s="674"/>
      <c r="R25" s="674"/>
      <c r="S25" s="674"/>
      <c r="T25" s="674"/>
      <c r="U25" s="674"/>
      <c r="V25" s="674"/>
      <c r="W25" s="674"/>
      <c r="X25" s="44"/>
      <c r="Y25" s="87"/>
      <c r="Z25" s="87"/>
      <c r="AA25" s="87"/>
      <c r="AB25" s="87"/>
    </row>
    <row r="26" spans="2:28" ht="16">
      <c r="B26" s="88">
        <v>4</v>
      </c>
      <c r="C26" s="674" t="s">
        <v>52</v>
      </c>
      <c r="D26" s="674"/>
      <c r="E26" s="674"/>
      <c r="F26" s="674"/>
      <c r="G26" s="674"/>
      <c r="H26" s="674"/>
      <c r="I26" s="674"/>
      <c r="J26" s="674"/>
      <c r="K26" s="674"/>
      <c r="L26" s="674"/>
      <c r="M26" s="674"/>
      <c r="N26" s="674"/>
      <c r="O26" s="674"/>
      <c r="P26" s="674"/>
      <c r="Q26" s="674"/>
      <c r="R26" s="674"/>
      <c r="S26" s="674"/>
      <c r="T26" s="674"/>
      <c r="U26" s="674"/>
      <c r="V26" s="674"/>
      <c r="W26" s="674"/>
      <c r="X26" s="44"/>
      <c r="Y26" s="87"/>
      <c r="Z26" s="87"/>
      <c r="AA26" s="87"/>
      <c r="AB26" s="87"/>
    </row>
    <row r="27" spans="2:28" ht="14">
      <c r="B27" s="87"/>
      <c r="C27" s="87"/>
      <c r="D27" s="87"/>
      <c r="E27" s="87"/>
      <c r="F27" s="87"/>
      <c r="G27" s="87"/>
      <c r="H27" s="87"/>
      <c r="I27" s="87"/>
      <c r="J27" s="87"/>
      <c r="K27" s="87"/>
      <c r="L27" s="87"/>
      <c r="M27" s="87"/>
      <c r="N27" s="87"/>
      <c r="O27" s="87"/>
      <c r="P27" s="87"/>
      <c r="Q27" s="86"/>
      <c r="R27" s="86"/>
      <c r="S27" s="86"/>
      <c r="T27" s="86"/>
      <c r="U27" s="86"/>
      <c r="V27" s="86"/>
      <c r="W27" s="86"/>
      <c r="X27" s="86"/>
      <c r="Y27" s="87"/>
      <c r="Z27" s="87"/>
      <c r="AA27" s="87"/>
      <c r="AB27" s="87"/>
    </row>
    <row r="28" spans="2:28" ht="14">
      <c r="Q28" s="43"/>
      <c r="R28" s="43"/>
      <c r="S28" s="43"/>
      <c r="T28" s="43"/>
      <c r="U28" s="43"/>
      <c r="V28" s="43"/>
      <c r="W28" s="43"/>
      <c r="X28" s="43"/>
    </row>
    <row r="29" spans="2:28" ht="25">
      <c r="B29" s="89" t="s">
        <v>53</v>
      </c>
      <c r="C29" s="43"/>
      <c r="D29" s="43"/>
      <c r="E29" s="43"/>
      <c r="F29" s="43"/>
      <c r="G29" s="43"/>
      <c r="H29" s="43"/>
      <c r="I29" s="43"/>
      <c r="J29" s="43"/>
      <c r="K29" s="43"/>
      <c r="L29" s="43"/>
      <c r="M29" s="43"/>
      <c r="N29" s="43"/>
      <c r="O29" s="43"/>
      <c r="P29" s="43"/>
    </row>
    <row r="30" spans="2:28" ht="25">
      <c r="B30" s="90"/>
      <c r="C30" s="91"/>
      <c r="D30" s="91"/>
      <c r="E30" s="91"/>
      <c r="F30" s="91"/>
      <c r="G30" s="91"/>
      <c r="H30" s="91"/>
      <c r="I30" s="91"/>
      <c r="J30" s="91"/>
      <c r="K30" s="91"/>
      <c r="L30" s="91"/>
      <c r="M30" s="91"/>
      <c r="N30" s="91"/>
      <c r="O30" s="91"/>
      <c r="P30" s="91"/>
      <c r="Q30" s="92"/>
      <c r="R30" s="92"/>
      <c r="S30" s="92"/>
      <c r="T30" s="92"/>
      <c r="U30" s="92"/>
      <c r="V30" s="92"/>
      <c r="W30" s="92"/>
      <c r="X30" s="92"/>
      <c r="Y30" s="92"/>
      <c r="Z30" s="92"/>
      <c r="AA30" s="92"/>
      <c r="AB30" s="92"/>
    </row>
    <row r="31" spans="2:28" ht="16">
      <c r="B31" s="93">
        <v>1</v>
      </c>
      <c r="C31" s="672" t="s">
        <v>54</v>
      </c>
      <c r="D31" s="672"/>
      <c r="E31" s="672"/>
      <c r="F31" s="672"/>
      <c r="G31" s="672"/>
      <c r="H31" s="672"/>
      <c r="I31" s="672"/>
      <c r="J31" s="672"/>
      <c r="K31" s="672"/>
      <c r="L31" s="672"/>
      <c r="M31" s="672"/>
      <c r="N31" s="672"/>
      <c r="O31" s="672"/>
      <c r="P31" s="672"/>
      <c r="Q31" s="672"/>
      <c r="R31" s="672"/>
      <c r="S31" s="672"/>
      <c r="T31" s="672"/>
      <c r="U31" s="672"/>
      <c r="V31" s="672"/>
      <c r="W31" s="672"/>
      <c r="X31" s="45"/>
      <c r="Y31" s="92"/>
      <c r="Z31" s="92"/>
      <c r="AA31" s="92"/>
      <c r="AB31" s="92"/>
    </row>
    <row r="32" spans="2:28" ht="19" customHeight="1">
      <c r="B32" s="93">
        <v>2</v>
      </c>
      <c r="C32" s="672" t="s">
        <v>750</v>
      </c>
      <c r="D32" s="672"/>
      <c r="E32" s="672"/>
      <c r="F32" s="672"/>
      <c r="G32" s="672"/>
      <c r="H32" s="672"/>
      <c r="I32" s="672"/>
      <c r="J32" s="672"/>
      <c r="K32" s="672"/>
      <c r="L32" s="672"/>
      <c r="M32" s="672"/>
      <c r="N32" s="672"/>
      <c r="O32" s="672"/>
      <c r="P32" s="672"/>
      <c r="Q32" s="672"/>
      <c r="R32" s="672"/>
      <c r="S32" s="672"/>
      <c r="T32" s="672"/>
      <c r="U32" s="672"/>
      <c r="V32" s="672"/>
      <c r="W32" s="672"/>
      <c r="X32" s="672"/>
      <c r="Y32" s="92"/>
      <c r="Z32" s="92"/>
      <c r="AA32" s="92"/>
      <c r="AB32" s="92"/>
    </row>
    <row r="33" spans="2:28" ht="21" customHeight="1">
      <c r="B33" s="93">
        <v>3</v>
      </c>
      <c r="C33" s="672" t="s">
        <v>751</v>
      </c>
      <c r="D33" s="672"/>
      <c r="E33" s="672"/>
      <c r="F33" s="672"/>
      <c r="G33" s="672"/>
      <c r="H33" s="672"/>
      <c r="I33" s="672"/>
      <c r="J33" s="672"/>
      <c r="K33" s="672"/>
      <c r="L33" s="672"/>
      <c r="M33" s="672"/>
      <c r="N33" s="672"/>
      <c r="O33" s="672"/>
      <c r="P33" s="672"/>
      <c r="Q33" s="672"/>
      <c r="R33" s="672"/>
      <c r="S33" s="672"/>
      <c r="T33" s="672"/>
      <c r="U33" s="672"/>
      <c r="V33" s="672"/>
      <c r="W33" s="672"/>
      <c r="X33" s="672"/>
      <c r="Y33" s="92"/>
      <c r="Z33" s="92"/>
      <c r="AA33" s="92"/>
      <c r="AB33" s="92"/>
    </row>
    <row r="34" spans="2:28" ht="16">
      <c r="B34" s="93">
        <v>4</v>
      </c>
      <c r="C34" s="672" t="s">
        <v>55</v>
      </c>
      <c r="D34" s="672"/>
      <c r="E34" s="672"/>
      <c r="F34" s="672"/>
      <c r="G34" s="672"/>
      <c r="H34" s="672"/>
      <c r="I34" s="672"/>
      <c r="J34" s="672"/>
      <c r="K34" s="672"/>
      <c r="L34" s="672"/>
      <c r="M34" s="672"/>
      <c r="N34" s="672"/>
      <c r="O34" s="672"/>
      <c r="P34" s="672"/>
      <c r="Q34" s="672"/>
      <c r="R34" s="672"/>
      <c r="S34" s="672"/>
      <c r="T34" s="672"/>
      <c r="U34" s="672"/>
      <c r="V34" s="672"/>
      <c r="W34" s="672"/>
      <c r="X34" s="45"/>
      <c r="Y34" s="92"/>
      <c r="Z34" s="92"/>
      <c r="AA34" s="92"/>
      <c r="AB34" s="92"/>
    </row>
    <row r="35" spans="2:28" ht="16">
      <c r="B35" s="93">
        <v>5</v>
      </c>
      <c r="C35" s="672" t="s">
        <v>752</v>
      </c>
      <c r="D35" s="672"/>
      <c r="E35" s="672"/>
      <c r="F35" s="672"/>
      <c r="G35" s="672"/>
      <c r="H35" s="672"/>
      <c r="I35" s="672"/>
      <c r="J35" s="672"/>
      <c r="K35" s="672"/>
      <c r="L35" s="672"/>
      <c r="M35" s="672"/>
      <c r="N35" s="672"/>
      <c r="O35" s="672"/>
      <c r="P35" s="672"/>
      <c r="Q35" s="672"/>
      <c r="R35" s="672"/>
      <c r="S35" s="672"/>
      <c r="T35" s="672"/>
      <c r="U35" s="672"/>
      <c r="V35" s="672"/>
      <c r="W35" s="672"/>
      <c r="X35" s="45"/>
      <c r="Y35" s="92"/>
      <c r="Z35" s="92"/>
      <c r="AA35" s="92"/>
      <c r="AB35" s="92"/>
    </row>
    <row r="36" spans="2:28" ht="16">
      <c r="B36" s="93">
        <v>6</v>
      </c>
      <c r="C36" s="672" t="s">
        <v>56</v>
      </c>
      <c r="D36" s="672"/>
      <c r="E36" s="672"/>
      <c r="F36" s="672"/>
      <c r="G36" s="672"/>
      <c r="H36" s="672"/>
      <c r="I36" s="672"/>
      <c r="J36" s="672"/>
      <c r="K36" s="672"/>
      <c r="L36" s="672"/>
      <c r="M36" s="672"/>
      <c r="N36" s="672"/>
      <c r="O36" s="672"/>
      <c r="P36" s="672"/>
      <c r="Q36" s="672"/>
      <c r="R36" s="672"/>
      <c r="S36" s="672"/>
      <c r="T36" s="672"/>
      <c r="U36" s="672"/>
      <c r="V36" s="672"/>
      <c r="W36" s="672"/>
      <c r="X36" s="45"/>
      <c r="Y36" s="92"/>
      <c r="Z36" s="92"/>
      <c r="AA36" s="92"/>
      <c r="AB36" s="92"/>
    </row>
    <row r="37" spans="2:28" ht="14">
      <c r="B37" s="92"/>
      <c r="C37" s="92"/>
      <c r="D37" s="92"/>
      <c r="E37" s="92"/>
      <c r="F37" s="92"/>
      <c r="G37" s="92"/>
      <c r="H37" s="92"/>
      <c r="I37" s="92"/>
      <c r="J37" s="92"/>
      <c r="K37" s="92"/>
      <c r="L37" s="92"/>
      <c r="M37" s="92"/>
      <c r="N37" s="92"/>
      <c r="O37" s="92"/>
      <c r="P37" s="92"/>
      <c r="Q37" s="91"/>
      <c r="R37" s="91"/>
      <c r="S37" s="91"/>
      <c r="T37" s="91"/>
      <c r="U37" s="91"/>
      <c r="V37" s="91"/>
      <c r="W37" s="91"/>
      <c r="X37" s="91"/>
      <c r="Y37" s="92"/>
      <c r="Z37" s="92"/>
      <c r="AA37" s="92"/>
      <c r="AB37" s="92"/>
    </row>
    <row r="38" spans="2:28" ht="14">
      <c r="Q38" s="43"/>
      <c r="R38" s="43"/>
      <c r="S38" s="43"/>
      <c r="T38" s="43"/>
      <c r="U38" s="43"/>
      <c r="V38" s="43"/>
      <c r="W38" s="43"/>
      <c r="X38" s="43"/>
    </row>
    <row r="39" spans="2:28" ht="25">
      <c r="B39" s="78" t="s">
        <v>57</v>
      </c>
      <c r="C39" s="43"/>
      <c r="D39" s="43"/>
      <c r="E39" s="43"/>
      <c r="F39" s="43"/>
      <c r="G39" s="43"/>
      <c r="H39" s="43"/>
      <c r="I39" s="43"/>
      <c r="J39" s="43"/>
      <c r="K39" s="43"/>
      <c r="L39" s="43"/>
      <c r="M39" s="43"/>
      <c r="N39" s="43"/>
      <c r="O39" s="43"/>
      <c r="P39" s="43"/>
    </row>
    <row r="40" spans="2:28" ht="16" customHeight="1">
      <c r="B40" s="94"/>
      <c r="C40" s="95"/>
      <c r="D40" s="95"/>
      <c r="E40" s="95"/>
      <c r="F40" s="95"/>
      <c r="G40" s="95"/>
      <c r="H40" s="95"/>
      <c r="I40" s="95"/>
      <c r="J40" s="95"/>
      <c r="K40" s="95"/>
      <c r="L40" s="95"/>
      <c r="M40" s="95"/>
      <c r="N40" s="95"/>
      <c r="O40" s="95"/>
      <c r="P40" s="95"/>
      <c r="Q40" s="96"/>
      <c r="R40" s="96"/>
      <c r="S40" s="96"/>
      <c r="T40" s="96"/>
      <c r="U40" s="96"/>
      <c r="V40" s="96"/>
      <c r="W40" s="96"/>
      <c r="X40" s="96"/>
      <c r="Y40" s="96"/>
      <c r="Z40" s="96"/>
      <c r="AA40" s="96"/>
      <c r="AB40" s="96"/>
    </row>
    <row r="41" spans="2:28" ht="19" customHeight="1">
      <c r="B41" s="97"/>
      <c r="C41" s="671" t="s">
        <v>789</v>
      </c>
      <c r="D41" s="671"/>
      <c r="E41" s="671"/>
      <c r="F41" s="671"/>
      <c r="G41" s="671"/>
      <c r="H41" s="671"/>
      <c r="I41" s="671"/>
      <c r="J41" s="671"/>
      <c r="K41" s="671"/>
      <c r="L41" s="671"/>
      <c r="M41" s="671"/>
      <c r="N41" s="671"/>
      <c r="O41" s="671"/>
      <c r="P41" s="671"/>
      <c r="Q41" s="671"/>
      <c r="R41" s="671"/>
      <c r="S41" s="671"/>
      <c r="T41" s="671"/>
      <c r="U41" s="671"/>
      <c r="V41" s="671"/>
      <c r="W41" s="671"/>
      <c r="X41" s="46"/>
      <c r="Y41" s="96"/>
      <c r="Z41" s="96"/>
      <c r="AA41" s="96"/>
      <c r="AB41" s="96"/>
    </row>
    <row r="42" spans="2:28" ht="16">
      <c r="B42" s="97">
        <v>1</v>
      </c>
      <c r="C42" s="671" t="s">
        <v>58</v>
      </c>
      <c r="D42" s="671"/>
      <c r="E42" s="671"/>
      <c r="F42" s="671"/>
      <c r="G42" s="671"/>
      <c r="H42" s="671"/>
      <c r="I42" s="671"/>
      <c r="J42" s="671"/>
      <c r="K42" s="671"/>
      <c r="L42" s="671"/>
      <c r="M42" s="671"/>
      <c r="N42" s="671"/>
      <c r="O42" s="671"/>
      <c r="P42" s="671"/>
      <c r="Q42" s="671"/>
      <c r="R42" s="671"/>
      <c r="S42" s="671"/>
      <c r="T42" s="671"/>
      <c r="U42" s="671"/>
      <c r="V42" s="671"/>
      <c r="W42" s="671"/>
      <c r="X42" s="46"/>
      <c r="Y42" s="96"/>
      <c r="Z42" s="96"/>
      <c r="AA42" s="96"/>
      <c r="AB42" s="96"/>
    </row>
    <row r="43" spans="2:28" ht="16">
      <c r="B43" s="97">
        <v>2</v>
      </c>
      <c r="C43" s="671" t="s">
        <v>59</v>
      </c>
      <c r="D43" s="671"/>
      <c r="E43" s="671"/>
      <c r="F43" s="671"/>
      <c r="G43" s="671"/>
      <c r="H43" s="671"/>
      <c r="I43" s="671"/>
      <c r="J43" s="671"/>
      <c r="K43" s="671"/>
      <c r="L43" s="671"/>
      <c r="M43" s="671"/>
      <c r="N43" s="671"/>
      <c r="O43" s="671"/>
      <c r="P43" s="671"/>
      <c r="Q43" s="671"/>
      <c r="R43" s="671"/>
      <c r="S43" s="671"/>
      <c r="T43" s="671"/>
      <c r="U43" s="671"/>
      <c r="V43" s="671"/>
      <c r="W43" s="671"/>
      <c r="X43" s="46"/>
      <c r="Y43" s="96"/>
      <c r="Z43" s="96"/>
      <c r="AA43" s="96"/>
      <c r="AB43" s="96"/>
    </row>
    <row r="44" spans="2:28" ht="16">
      <c r="B44" s="97">
        <v>3</v>
      </c>
      <c r="C44" s="671" t="s">
        <v>60</v>
      </c>
      <c r="D44" s="671"/>
      <c r="E44" s="671"/>
      <c r="F44" s="671"/>
      <c r="G44" s="671"/>
      <c r="H44" s="671"/>
      <c r="I44" s="671"/>
      <c r="J44" s="671"/>
      <c r="K44" s="671"/>
      <c r="L44" s="671"/>
      <c r="M44" s="671"/>
      <c r="N44" s="671"/>
      <c r="O44" s="671"/>
      <c r="P44" s="671"/>
      <c r="Q44" s="671"/>
      <c r="R44" s="671"/>
      <c r="S44" s="671"/>
      <c r="T44" s="671"/>
      <c r="U44" s="671"/>
      <c r="V44" s="671"/>
      <c r="W44" s="671"/>
      <c r="X44" s="46"/>
      <c r="Y44" s="96"/>
      <c r="Z44" s="96"/>
      <c r="AA44" s="96"/>
      <c r="AB44" s="96"/>
    </row>
    <row r="45" spans="2:28" ht="16">
      <c r="B45" s="97">
        <v>4</v>
      </c>
      <c r="C45" s="671" t="s">
        <v>61</v>
      </c>
      <c r="D45" s="671"/>
      <c r="E45" s="671"/>
      <c r="F45" s="671"/>
      <c r="G45" s="671"/>
      <c r="H45" s="671"/>
      <c r="I45" s="671"/>
      <c r="J45" s="671"/>
      <c r="K45" s="671"/>
      <c r="L45" s="671"/>
      <c r="M45" s="671"/>
      <c r="N45" s="671"/>
      <c r="O45" s="671"/>
      <c r="P45" s="671"/>
      <c r="Q45" s="671"/>
      <c r="R45" s="671"/>
      <c r="S45" s="671"/>
      <c r="T45" s="671"/>
      <c r="U45" s="671"/>
      <c r="V45" s="671"/>
      <c r="W45" s="671"/>
      <c r="X45" s="46"/>
      <c r="Y45" s="96"/>
      <c r="Z45" s="96"/>
      <c r="AA45" s="96"/>
      <c r="AB45" s="96"/>
    </row>
    <row r="46" spans="2:28" ht="16">
      <c r="B46" s="97">
        <v>5</v>
      </c>
      <c r="C46" s="671" t="s">
        <v>62</v>
      </c>
      <c r="D46" s="671"/>
      <c r="E46" s="671"/>
      <c r="F46" s="671"/>
      <c r="G46" s="671"/>
      <c r="H46" s="671"/>
      <c r="I46" s="671"/>
      <c r="J46" s="671"/>
      <c r="K46" s="671"/>
      <c r="L46" s="671"/>
      <c r="M46" s="671"/>
      <c r="N46" s="671"/>
      <c r="O46" s="671"/>
      <c r="P46" s="671"/>
      <c r="Q46" s="671"/>
      <c r="R46" s="671"/>
      <c r="S46" s="671"/>
      <c r="T46" s="671"/>
      <c r="U46" s="671"/>
      <c r="V46" s="671"/>
      <c r="W46" s="671"/>
      <c r="X46" s="46"/>
      <c r="Y46" s="96"/>
      <c r="Z46" s="96"/>
      <c r="AA46" s="96"/>
      <c r="AB46" s="96"/>
    </row>
    <row r="47" spans="2:28" ht="16">
      <c r="B47" s="97">
        <v>6</v>
      </c>
      <c r="C47" s="671" t="s">
        <v>63</v>
      </c>
      <c r="D47" s="671"/>
      <c r="E47" s="671"/>
      <c r="F47" s="671"/>
      <c r="G47" s="671"/>
      <c r="H47" s="671"/>
      <c r="I47" s="671"/>
      <c r="J47" s="671"/>
      <c r="K47" s="671"/>
      <c r="L47" s="671"/>
      <c r="M47" s="671"/>
      <c r="N47" s="671"/>
      <c r="O47" s="671"/>
      <c r="P47" s="671"/>
      <c r="Q47" s="671"/>
      <c r="R47" s="671"/>
      <c r="S47" s="671"/>
      <c r="T47" s="671"/>
      <c r="U47" s="671"/>
      <c r="V47" s="671"/>
      <c r="W47" s="671"/>
      <c r="X47" s="671"/>
      <c r="Y47" s="96"/>
      <c r="Z47" s="96"/>
      <c r="AA47" s="96"/>
      <c r="AB47" s="96"/>
    </row>
    <row r="48" spans="2:28" ht="14">
      <c r="B48" s="96"/>
      <c r="C48" s="96"/>
      <c r="D48" s="96"/>
      <c r="E48" s="96"/>
      <c r="F48" s="96"/>
      <c r="G48" s="96"/>
      <c r="H48" s="96"/>
      <c r="I48" s="96"/>
      <c r="J48" s="96"/>
      <c r="K48" s="96"/>
      <c r="L48" s="96"/>
      <c r="M48" s="96"/>
      <c r="N48" s="96"/>
      <c r="O48" s="96"/>
      <c r="P48" s="96"/>
      <c r="Q48" s="95"/>
      <c r="R48" s="95"/>
      <c r="S48" s="95"/>
      <c r="T48" s="95"/>
      <c r="U48" s="95"/>
      <c r="V48" s="95"/>
      <c r="W48" s="95"/>
      <c r="X48" s="95"/>
      <c r="Y48" s="96"/>
      <c r="Z48" s="96"/>
      <c r="AA48" s="96"/>
      <c r="AB48" s="96"/>
    </row>
    <row r="49" spans="2:39" ht="20">
      <c r="C49" s="98"/>
      <c r="D49" s="98"/>
      <c r="E49" s="98"/>
      <c r="F49" s="98"/>
      <c r="G49" s="98"/>
      <c r="H49" s="98"/>
      <c r="I49" s="98"/>
      <c r="J49" s="98"/>
      <c r="K49" s="98"/>
      <c r="L49" s="98"/>
      <c r="M49" s="98"/>
      <c r="N49" s="98"/>
      <c r="O49" s="98"/>
      <c r="P49" s="98"/>
      <c r="Q49" s="98"/>
      <c r="R49" s="98"/>
      <c r="S49" s="98"/>
      <c r="T49" s="98"/>
      <c r="U49" s="98"/>
      <c r="V49" s="98"/>
      <c r="W49" s="98"/>
      <c r="X49" s="98"/>
    </row>
    <row r="50" spans="2:39" ht="25">
      <c r="B50" s="99" t="s">
        <v>64</v>
      </c>
      <c r="C50" s="78"/>
      <c r="D50" s="100"/>
      <c r="E50" s="98"/>
      <c r="F50" s="98"/>
      <c r="G50" s="98"/>
      <c r="H50" s="98"/>
      <c r="I50" s="98"/>
      <c r="J50" s="98"/>
      <c r="K50" s="98"/>
      <c r="L50" s="98"/>
      <c r="M50" s="98"/>
      <c r="N50" s="98"/>
      <c r="O50" s="98"/>
      <c r="P50" s="98"/>
      <c r="Q50" s="98"/>
      <c r="R50" s="98"/>
      <c r="S50" s="98"/>
      <c r="T50" s="98"/>
      <c r="U50" s="98"/>
      <c r="V50" s="98"/>
      <c r="W50" s="98"/>
      <c r="X50" s="98"/>
    </row>
    <row r="51" spans="2:39" ht="17" thickBot="1">
      <c r="B51" s="666" t="s">
        <v>6</v>
      </c>
      <c r="C51" s="666"/>
      <c r="D51" s="666"/>
      <c r="E51" s="666"/>
      <c r="F51" s="666"/>
      <c r="G51" s="666"/>
      <c r="H51" s="666"/>
      <c r="I51" s="666"/>
      <c r="J51" s="666"/>
      <c r="K51" s="666"/>
      <c r="L51" s="666"/>
      <c r="M51" s="666"/>
      <c r="N51" s="666"/>
      <c r="O51" s="666"/>
      <c r="P51" s="666"/>
      <c r="Q51" s="666"/>
      <c r="R51" s="666"/>
      <c r="S51" s="666"/>
      <c r="T51" s="666"/>
      <c r="U51" s="102"/>
      <c r="V51" s="102"/>
      <c r="W51" s="102"/>
      <c r="X51" s="102"/>
      <c r="Y51" s="102"/>
      <c r="Z51" s="102"/>
      <c r="AA51" s="102"/>
      <c r="AB51" s="102"/>
      <c r="AC51" s="105"/>
      <c r="AD51" s="105"/>
      <c r="AE51" s="105"/>
      <c r="AF51" s="105"/>
      <c r="AG51" s="105"/>
      <c r="AH51" s="105"/>
      <c r="AI51" s="105"/>
      <c r="AJ51" s="105"/>
      <c r="AK51" s="105"/>
      <c r="AL51" s="105"/>
      <c r="AM51" s="105"/>
    </row>
    <row r="52" spans="2:39" ht="18" thickTop="1" thickBot="1">
      <c r="B52" s="666" t="s">
        <v>7</v>
      </c>
      <c r="C52" s="666"/>
      <c r="D52" s="666"/>
      <c r="E52" s="666"/>
      <c r="F52" s="666"/>
      <c r="G52" s="666"/>
      <c r="H52" s="666"/>
      <c r="I52" s="666"/>
      <c r="J52" s="666"/>
      <c r="K52" s="666"/>
      <c r="L52" s="666"/>
      <c r="M52" s="666"/>
      <c r="N52" s="666"/>
      <c r="O52" s="666"/>
      <c r="P52" s="666"/>
      <c r="Q52" s="666"/>
      <c r="R52" s="666"/>
      <c r="S52" s="666"/>
      <c r="T52" s="666"/>
      <c r="U52" s="102"/>
      <c r="V52" s="102"/>
      <c r="W52" s="102"/>
      <c r="X52" s="102"/>
      <c r="Y52" s="102"/>
      <c r="Z52" s="102"/>
      <c r="AA52" s="102"/>
      <c r="AB52" s="102"/>
      <c r="AC52" s="105"/>
      <c r="AD52" s="105"/>
      <c r="AE52" s="105"/>
      <c r="AF52" s="105"/>
      <c r="AG52" s="105"/>
      <c r="AH52" s="105"/>
      <c r="AI52" s="105"/>
      <c r="AJ52" s="105"/>
      <c r="AK52" s="105"/>
      <c r="AL52" s="105"/>
      <c r="AM52" s="105"/>
    </row>
    <row r="53" spans="2:39" ht="18" thickTop="1" thickBot="1">
      <c r="B53" s="666" t="s">
        <v>753</v>
      </c>
      <c r="C53" s="666"/>
      <c r="D53" s="666"/>
      <c r="E53" s="666"/>
      <c r="F53" s="666"/>
      <c r="G53" s="666"/>
      <c r="H53" s="666"/>
      <c r="I53" s="666"/>
      <c r="J53" s="666"/>
      <c r="K53" s="666"/>
      <c r="L53" s="666"/>
      <c r="M53" s="666"/>
      <c r="N53" s="666"/>
      <c r="O53" s="666"/>
      <c r="P53" s="666"/>
      <c r="Q53" s="666"/>
      <c r="R53" s="666"/>
      <c r="S53" s="666"/>
      <c r="T53" s="666"/>
      <c r="U53" s="102"/>
      <c r="V53" s="102"/>
      <c r="W53" s="102"/>
      <c r="X53" s="102"/>
      <c r="Y53" s="102"/>
      <c r="Z53" s="102"/>
      <c r="AA53" s="102"/>
      <c r="AB53" s="102"/>
      <c r="AC53" s="105"/>
      <c r="AD53" s="105"/>
      <c r="AE53" s="105"/>
      <c r="AF53" s="105"/>
      <c r="AG53" s="105"/>
      <c r="AH53" s="105"/>
      <c r="AI53" s="105"/>
      <c r="AJ53" s="105"/>
      <c r="AK53" s="105"/>
      <c r="AL53" s="105"/>
      <c r="AM53" s="105"/>
    </row>
    <row r="54" spans="2:39" ht="18" thickTop="1" thickBot="1">
      <c r="B54" s="667" t="s">
        <v>8</v>
      </c>
      <c r="C54" s="667"/>
      <c r="D54" s="667"/>
      <c r="E54" s="667"/>
      <c r="F54" s="667"/>
      <c r="G54" s="667"/>
      <c r="H54" s="667"/>
      <c r="I54" s="667"/>
      <c r="J54" s="667"/>
      <c r="K54" s="667"/>
      <c r="L54" s="667"/>
      <c r="M54" s="667"/>
      <c r="N54" s="667"/>
      <c r="O54" s="667"/>
      <c r="P54" s="667"/>
      <c r="Q54" s="667"/>
      <c r="R54" s="667"/>
      <c r="S54" s="667"/>
      <c r="T54" s="667"/>
      <c r="U54" s="103"/>
      <c r="V54" s="103"/>
      <c r="W54" s="103"/>
      <c r="X54" s="103"/>
      <c r="Y54" s="103"/>
      <c r="Z54" s="103"/>
      <c r="AA54" s="103"/>
      <c r="AB54" s="103"/>
      <c r="AC54" s="106"/>
      <c r="AD54" s="106"/>
      <c r="AE54" s="106"/>
      <c r="AF54" s="106"/>
      <c r="AG54" s="106"/>
      <c r="AH54" s="106"/>
      <c r="AI54" s="106"/>
      <c r="AJ54" s="106"/>
      <c r="AK54" s="106"/>
      <c r="AL54" s="106"/>
      <c r="AM54" s="106"/>
    </row>
    <row r="55" spans="2:39" ht="18" thickTop="1" thickBot="1">
      <c r="B55" s="665"/>
      <c r="C55" s="665"/>
      <c r="D55" s="665"/>
      <c r="E55" s="665"/>
      <c r="F55" s="665"/>
      <c r="G55" s="665"/>
      <c r="H55" s="665"/>
      <c r="I55" s="665"/>
      <c r="J55" s="665"/>
      <c r="K55" s="665"/>
      <c r="L55" s="665"/>
      <c r="M55" s="665"/>
      <c r="N55" s="665"/>
      <c r="O55" s="665"/>
      <c r="P55" s="665"/>
      <c r="Q55" s="665"/>
      <c r="R55" s="665"/>
      <c r="S55" s="665"/>
      <c r="T55" s="665"/>
      <c r="U55" s="104"/>
      <c r="V55" s="104"/>
      <c r="W55" s="104"/>
      <c r="X55" s="104"/>
      <c r="Y55" s="104"/>
      <c r="Z55" s="104"/>
      <c r="AA55" s="104"/>
      <c r="AB55" s="104"/>
      <c r="AC55" s="105"/>
      <c r="AD55" s="105"/>
      <c r="AE55" s="105"/>
      <c r="AF55" s="105"/>
      <c r="AG55" s="105"/>
      <c r="AH55" s="105"/>
      <c r="AI55" s="105"/>
      <c r="AJ55" s="105"/>
      <c r="AK55" s="105"/>
      <c r="AL55" s="105"/>
      <c r="AM55" s="105"/>
    </row>
  </sheetData>
  <sheetProtection algorithmName="SHA-512" hashValue="X04uYGR8YBfkknaSuyNgdZ31u8K24go/nlrT3XaXMp7jR+QyerPhYEgulBS63zQ5IXE/hcO5wI+KWykGn/3wng==" saltValue="rr5iMrY6p7egVAfJVmqDag==" spinCount="100000" sheet="1" objects="1" scenarios="1"/>
  <mergeCells count="37">
    <mergeCell ref="N13:P14"/>
    <mergeCell ref="R13:T14"/>
    <mergeCell ref="V13:X14"/>
    <mergeCell ref="Z13:AB14"/>
    <mergeCell ref="E1:AB5"/>
    <mergeCell ref="Z15:AB19"/>
    <mergeCell ref="C23:W23"/>
    <mergeCell ref="C24:W24"/>
    <mergeCell ref="C25:W25"/>
    <mergeCell ref="C26:W26"/>
    <mergeCell ref="B15:D19"/>
    <mergeCell ref="F15:H19"/>
    <mergeCell ref="J15:L19"/>
    <mergeCell ref="N15:P19"/>
    <mergeCell ref="R15:T19"/>
    <mergeCell ref="V15:X19"/>
    <mergeCell ref="B13:D14"/>
    <mergeCell ref="F13:H14"/>
    <mergeCell ref="J13:L14"/>
    <mergeCell ref="C47:X47"/>
    <mergeCell ref="C32:X32"/>
    <mergeCell ref="C33:X33"/>
    <mergeCell ref="C34:W34"/>
    <mergeCell ref="C35:W35"/>
    <mergeCell ref="C36:W36"/>
    <mergeCell ref="C41:W41"/>
    <mergeCell ref="C42:W42"/>
    <mergeCell ref="C43:W43"/>
    <mergeCell ref="C44:W44"/>
    <mergeCell ref="C45:W45"/>
    <mergeCell ref="C46:W46"/>
    <mergeCell ref="C31:W31"/>
    <mergeCell ref="B55:T55"/>
    <mergeCell ref="B51:T51"/>
    <mergeCell ref="B52:T52"/>
    <mergeCell ref="B53:T53"/>
    <mergeCell ref="B54:T54"/>
  </mergeCells>
  <hyperlinks>
    <hyperlink ref="B51:T51" r:id="rId1" display="Science Based Targets initiative financial institutions website" xr:uid="{00000000-0004-0000-0000-000000000000}"/>
    <hyperlink ref="B52:T52" r:id="rId2" display="Tool Documentation" xr:uid="{00000000-0004-0000-0000-000001000000}"/>
    <hyperlink ref="B53:T53" r:id="rId3" display="Financial institutions Net-Zero Standard v1.0" xr:uid="{00000000-0004-0000-0000-000002000000}"/>
    <hyperlink ref="B54:T54" r:id="rId4" location="3607479" display="Financial Institutions Target-setting Resources" xr:uid="{00000000-0004-0000-0000-000003000000}"/>
  </hyperlinks>
  <pageMargins left="0.7" right="0.7" top="0.75" bottom="0.75"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3289B8"/>
    <outlinePr summaryBelow="0" summaryRight="0"/>
  </sheetPr>
  <dimension ref="A1:AQ14"/>
  <sheetViews>
    <sheetView zoomScale="80" zoomScaleNormal="80" workbookViewId="0">
      <selection activeCell="C7" sqref="C7:H7"/>
    </sheetView>
  </sheetViews>
  <sheetFormatPr baseColWidth="10" defaultColWidth="0" defaultRowHeight="15" customHeight="1" zeroHeight="1"/>
  <cols>
    <col min="1" max="1" width="14.5" style="457" customWidth="1"/>
    <col min="2" max="2" width="35.33203125" style="435" customWidth="1"/>
    <col min="3" max="8" width="22" style="435" customWidth="1"/>
    <col min="9" max="9" width="13.1640625" style="435" customWidth="1"/>
    <col min="10" max="10" width="18" style="434" hidden="1" customWidth="1"/>
    <col min="11" max="11" width="4.1640625" style="435" hidden="1" customWidth="1"/>
    <col min="12" max="12" width="19.1640625" style="435" hidden="1" customWidth="1"/>
    <col min="13" max="13" width="13.1640625" style="435" hidden="1" customWidth="1"/>
    <col min="14" max="14" width="21.33203125" style="435" hidden="1" customWidth="1"/>
    <col min="15" max="15" width="5.1640625" style="434" hidden="1" customWidth="1"/>
    <col min="16" max="16" width="24.6640625" style="435" hidden="1" customWidth="1"/>
    <col min="17" max="17" width="23.5" style="435" hidden="1" customWidth="1"/>
    <col min="18" max="18" width="21.33203125" style="435" hidden="1" customWidth="1"/>
    <col min="19" max="19" width="25.83203125" style="435" hidden="1" customWidth="1"/>
    <col min="20" max="20" width="3.5" style="434" hidden="1" customWidth="1"/>
    <col min="21" max="21" width="21.33203125" style="435" hidden="1" customWidth="1"/>
    <col min="22" max="22" width="18.5" style="435" hidden="1" customWidth="1"/>
    <col min="23" max="23" width="24.5" style="435" hidden="1" customWidth="1"/>
    <col min="24" max="24" width="18" style="435" hidden="1" customWidth="1"/>
    <col min="25" max="25" width="23.5" style="435" hidden="1" customWidth="1"/>
    <col min="26" max="26" width="52.6640625" style="435" hidden="1" customWidth="1"/>
    <col min="27" max="27" width="37.83203125" style="435" hidden="1" customWidth="1"/>
    <col min="28" max="30" width="14.5" style="435" hidden="1" customWidth="1"/>
    <col min="31" max="31" width="17.5" style="435" hidden="1" customWidth="1"/>
    <col min="32" max="32" width="18.33203125" style="435" hidden="1" customWidth="1"/>
    <col min="33" max="33" width="21.5" style="435" hidden="1" customWidth="1"/>
    <col min="34" max="36" width="14.5" style="435" hidden="1" customWidth="1"/>
    <col min="37" max="43" width="10.6640625" style="435" hidden="1" customWidth="1"/>
    <col min="44" max="16384" width="14.5" style="435" hidden="1"/>
  </cols>
  <sheetData>
    <row r="1" spans="1:20" s="433" customFormat="1" ht="47.25" customHeight="1">
      <c r="A1" s="692" t="s">
        <v>65</v>
      </c>
      <c r="B1" s="692"/>
      <c r="C1" s="692"/>
      <c r="D1" s="692"/>
      <c r="E1" s="692"/>
      <c r="F1" s="692"/>
      <c r="G1" s="692"/>
      <c r="H1" s="692"/>
      <c r="I1" s="693"/>
    </row>
    <row r="2" spans="1:20" ht="108" customHeight="1">
      <c r="A2" s="703" t="s">
        <v>66</v>
      </c>
      <c r="B2" s="704"/>
      <c r="C2" s="704"/>
      <c r="D2" s="704"/>
      <c r="E2" s="704"/>
      <c r="F2" s="704"/>
      <c r="G2" s="704"/>
      <c r="H2" s="704"/>
      <c r="I2" s="705"/>
    </row>
    <row r="3" spans="1:20" ht="18" hidden="1">
      <c r="A3" s="436"/>
      <c r="B3" s="437"/>
      <c r="C3" s="437"/>
      <c r="D3" s="437"/>
      <c r="E3" s="438"/>
      <c r="F3" s="3"/>
      <c r="G3" s="3"/>
      <c r="H3" s="3"/>
      <c r="I3" s="439"/>
    </row>
    <row r="4" spans="1:20" ht="27" customHeight="1">
      <c r="A4" s="440"/>
      <c r="B4" s="700" t="s">
        <v>67</v>
      </c>
      <c r="C4" s="701"/>
      <c r="D4" s="701"/>
      <c r="E4" s="701"/>
      <c r="F4" s="701"/>
      <c r="G4" s="701"/>
      <c r="H4" s="702"/>
      <c r="I4" s="441"/>
    </row>
    <row r="5" spans="1:20" ht="27" customHeight="1">
      <c r="A5" s="442"/>
      <c r="B5" s="696"/>
      <c r="C5" s="694" t="s">
        <v>68</v>
      </c>
      <c r="D5" s="695"/>
      <c r="E5" s="695"/>
      <c r="F5" s="695"/>
      <c r="G5" s="695"/>
      <c r="H5" s="698" t="s">
        <v>69</v>
      </c>
      <c r="I5" s="441"/>
    </row>
    <row r="6" spans="1:20" ht="41" customHeight="1">
      <c r="A6" s="442"/>
      <c r="B6" s="697"/>
      <c r="C6" s="443" t="s">
        <v>70</v>
      </c>
      <c r="D6" s="444" t="s">
        <v>71</v>
      </c>
      <c r="E6" s="444" t="s">
        <v>72</v>
      </c>
      <c r="F6" s="444" t="s">
        <v>73</v>
      </c>
      <c r="G6" s="444" t="s">
        <v>74</v>
      </c>
      <c r="H6" s="699"/>
      <c r="I6" s="445"/>
    </row>
    <row r="7" spans="1:20" ht="119">
      <c r="A7" s="442"/>
      <c r="B7" s="446" t="s">
        <v>754</v>
      </c>
      <c r="C7" s="689"/>
      <c r="D7" s="690"/>
      <c r="E7" s="690"/>
      <c r="F7" s="690"/>
      <c r="G7" s="690"/>
      <c r="H7" s="691"/>
      <c r="I7" s="445"/>
    </row>
    <row r="8" spans="1:20" ht="102">
      <c r="A8" s="442"/>
      <c r="B8" s="447" t="s">
        <v>755</v>
      </c>
      <c r="C8" s="7"/>
      <c r="D8" s="7"/>
      <c r="E8" s="7"/>
      <c r="F8" s="7"/>
      <c r="G8" s="7"/>
      <c r="H8" s="7"/>
      <c r="I8" s="557" t="str">
        <f>IF(SUM(C8:H8)&lt;&gt;100%,"Error: This row must sum to 100%","OK")</f>
        <v>Error: This row must sum to 100%</v>
      </c>
    </row>
    <row r="9" spans="1:20" ht="135" customHeight="1">
      <c r="A9" s="442"/>
      <c r="B9" s="447" t="s">
        <v>756</v>
      </c>
      <c r="C9" s="448" t="str">
        <f>IF(C8="","",IF(C8&lt;0.05,"No","Yes"))</f>
        <v/>
      </c>
      <c r="D9" s="449" t="str">
        <f>IF(D8="","", IF(D8&lt;0.05,"No","Yes"))</f>
        <v/>
      </c>
      <c r="E9" s="450" t="str">
        <f>IF(E8="","", IF(E8&lt;0.05,"No","Yes"))</f>
        <v/>
      </c>
      <c r="F9" s="450" t="str">
        <f>IF(F8="","", IF(F8&lt;0.05,"No","Yes"))</f>
        <v/>
      </c>
      <c r="G9" s="449" t="str">
        <f>IF(G8="","", IF(G8&lt;0.05,"No","Yes"))</f>
        <v/>
      </c>
      <c r="H9" s="447"/>
      <c r="I9" s="445"/>
    </row>
    <row r="10" spans="1:20" ht="96" customHeight="1">
      <c r="A10" s="442"/>
      <c r="B10" s="451" t="s">
        <v>75</v>
      </c>
      <c r="C10" s="9"/>
      <c r="D10" s="9"/>
      <c r="E10" s="6"/>
      <c r="F10" s="6"/>
      <c r="G10" s="6"/>
      <c r="H10" s="447"/>
      <c r="I10" s="445"/>
    </row>
    <row r="11" spans="1:20" ht="72" customHeight="1">
      <c r="A11" s="442"/>
      <c r="B11" s="447" t="s">
        <v>76</v>
      </c>
      <c r="C11" s="10"/>
      <c r="D11" s="10"/>
      <c r="E11" s="10"/>
      <c r="F11" s="11"/>
      <c r="G11" s="8"/>
      <c r="H11" s="447"/>
      <c r="I11" s="445"/>
    </row>
    <row r="12" spans="1:20" ht="51">
      <c r="A12" s="442"/>
      <c r="B12" s="452" t="s">
        <v>757</v>
      </c>
      <c r="C12" s="30"/>
      <c r="D12" s="30"/>
      <c r="E12" s="30"/>
      <c r="F12" s="30"/>
      <c r="G12" s="30"/>
      <c r="H12" s="453"/>
      <c r="I12" s="445"/>
    </row>
    <row r="13" spans="1:20" ht="51">
      <c r="A13" s="442"/>
      <c r="B13" s="452" t="s">
        <v>758</v>
      </c>
      <c r="C13" s="686"/>
      <c r="D13" s="687"/>
      <c r="E13" s="687"/>
      <c r="F13" s="687"/>
      <c r="G13" s="687"/>
      <c r="H13" s="688"/>
      <c r="I13" s="445"/>
    </row>
    <row r="14" spans="1:20" s="433" customFormat="1" ht="51">
      <c r="A14" s="454"/>
      <c r="B14" s="447" t="s">
        <v>77</v>
      </c>
      <c r="C14" s="455"/>
      <c r="D14" s="455"/>
      <c r="E14" s="455"/>
      <c r="F14" s="455"/>
      <c r="G14" s="29"/>
      <c r="H14" s="455"/>
      <c r="J14" s="456"/>
      <c r="O14" s="456"/>
      <c r="T14" s="456"/>
    </row>
  </sheetData>
  <sheetProtection algorithmName="SHA-512" hashValue="8r5ldf7QaDrts0Uu8Yf0ADtCfn8V0uZUqpEXIfRBcmG9zWTPXDZrZ5gWJYliDEj4y6MGOpKN3Z+NdfZbqEnWCA==" saltValue="SGqNdbY2OIgQOHK8dts3Vw==" spinCount="100000" sheet="1" objects="1" scenarios="1" formatCells="0" formatColumns="0" formatRows="0" selectLockedCells="1"/>
  <mergeCells count="8">
    <mergeCell ref="C13:H13"/>
    <mergeCell ref="C7:H7"/>
    <mergeCell ref="A1:I1"/>
    <mergeCell ref="C5:G5"/>
    <mergeCell ref="B5:B6"/>
    <mergeCell ref="H5:H6"/>
    <mergeCell ref="B4:H4"/>
    <mergeCell ref="A2:I2"/>
  </mergeCells>
  <conditionalFormatting sqref="C11:C13">
    <cfRule type="expression" dxfId="1638" priority="5">
      <formula>$C$9="yes"</formula>
    </cfRule>
    <cfRule type="expression" dxfId="1637" priority="23">
      <formula>$C$10="yes"</formula>
    </cfRule>
  </conditionalFormatting>
  <conditionalFormatting sqref="C10:G10">
    <cfRule type="expression" dxfId="1636" priority="3">
      <formula>AND(C9="Yes",C10="No")</formula>
    </cfRule>
    <cfRule type="expression" dxfId="1635" priority="4">
      <formula>C8&gt;0</formula>
    </cfRule>
  </conditionalFormatting>
  <conditionalFormatting sqref="D11:D12 C13">
    <cfRule type="expression" dxfId="1634" priority="6">
      <formula>$D$9="yes"</formula>
    </cfRule>
    <cfRule type="expression" dxfId="1633" priority="25">
      <formula>$D$10="yes"</formula>
    </cfRule>
  </conditionalFormatting>
  <conditionalFormatting sqref="E11:E12 C13">
    <cfRule type="expression" dxfId="1632" priority="7">
      <formula>$E$9="yes"</formula>
    </cfRule>
    <cfRule type="expression" dxfId="1631" priority="32">
      <formula>$E$10="yes"</formula>
    </cfRule>
  </conditionalFormatting>
  <conditionalFormatting sqref="F11:F12 C13">
    <cfRule type="expression" dxfId="1630" priority="8">
      <formula>$F$9="yes"</formula>
    </cfRule>
    <cfRule type="expression" dxfId="1629" priority="34">
      <formula>$F$10="yes"</formula>
    </cfRule>
  </conditionalFormatting>
  <conditionalFormatting sqref="G11:G12 C13 G14">
    <cfRule type="expression" dxfId="1628" priority="237">
      <formula>$G$10="yes"</formula>
    </cfRule>
  </conditionalFormatting>
  <conditionalFormatting sqref="G11:G12 C13">
    <cfRule type="expression" dxfId="1627" priority="14">
      <formula>$G$9="yes"</formula>
    </cfRule>
  </conditionalFormatting>
  <conditionalFormatting sqref="I8">
    <cfRule type="expression" dxfId="1626" priority="1">
      <formula>I8="OK"</formula>
    </cfRule>
    <cfRule type="containsText" dxfId="1625" priority="2" operator="containsText" text="Error">
      <formula>NOT(ISERROR(SEARCH("Error",I8)))</formula>
    </cfRule>
  </conditionalFormatting>
  <conditionalFormatting sqref="Y6:Y13">
    <cfRule type="containsText" dxfId="1624" priority="245" operator="containsText" text="Please">
      <formula>NOT(ISERROR(SEARCH(("Please"),(#REF!))))</formula>
    </cfRule>
  </conditionalFormatting>
  <dataValidations count="7">
    <dataValidation type="list" allowBlank="1" showInputMessage="1" showErrorMessage="1" sqref="E11" xr:uid="{00000000-0002-0000-0200-000000000000}">
      <formula1>"Assets under management, Invested capital, Asset value"</formula1>
    </dataValidation>
    <dataValidation type="list" allowBlank="1" showInputMessage="1" showErrorMessage="1" sqref="C10:G10" xr:uid="{00000000-0002-0000-0200-000001000000}">
      <formula1>"Yes,No"</formula1>
    </dataValidation>
    <dataValidation type="list" allowBlank="1" showInputMessage="1" showErrorMessage="1" sqref="G11" xr:uid="{00000000-0002-0000-0200-000002000000}">
      <formula1>"Amount issued"</formula1>
    </dataValidation>
    <dataValidation type="list" allowBlank="1" showInputMessage="1" showErrorMessage="1" sqref="F11" xr:uid="{00000000-0002-0000-0200-000003000000}">
      <formula1>"Gross written premium"</formula1>
    </dataValidation>
    <dataValidation type="list" allowBlank="1" showInputMessage="1" showErrorMessage="1" sqref="D11" xr:uid="{00000000-0002-0000-0200-000004000000}">
      <formula1>"Assets under ownership, Assets under control"</formula1>
    </dataValidation>
    <dataValidation type="list" allowBlank="1" showInputMessage="1" showErrorMessage="1" sqref="C11" xr:uid="{00000000-0002-0000-0200-000005000000}">
      <formula1>"Loan commitment, Loan amount, Exposure at default"</formula1>
    </dataValidation>
    <dataValidation type="list" allowBlank="1" showInputMessage="1" showErrorMessage="1" sqref="C7:H7" xr:uid="{00000000-0002-0000-0200-000006000000}">
      <formula1>"2020,2021,2022,2023,2024,2025,2026"</formula1>
    </dataValidation>
  </dataValidation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3289B7"/>
    <outlinePr summaryBelow="0" summaryRight="0"/>
  </sheetPr>
  <dimension ref="A1:AV167"/>
  <sheetViews>
    <sheetView zoomScale="80" zoomScaleNormal="80" workbookViewId="0">
      <selection activeCell="D9" sqref="D9:E9"/>
    </sheetView>
  </sheetViews>
  <sheetFormatPr baseColWidth="10" defaultColWidth="0" defaultRowHeight="14" zeroHeight="1" outlineLevelRow="3"/>
  <cols>
    <col min="1" max="1" width="24.5" style="12" customWidth="1"/>
    <col min="2" max="11" width="15.5" style="399" customWidth="1"/>
    <col min="12" max="12" width="4.6640625" style="347" customWidth="1"/>
    <col min="13" max="15" width="15.5" style="399" customWidth="1"/>
    <col min="16" max="16" width="4.6640625" style="347" customWidth="1"/>
    <col min="17" max="23" width="17.33203125" style="399" customWidth="1"/>
    <col min="24" max="24" width="4.1640625" style="347" customWidth="1"/>
    <col min="25" max="25" width="15.5" style="347" customWidth="1"/>
    <col min="26" max="27" width="15.5" style="399" customWidth="1"/>
    <col min="28" max="28" width="5.1640625" style="400" customWidth="1"/>
    <col min="29" max="30" width="18.83203125" style="399" customWidth="1"/>
    <col min="31" max="31" width="5" style="347" customWidth="1"/>
    <col min="32" max="33" width="21" style="347" customWidth="1"/>
    <col min="34" max="34" width="24.5" style="347" customWidth="1"/>
    <col min="35" max="35" width="18" style="348" hidden="1" customWidth="1"/>
    <col min="36" max="36" width="23.5" style="348" hidden="1" customWidth="1"/>
    <col min="37" max="37" width="24.5" style="348" hidden="1" customWidth="1"/>
    <col min="38" max="38" width="37.83203125" style="348" hidden="1" customWidth="1"/>
    <col min="39" max="41" width="14.5" style="348" hidden="1" customWidth="1"/>
    <col min="42" max="42" width="17.5" style="348" hidden="1" customWidth="1"/>
    <col min="43" max="43" width="18.33203125" style="348" hidden="1" customWidth="1"/>
    <col min="44" max="44" width="21.5" style="348" hidden="1" customWidth="1"/>
    <col min="45" max="47" width="14.5" style="348" hidden="1" customWidth="1"/>
    <col min="48" max="48" width="10.6640625" style="348" hidden="1" customWidth="1"/>
    <col min="49" max="16384" width="14.5" style="348" hidden="1"/>
  </cols>
  <sheetData>
    <row r="1" spans="1:40" s="404" customFormat="1" ht="34.25" customHeight="1">
      <c r="A1" s="692" t="s">
        <v>78</v>
      </c>
      <c r="B1" s="692"/>
      <c r="C1" s="692"/>
      <c r="D1" s="692"/>
      <c r="E1" s="692"/>
      <c r="F1" s="692"/>
      <c r="G1" s="692"/>
      <c r="H1" s="692"/>
      <c r="I1" s="692"/>
      <c r="J1" s="692"/>
      <c r="K1" s="692"/>
      <c r="L1" s="692"/>
      <c r="M1" s="344"/>
      <c r="N1" s="345"/>
      <c r="O1" s="345"/>
      <c r="P1" s="344"/>
      <c r="Q1" s="345"/>
      <c r="R1" s="345"/>
      <c r="S1" s="345"/>
      <c r="T1" s="345"/>
      <c r="U1" s="345"/>
      <c r="V1" s="345"/>
      <c r="W1" s="345"/>
      <c r="X1" s="344"/>
      <c r="Y1" s="344"/>
      <c r="Z1" s="345"/>
      <c r="AA1" s="345"/>
      <c r="AB1" s="344"/>
      <c r="AC1" s="345"/>
      <c r="AD1" s="345"/>
      <c r="AE1" s="344"/>
      <c r="AF1" s="344"/>
      <c r="AG1" s="344"/>
      <c r="AH1" s="346"/>
      <c r="AI1" s="346"/>
      <c r="AJ1" s="346"/>
      <c r="AK1" s="346"/>
      <c r="AL1" s="346"/>
      <c r="AM1" s="346"/>
      <c r="AN1" s="346"/>
    </row>
    <row r="2" spans="1:40" ht="89" customHeight="1">
      <c r="A2" s="731" t="s">
        <v>792</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547"/>
    </row>
    <row r="3" spans="1:40" ht="34.25" customHeight="1">
      <c r="A3" s="795" t="s">
        <v>79</v>
      </c>
      <c r="B3" s="795"/>
      <c r="C3" s="795"/>
      <c r="D3" s="795"/>
      <c r="E3" s="795"/>
      <c r="F3" s="795"/>
      <c r="G3" s="795"/>
      <c r="H3" s="795"/>
      <c r="I3" s="549"/>
      <c r="J3" s="549"/>
      <c r="K3" s="549"/>
      <c r="L3" s="349"/>
      <c r="M3" s="349"/>
      <c r="N3" s="349"/>
      <c r="O3" s="349"/>
      <c r="P3" s="349"/>
      <c r="Q3" s="349"/>
      <c r="R3" s="349"/>
      <c r="S3" s="349"/>
      <c r="T3" s="349"/>
      <c r="U3" s="349"/>
      <c r="V3" s="349"/>
      <c r="W3" s="349"/>
      <c r="X3" s="349"/>
      <c r="Y3" s="349"/>
      <c r="Z3" s="350"/>
      <c r="AA3" s="350"/>
      <c r="AB3" s="351"/>
      <c r="AC3" s="350"/>
      <c r="AD3" s="350"/>
      <c r="AE3" s="351"/>
      <c r="AF3" s="351"/>
      <c r="AG3" s="351"/>
    </row>
    <row r="4" spans="1:40" ht="34.25" customHeight="1">
      <c r="A4" s="793" t="str">
        <f>"Based on Table 1.1 in the Financial Institutions Net-Zero Standard.     Financial metric: "&amp;'Financial activity types '!C11&amp;" in "&amp;'Financial activity types '!C13&amp;"     Base year: "&amp;'Financial activity types '!C7</f>
        <v xml:space="preserve">Based on Table 1.1 in the Financial Institutions Net-Zero Standard.     Financial metric:  in      Base year: </v>
      </c>
      <c r="B4" s="793"/>
      <c r="C4" s="793"/>
      <c r="D4" s="793"/>
      <c r="E4" s="793"/>
      <c r="F4" s="793"/>
      <c r="G4" s="793"/>
      <c r="H4" s="793"/>
      <c r="I4" s="793"/>
      <c r="J4" s="793"/>
      <c r="K4" s="793"/>
      <c r="L4" s="793"/>
      <c r="M4" s="552"/>
      <c r="N4" s="552"/>
      <c r="O4" s="552"/>
      <c r="P4" s="552"/>
      <c r="Q4" s="352"/>
      <c r="R4" s="352"/>
      <c r="S4" s="352"/>
      <c r="T4" s="352"/>
      <c r="U4" s="352"/>
      <c r="V4" s="352"/>
      <c r="W4" s="352"/>
      <c r="X4" s="552"/>
      <c r="Y4" s="552"/>
      <c r="Z4" s="350"/>
      <c r="AA4" s="350"/>
      <c r="AB4" s="351"/>
      <c r="AC4" s="350"/>
      <c r="AD4" s="350"/>
      <c r="AE4" s="351"/>
      <c r="AF4" s="351"/>
      <c r="AG4" s="351"/>
    </row>
    <row r="5" spans="1:40" s="356" customFormat="1">
      <c r="A5" s="12"/>
      <c r="B5" s="12"/>
      <c r="C5" s="12"/>
      <c r="D5" s="12"/>
      <c r="E5" s="12"/>
      <c r="F5" s="12"/>
      <c r="G5" s="12"/>
      <c r="H5" s="12"/>
      <c r="I5" s="12"/>
      <c r="J5" s="12"/>
      <c r="K5" s="12"/>
      <c r="L5" s="353"/>
      <c r="M5" s="12"/>
      <c r="N5" s="12"/>
      <c r="O5" s="12"/>
      <c r="P5" s="353"/>
      <c r="Q5" s="354"/>
      <c r="R5" s="354"/>
      <c r="S5" s="12"/>
      <c r="T5" s="354"/>
      <c r="U5" s="354"/>
      <c r="V5" s="354"/>
      <c r="W5" s="354"/>
      <c r="X5" s="353"/>
      <c r="Y5" s="353"/>
      <c r="Z5" s="12"/>
      <c r="AA5" s="12"/>
      <c r="AB5" s="353"/>
      <c r="AC5" s="12"/>
      <c r="AD5" s="12"/>
      <c r="AE5" s="353"/>
      <c r="AF5" s="353"/>
      <c r="AG5" s="353"/>
      <c r="AH5" s="355"/>
    </row>
    <row r="6" spans="1:40" s="356" customFormat="1" ht="18" collapsed="1">
      <c r="A6" s="793" t="s">
        <v>80</v>
      </c>
      <c r="B6" s="793"/>
      <c r="C6" s="793"/>
      <c r="D6" s="793"/>
      <c r="E6" s="793"/>
      <c r="F6" s="793"/>
      <c r="G6" s="793"/>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548"/>
      <c r="AH6" s="355"/>
    </row>
    <row r="7" spans="1:40" s="356" customFormat="1" ht="44" hidden="1" customHeight="1" outlineLevel="2" collapsed="1">
      <c r="A7" s="731" t="s">
        <v>81</v>
      </c>
      <c r="B7" s="731"/>
      <c r="C7" s="731"/>
      <c r="D7" s="731"/>
      <c r="E7" s="731"/>
      <c r="F7" s="731"/>
      <c r="G7" s="731"/>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547"/>
      <c r="AH7" s="355"/>
    </row>
    <row r="8" spans="1:40" s="356" customFormat="1" ht="18" hidden="1" outlineLevel="3">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12"/>
      <c r="AA8" s="12"/>
      <c r="AB8" s="358"/>
      <c r="AC8" s="12"/>
      <c r="AD8" s="12"/>
      <c r="AE8" s="358"/>
      <c r="AF8" s="353"/>
      <c r="AG8" s="353"/>
      <c r="AH8" s="355"/>
    </row>
    <row r="9" spans="1:40" s="356" customFormat="1" ht="53.25" hidden="1" customHeight="1" outlineLevel="3">
      <c r="A9" s="357"/>
      <c r="B9" s="714" t="s">
        <v>82</v>
      </c>
      <c r="C9" s="715"/>
      <c r="D9" s="719"/>
      <c r="E9" s="720"/>
      <c r="F9" s="357"/>
      <c r="G9" s="824" t="s">
        <v>83</v>
      </c>
      <c r="H9" s="825"/>
      <c r="I9" s="825"/>
      <c r="J9" s="825"/>
      <c r="K9" s="825"/>
      <c r="L9" s="825"/>
      <c r="M9" s="825"/>
      <c r="N9" s="357"/>
      <c r="O9" s="357"/>
      <c r="P9" s="357"/>
      <c r="Q9" s="357"/>
      <c r="R9" s="357"/>
      <c r="S9" s="357"/>
      <c r="T9" s="357"/>
      <c r="U9" s="357"/>
      <c r="V9" s="357"/>
      <c r="W9" s="357"/>
      <c r="X9" s="357"/>
      <c r="Y9" s="357"/>
      <c r="Z9" s="12"/>
      <c r="AA9" s="12"/>
      <c r="AB9" s="358"/>
      <c r="AC9" s="12"/>
      <c r="AD9" s="12"/>
      <c r="AE9" s="358"/>
      <c r="AF9" s="353"/>
      <c r="AG9" s="353"/>
      <c r="AH9" s="355"/>
    </row>
    <row r="10" spans="1:40" s="356" customFormat="1" ht="53.25" hidden="1" customHeight="1" outlineLevel="3">
      <c r="A10" s="357"/>
      <c r="B10" s="714" t="s">
        <v>84</v>
      </c>
      <c r="C10" s="715"/>
      <c r="D10" s="719"/>
      <c r="E10" s="720"/>
      <c r="F10" s="357"/>
      <c r="G10" s="825"/>
      <c r="H10" s="825"/>
      <c r="I10" s="825"/>
      <c r="J10" s="825"/>
      <c r="K10" s="825"/>
      <c r="L10" s="825"/>
      <c r="M10" s="825"/>
      <c r="N10" s="357"/>
      <c r="O10" s="357"/>
      <c r="P10" s="357"/>
      <c r="Q10" s="357"/>
      <c r="R10" s="357"/>
      <c r="S10" s="357"/>
      <c r="T10" s="357"/>
      <c r="U10" s="357"/>
      <c r="V10" s="357"/>
      <c r="W10" s="357"/>
      <c r="X10" s="357"/>
      <c r="Y10" s="357"/>
      <c r="Z10" s="12"/>
      <c r="AA10" s="12"/>
      <c r="AB10" s="358"/>
      <c r="AC10" s="12"/>
      <c r="AD10" s="12"/>
      <c r="AE10" s="358"/>
      <c r="AF10" s="353"/>
      <c r="AG10" s="353"/>
      <c r="AH10" s="355"/>
    </row>
    <row r="11" spans="1:40" s="356" customFormat="1" ht="53.25" hidden="1" customHeight="1" outlineLevel="3">
      <c r="A11" s="357"/>
      <c r="B11" s="714" t="s">
        <v>85</v>
      </c>
      <c r="C11" s="715"/>
      <c r="D11" s="719"/>
      <c r="E11" s="720"/>
      <c r="F11" s="414"/>
      <c r="G11" s="825"/>
      <c r="H11" s="825"/>
      <c r="I11" s="825"/>
      <c r="J11" s="825"/>
      <c r="K11" s="825"/>
      <c r="L11" s="825"/>
      <c r="M11" s="825"/>
      <c r="N11" s="357"/>
      <c r="O11" s="357"/>
      <c r="P11" s="357"/>
      <c r="Q11" s="357"/>
      <c r="R11" s="357"/>
      <c r="S11" s="357"/>
      <c r="T11" s="357"/>
      <c r="U11" s="357"/>
      <c r="V11" s="357"/>
      <c r="W11" s="357"/>
      <c r="X11" s="357"/>
      <c r="Y11" s="357"/>
      <c r="Z11" s="12"/>
      <c r="AA11" s="12"/>
      <c r="AB11" s="358"/>
      <c r="AC11" s="12"/>
      <c r="AD11" s="12"/>
      <c r="AE11" s="358"/>
      <c r="AF11" s="353"/>
      <c r="AG11" s="353"/>
      <c r="AH11" s="355"/>
    </row>
    <row r="12" spans="1:40" s="356" customFormat="1" ht="52.5" hidden="1" customHeight="1" outlineLevel="3">
      <c r="A12" s="357"/>
      <c r="B12" s="714" t="s">
        <v>86</v>
      </c>
      <c r="C12" s="715"/>
      <c r="D12" s="719"/>
      <c r="E12" s="720"/>
      <c r="F12" s="414"/>
      <c r="G12" s="825"/>
      <c r="H12" s="825"/>
      <c r="I12" s="825"/>
      <c r="J12" s="825"/>
      <c r="K12" s="825"/>
      <c r="L12" s="825"/>
      <c r="M12" s="825"/>
      <c r="N12" s="357"/>
      <c r="O12" s="357"/>
      <c r="P12" s="357"/>
      <c r="Q12" s="357"/>
      <c r="R12" s="357"/>
      <c r="S12" s="357"/>
      <c r="T12" s="357"/>
      <c r="U12" s="357"/>
      <c r="V12" s="357"/>
      <c r="W12" s="357"/>
      <c r="X12" s="357"/>
      <c r="Y12" s="357"/>
      <c r="Z12" s="12"/>
      <c r="AA12" s="12"/>
      <c r="AB12" s="358"/>
      <c r="AC12" s="12"/>
      <c r="AD12" s="12"/>
      <c r="AE12" s="358"/>
      <c r="AF12" s="353"/>
      <c r="AG12" s="353"/>
      <c r="AH12" s="355"/>
    </row>
    <row r="13" spans="1:40" s="356" customFormat="1" ht="32" hidden="1" customHeight="1" outlineLevel="3">
      <c r="A13" s="357"/>
      <c r="B13" s="13"/>
      <c r="C13" s="13"/>
      <c r="D13" s="13"/>
      <c r="E13" s="13"/>
      <c r="F13" s="414"/>
      <c r="G13" s="415"/>
      <c r="H13" s="415"/>
      <c r="I13" s="415"/>
      <c r="J13" s="415"/>
      <c r="K13" s="415"/>
      <c r="L13" s="415"/>
      <c r="M13" s="415"/>
      <c r="N13" s="357"/>
      <c r="O13" s="357"/>
      <c r="P13" s="357"/>
      <c r="Q13" s="357"/>
      <c r="R13" s="357"/>
      <c r="S13" s="357"/>
      <c r="T13" s="357"/>
      <c r="U13" s="357"/>
      <c r="V13" s="357"/>
      <c r="W13" s="357"/>
      <c r="X13" s="357"/>
      <c r="Y13" s="357"/>
      <c r="Z13" s="12"/>
      <c r="AA13" s="12"/>
      <c r="AB13" s="353"/>
      <c r="AC13" s="12"/>
      <c r="AD13" s="12"/>
      <c r="AE13" s="353"/>
      <c r="AF13" s="353"/>
      <c r="AG13" s="353"/>
      <c r="AH13" s="355"/>
    </row>
    <row r="14" spans="1:40" s="356" customFormat="1" ht="22.25" hidden="1" customHeight="1" outlineLevel="3">
      <c r="A14" s="794" t="s">
        <v>87</v>
      </c>
      <c r="B14" s="731"/>
      <c r="C14" s="731"/>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547"/>
      <c r="AH14" s="355"/>
    </row>
    <row r="15" spans="1:40" s="356" customFormat="1" ht="22.25" hidden="1" customHeight="1" outlineLevel="3">
      <c r="A15" s="359"/>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5"/>
    </row>
    <row r="16" spans="1:40" s="356" customFormat="1" ht="408" hidden="1" customHeight="1" outlineLevel="3">
      <c r="A16" s="355"/>
      <c r="B16" s="360"/>
      <c r="C16" s="706" t="s">
        <v>88</v>
      </c>
      <c r="D16" s="706"/>
      <c r="E16" s="706"/>
      <c r="F16" s="706"/>
      <c r="G16" s="706"/>
      <c r="H16" s="706"/>
      <c r="I16" s="706"/>
      <c r="J16" s="706"/>
      <c r="K16" s="706"/>
      <c r="L16" s="17"/>
      <c r="M16" s="706" t="s">
        <v>89</v>
      </c>
      <c r="N16" s="706"/>
      <c r="O16" s="706"/>
      <c r="P16" s="17"/>
      <c r="Q16" s="706" t="s">
        <v>90</v>
      </c>
      <c r="R16" s="706"/>
      <c r="S16" s="706"/>
      <c r="T16" s="706"/>
      <c r="U16" s="706"/>
      <c r="V16" s="706"/>
      <c r="W16" s="706"/>
      <c r="X16" s="17"/>
      <c r="Y16" s="706" t="s">
        <v>91</v>
      </c>
      <c r="Z16" s="706"/>
      <c r="AA16" s="706"/>
      <c r="AB16" s="17"/>
      <c r="AC16" s="706" t="s">
        <v>92</v>
      </c>
      <c r="AD16" s="706"/>
      <c r="AE16" s="17"/>
      <c r="AF16" s="709" t="s">
        <v>93</v>
      </c>
      <c r="AG16" s="706"/>
      <c r="AH16" s="355"/>
    </row>
    <row r="17" spans="1:38" s="356" customFormat="1" hidden="1" outlineLevel="3">
      <c r="A17" s="355"/>
      <c r="B17" s="355"/>
      <c r="C17" s="355"/>
      <c r="D17" s="355"/>
      <c r="E17" s="355"/>
      <c r="F17" s="355"/>
      <c r="G17" s="355"/>
      <c r="H17" s="355"/>
      <c r="I17" s="355"/>
      <c r="J17" s="355"/>
      <c r="K17" s="355"/>
      <c r="L17" s="355"/>
      <c r="M17" s="355"/>
      <c r="N17" s="355"/>
      <c r="O17" s="355"/>
      <c r="P17" s="355"/>
      <c r="Q17" s="355"/>
      <c r="R17" s="355"/>
      <c r="S17" s="355"/>
      <c r="T17" s="355"/>
      <c r="U17" s="355"/>
      <c r="V17" s="355"/>
      <c r="W17" s="355"/>
      <c r="X17" s="355"/>
      <c r="Y17" s="353"/>
      <c r="Z17" s="12"/>
      <c r="AA17" s="12"/>
      <c r="AB17" s="355"/>
      <c r="AC17" s="355"/>
      <c r="AD17" s="355"/>
      <c r="AE17" s="355"/>
      <c r="AF17" s="355"/>
      <c r="AG17" s="355"/>
      <c r="AH17" s="355"/>
    </row>
    <row r="18" spans="1:38" s="356" customFormat="1" ht="33" hidden="1" customHeight="1" outlineLevel="3">
      <c r="A18" s="714" t="s">
        <v>94</v>
      </c>
      <c r="B18" s="718"/>
      <c r="C18" s="718"/>
      <c r="D18" s="718"/>
      <c r="E18" s="718"/>
      <c r="F18" s="718"/>
      <c r="G18" s="718"/>
      <c r="H18" s="718"/>
      <c r="I18" s="718"/>
      <c r="J18" s="718"/>
      <c r="K18" s="715"/>
      <c r="L18" s="361"/>
      <c r="M18" s="714" t="s">
        <v>95</v>
      </c>
      <c r="N18" s="718"/>
      <c r="O18" s="715"/>
      <c r="P18" s="13"/>
      <c r="Q18" s="714" t="s">
        <v>96</v>
      </c>
      <c r="R18" s="718"/>
      <c r="S18" s="718"/>
      <c r="T18" s="718"/>
      <c r="U18" s="718"/>
      <c r="V18" s="718"/>
      <c r="W18" s="715"/>
      <c r="X18" s="572"/>
      <c r="Y18" s="714" t="s">
        <v>97</v>
      </c>
      <c r="Z18" s="718"/>
      <c r="AA18" s="715"/>
      <c r="AB18" s="358"/>
      <c r="AC18" s="714" t="s">
        <v>98</v>
      </c>
      <c r="AD18" s="715"/>
      <c r="AE18" s="358"/>
      <c r="AF18" s="716" t="s">
        <v>780</v>
      </c>
      <c r="AG18" s="716" t="s">
        <v>781</v>
      </c>
      <c r="AH18" s="416"/>
      <c r="AI18" s="417"/>
      <c r="AJ18" s="405"/>
      <c r="AK18" s="405"/>
    </row>
    <row r="19" spans="1:38" s="356" customFormat="1" ht="264" hidden="1" customHeight="1" outlineLevel="3">
      <c r="A19" s="798" t="s">
        <v>99</v>
      </c>
      <c r="B19" s="798"/>
      <c r="C19" s="714" t="s">
        <v>100</v>
      </c>
      <c r="D19" s="718"/>
      <c r="E19" s="718"/>
      <c r="F19" s="715"/>
      <c r="G19" s="546" t="s">
        <v>763</v>
      </c>
      <c r="H19" s="546" t="s">
        <v>778</v>
      </c>
      <c r="I19" s="554" t="s">
        <v>764</v>
      </c>
      <c r="J19" s="554" t="s">
        <v>765</v>
      </c>
      <c r="K19" s="546" t="s">
        <v>779</v>
      </c>
      <c r="L19" s="361"/>
      <c r="M19" s="546" t="s">
        <v>768</v>
      </c>
      <c r="N19" s="546" t="s">
        <v>769</v>
      </c>
      <c r="O19" s="554" t="s">
        <v>770</v>
      </c>
      <c r="P19" s="13"/>
      <c r="Q19" s="554" t="s">
        <v>101</v>
      </c>
      <c r="R19" s="554" t="s">
        <v>102</v>
      </c>
      <c r="S19" s="558" t="s">
        <v>103</v>
      </c>
      <c r="T19" s="558" t="s">
        <v>104</v>
      </c>
      <c r="U19" s="554" t="s">
        <v>105</v>
      </c>
      <c r="V19" s="546" t="s">
        <v>106</v>
      </c>
      <c r="W19" s="546" t="s">
        <v>771</v>
      </c>
      <c r="X19" s="573"/>
      <c r="Y19" s="546" t="s">
        <v>107</v>
      </c>
      <c r="Z19" s="546" t="s">
        <v>772</v>
      </c>
      <c r="AA19" s="546" t="s">
        <v>773</v>
      </c>
      <c r="AB19" s="358"/>
      <c r="AC19" s="546" t="s">
        <v>774</v>
      </c>
      <c r="AD19" s="546" t="s">
        <v>775</v>
      </c>
      <c r="AE19" s="358"/>
      <c r="AF19" s="717"/>
      <c r="AG19" s="717"/>
      <c r="AH19" s="416"/>
      <c r="AI19" s="417"/>
      <c r="AJ19" s="405"/>
      <c r="AK19" s="409" t="s">
        <v>108</v>
      </c>
      <c r="AL19" s="387"/>
    </row>
    <row r="20" spans="1:38" s="356" customFormat="1" ht="30" hidden="1" customHeight="1" outlineLevel="3">
      <c r="A20" s="721" t="s">
        <v>109</v>
      </c>
      <c r="B20" s="733" t="s">
        <v>110</v>
      </c>
      <c r="C20" s="756" t="s">
        <v>111</v>
      </c>
      <c r="D20" s="820"/>
      <c r="E20" s="820"/>
      <c r="F20" s="757"/>
      <c r="G20" s="710"/>
      <c r="H20" s="799" t="str">
        <f>IF(G20="","",G20/$G$52)</f>
        <v/>
      </c>
      <c r="I20" s="710"/>
      <c r="J20" s="710"/>
      <c r="K20" s="712" t="str">
        <f>IF(SUM(I20:J21)=0,"",SUM(I20:J21))</f>
        <v/>
      </c>
      <c r="L20" s="355"/>
      <c r="M20" s="796"/>
      <c r="N20" s="401" t="b">
        <v>0</v>
      </c>
      <c r="O20" s="5"/>
      <c r="P20" s="363"/>
      <c r="Q20" s="712"/>
      <c r="R20" s="710"/>
      <c r="S20" s="710"/>
      <c r="T20" s="710"/>
      <c r="U20" s="710"/>
      <c r="V20" s="712">
        <f t="shared" ref="V20:V25" si="0">IF(M20=TRUE,SUM(Q20:U20),0)</f>
        <v>0</v>
      </c>
      <c r="W20" s="712"/>
      <c r="X20" s="362"/>
      <c r="Y20" s="364" t="s">
        <v>112</v>
      </c>
      <c r="Z20" s="5"/>
      <c r="AA20" s="5"/>
      <c r="AB20" s="358"/>
      <c r="AC20" s="712"/>
      <c r="AD20" s="712"/>
      <c r="AE20" s="358"/>
      <c r="AF20" s="712" t="str">
        <f t="shared" ref="AF20" si="1">IF(G20="","",IF(AND(V20="",Z20="",Z21="",AC20=""),"Missing Info",IF(G20-V20-Z20-Z21+AC20=0,"OK","Review financial exposure")))</f>
        <v/>
      </c>
      <c r="AG20" s="712" t="str">
        <f>IF(K20="","",IF(AND(W20="",AA20="",AA21="",AD20=""),"Missing Info",IF(K20-W20-AA20-AA21+AD20=0,"OK","Review emissions")))</f>
        <v/>
      </c>
      <c r="AH20" s="416"/>
      <c r="AI20" s="417"/>
      <c r="AJ20" s="405"/>
      <c r="AK20" s="107" t="s">
        <v>113</v>
      </c>
      <c r="AL20" s="387"/>
    </row>
    <row r="21" spans="1:38" s="356" customFormat="1" ht="34" hidden="1" outlineLevel="3">
      <c r="A21" s="722"/>
      <c r="B21" s="733"/>
      <c r="C21" s="760"/>
      <c r="D21" s="821"/>
      <c r="E21" s="821"/>
      <c r="F21" s="761"/>
      <c r="G21" s="711"/>
      <c r="H21" s="800"/>
      <c r="I21" s="711"/>
      <c r="J21" s="711"/>
      <c r="K21" s="713"/>
      <c r="L21" s="355"/>
      <c r="M21" s="797"/>
      <c r="N21" s="401" t="b">
        <v>0</v>
      </c>
      <c r="O21" s="5"/>
      <c r="P21" s="363"/>
      <c r="Q21" s="713"/>
      <c r="R21" s="711"/>
      <c r="S21" s="711"/>
      <c r="T21" s="711"/>
      <c r="U21" s="711"/>
      <c r="V21" s="713">
        <f t="shared" si="0"/>
        <v>0</v>
      </c>
      <c r="W21" s="713"/>
      <c r="X21" s="362"/>
      <c r="Y21" s="364" t="s">
        <v>114</v>
      </c>
      <c r="Z21" s="5"/>
      <c r="AA21" s="5"/>
      <c r="AB21" s="358"/>
      <c r="AC21" s="713"/>
      <c r="AD21" s="713"/>
      <c r="AE21" s="358"/>
      <c r="AF21" s="713"/>
      <c r="AG21" s="713"/>
      <c r="AH21" s="416"/>
      <c r="AI21" s="417"/>
      <c r="AJ21" s="405"/>
      <c r="AK21" s="107" t="s">
        <v>113</v>
      </c>
      <c r="AL21" s="387"/>
    </row>
    <row r="22" spans="1:38" s="356" customFormat="1" ht="40.25" hidden="1" customHeight="1" outlineLevel="3">
      <c r="A22" s="722"/>
      <c r="B22" s="733"/>
      <c r="C22" s="727" t="s">
        <v>115</v>
      </c>
      <c r="D22" s="728"/>
      <c r="E22" s="764" t="s">
        <v>116</v>
      </c>
      <c r="F22" s="765"/>
      <c r="G22" s="710"/>
      <c r="H22" s="799" t="str">
        <f>IF(G22="","",G22/$G$52)</f>
        <v/>
      </c>
      <c r="I22" s="710"/>
      <c r="J22" s="710"/>
      <c r="K22" s="712" t="str">
        <f>IF(SUM(I22:J23)=0,"",SUM(I22:J23))</f>
        <v/>
      </c>
      <c r="L22" s="355"/>
      <c r="M22" s="796"/>
      <c r="N22" s="401" t="b">
        <v>0</v>
      </c>
      <c r="O22" s="5"/>
      <c r="P22" s="363"/>
      <c r="Q22" s="712"/>
      <c r="R22" s="710"/>
      <c r="S22" s="710"/>
      <c r="T22" s="710"/>
      <c r="U22" s="710"/>
      <c r="V22" s="712">
        <f t="shared" si="0"/>
        <v>0</v>
      </c>
      <c r="W22" s="712"/>
      <c r="X22" s="362"/>
      <c r="Y22" s="364" t="s">
        <v>112</v>
      </c>
      <c r="Z22" s="5"/>
      <c r="AA22" s="5"/>
      <c r="AB22" s="358"/>
      <c r="AC22" s="712"/>
      <c r="AD22" s="712"/>
      <c r="AE22" s="358"/>
      <c r="AF22" s="712" t="str">
        <f t="shared" ref="AF22" si="2">IF(G22="","",IF(AND(V22="",Z22="",Z23="",AC22=""),"Missing Info",IF(G22-V22-Z22-Z23+AC22=0,"OK","Review financial exposure")))</f>
        <v/>
      </c>
      <c r="AG22" s="712" t="str">
        <f t="shared" ref="AG22" si="3">IF(K22="","",IF(AND(W22="",AA22="",AA23="",AD22=""),"Missing Info",IF(K22-W22-AA22-AA23+AD22=0,"OK","Review emissions")))</f>
        <v/>
      </c>
      <c r="AH22" s="416"/>
      <c r="AI22" s="417"/>
      <c r="AJ22" s="405"/>
      <c r="AK22" s="107" t="s">
        <v>113</v>
      </c>
      <c r="AL22" s="387"/>
    </row>
    <row r="23" spans="1:38" s="356" customFormat="1" ht="51" hidden="1" customHeight="1" outlineLevel="3">
      <c r="A23" s="722"/>
      <c r="B23" s="733"/>
      <c r="C23" s="822"/>
      <c r="D23" s="823"/>
      <c r="E23" s="766"/>
      <c r="F23" s="767"/>
      <c r="G23" s="711"/>
      <c r="H23" s="800"/>
      <c r="I23" s="711"/>
      <c r="J23" s="711"/>
      <c r="K23" s="713"/>
      <c r="L23" s="355"/>
      <c r="M23" s="797"/>
      <c r="N23" s="401" t="b">
        <v>0</v>
      </c>
      <c r="O23" s="5"/>
      <c r="P23" s="363"/>
      <c r="Q23" s="713"/>
      <c r="R23" s="711"/>
      <c r="S23" s="711"/>
      <c r="T23" s="711"/>
      <c r="U23" s="711"/>
      <c r="V23" s="713">
        <f t="shared" si="0"/>
        <v>0</v>
      </c>
      <c r="W23" s="713"/>
      <c r="X23" s="362"/>
      <c r="Y23" s="364" t="s">
        <v>114</v>
      </c>
      <c r="Z23" s="5"/>
      <c r="AA23" s="5"/>
      <c r="AB23" s="358"/>
      <c r="AC23" s="713"/>
      <c r="AD23" s="713"/>
      <c r="AE23" s="358"/>
      <c r="AF23" s="713"/>
      <c r="AG23" s="713"/>
      <c r="AH23" s="416"/>
      <c r="AI23" s="417"/>
      <c r="AJ23" s="405"/>
      <c r="AK23" s="107" t="s">
        <v>113</v>
      </c>
      <c r="AL23" s="387"/>
    </row>
    <row r="24" spans="1:38" s="356" customFormat="1" ht="33" hidden="1" customHeight="1" outlineLevel="3">
      <c r="A24" s="722"/>
      <c r="B24" s="733"/>
      <c r="C24" s="822"/>
      <c r="D24" s="823"/>
      <c r="E24" s="764" t="s">
        <v>117</v>
      </c>
      <c r="F24" s="765"/>
      <c r="G24" s="710"/>
      <c r="H24" s="799" t="str">
        <f>IF(G24="","",G24/$G$52)</f>
        <v/>
      </c>
      <c r="I24" s="710"/>
      <c r="J24" s="710"/>
      <c r="K24" s="712" t="str">
        <f>IF(SUM(I24:J25)=0,"",SUM(I24:J25))</f>
        <v/>
      </c>
      <c r="L24" s="355"/>
      <c r="M24" s="796"/>
      <c r="N24" s="401" t="b">
        <v>0</v>
      </c>
      <c r="O24" s="5"/>
      <c r="P24" s="363"/>
      <c r="Q24" s="712"/>
      <c r="R24" s="710"/>
      <c r="S24" s="710"/>
      <c r="T24" s="710"/>
      <c r="U24" s="710"/>
      <c r="V24" s="712">
        <f t="shared" si="0"/>
        <v>0</v>
      </c>
      <c r="W24" s="712"/>
      <c r="X24" s="362"/>
      <c r="Y24" s="364" t="s">
        <v>112</v>
      </c>
      <c r="Z24" s="5"/>
      <c r="AA24" s="5"/>
      <c r="AB24" s="358"/>
      <c r="AC24" s="712"/>
      <c r="AD24" s="712"/>
      <c r="AE24" s="358"/>
      <c r="AF24" s="712" t="str">
        <f>IF(G24="","",IF(AND(V24="",Z24="",Z25="",AC24=""),"Missing Info",IF(G24-V24-Z24-Z25+AC24=0,"OK","Review financial exposure")))</f>
        <v/>
      </c>
      <c r="AG24" s="712" t="str">
        <f t="shared" ref="AG24" si="4">IF(K24="","",IF(AND(W24="",AA24="",AA25="",AD24=""),"Missing Info",IF(K24-W24-AA24-AA25+AD24=0,"OK","Review emissions")))</f>
        <v/>
      </c>
      <c r="AH24" s="416"/>
      <c r="AI24" s="417"/>
      <c r="AJ24" s="405"/>
      <c r="AK24" s="107" t="s">
        <v>113</v>
      </c>
      <c r="AL24" s="387"/>
    </row>
    <row r="25" spans="1:38" s="356" customFormat="1" ht="33" hidden="1" customHeight="1" outlineLevel="3">
      <c r="A25" s="723"/>
      <c r="B25" s="733"/>
      <c r="C25" s="729"/>
      <c r="D25" s="730"/>
      <c r="E25" s="766"/>
      <c r="F25" s="767"/>
      <c r="G25" s="711"/>
      <c r="H25" s="800"/>
      <c r="I25" s="711"/>
      <c r="J25" s="711"/>
      <c r="K25" s="713"/>
      <c r="L25" s="355"/>
      <c r="M25" s="797"/>
      <c r="N25" s="401" t="b">
        <v>0</v>
      </c>
      <c r="O25" s="5"/>
      <c r="P25" s="363"/>
      <c r="Q25" s="713"/>
      <c r="R25" s="711"/>
      <c r="S25" s="711"/>
      <c r="T25" s="711"/>
      <c r="U25" s="711"/>
      <c r="V25" s="713">
        <f t="shared" si="0"/>
        <v>0</v>
      </c>
      <c r="W25" s="713"/>
      <c r="X25" s="362"/>
      <c r="Y25" s="364" t="s">
        <v>114</v>
      </c>
      <c r="Z25" s="5"/>
      <c r="AA25" s="5"/>
      <c r="AB25" s="358"/>
      <c r="AC25" s="713"/>
      <c r="AD25" s="713"/>
      <c r="AE25" s="358"/>
      <c r="AF25" s="713"/>
      <c r="AG25" s="713"/>
      <c r="AH25" s="416"/>
      <c r="AI25" s="417"/>
      <c r="AJ25" s="405"/>
      <c r="AK25" s="107" t="s">
        <v>113</v>
      </c>
      <c r="AL25" s="387"/>
    </row>
    <row r="26" spans="1:38" s="356" customFormat="1" ht="33" hidden="1" customHeight="1" outlineLevel="3">
      <c r="A26" s="721" t="s">
        <v>760</v>
      </c>
      <c r="B26" s="733"/>
      <c r="C26" s="724" t="s">
        <v>762</v>
      </c>
      <c r="D26" s="725"/>
      <c r="E26" s="725"/>
      <c r="F26" s="726"/>
      <c r="G26" s="5"/>
      <c r="H26" s="365" t="str">
        <f t="shared" ref="H26:H45" si="5">IF(G26="","",G26/$G$52)</f>
        <v/>
      </c>
      <c r="I26" s="5"/>
      <c r="J26" s="5"/>
      <c r="K26" s="557" t="str">
        <f>IF(SUM(I26:J26)=0,"",SUM(I26:J26))</f>
        <v/>
      </c>
      <c r="L26" s="355"/>
      <c r="M26" s="401" t="b">
        <v>0</v>
      </c>
      <c r="N26" s="401" t="b">
        <v>0</v>
      </c>
      <c r="O26" s="5"/>
      <c r="P26" s="363"/>
      <c r="Q26" s="557"/>
      <c r="R26" s="5"/>
      <c r="S26" s="5"/>
      <c r="T26" s="5"/>
      <c r="U26" s="5"/>
      <c r="V26" s="557">
        <f>IF(M26=TRUE,SUM(Q26:U26),0)</f>
        <v>0</v>
      </c>
      <c r="W26" s="5"/>
      <c r="X26" s="362"/>
      <c r="Y26" s="364" t="s">
        <v>112</v>
      </c>
      <c r="Z26" s="5"/>
      <c r="AA26" s="5"/>
      <c r="AB26" s="358"/>
      <c r="AC26" s="5"/>
      <c r="AD26" s="5"/>
      <c r="AE26" s="358"/>
      <c r="AF26" s="557" t="str">
        <f>IF(G26="","",IF(AND(V26="",Z26="",AC26=""),"Missing Info",IF(G26-V26-Z26+AC26=0,"OK","Review financial exposure")))</f>
        <v/>
      </c>
      <c r="AG26" s="557" t="str">
        <f>IF(K26="","",IF(AND(W26="",AA26="",AD26=""),"Missing Info",IF(K26-W26-AA26+AD26=0,"OK","Review emissions")))</f>
        <v/>
      </c>
      <c r="AH26" s="416"/>
      <c r="AI26" s="417"/>
      <c r="AJ26" s="405"/>
      <c r="AK26" s="107" t="s">
        <v>113</v>
      </c>
      <c r="AL26" s="387"/>
    </row>
    <row r="27" spans="1:38" s="356" customFormat="1" ht="87" hidden="1" customHeight="1" outlineLevel="3">
      <c r="A27" s="722"/>
      <c r="B27" s="733"/>
      <c r="C27" s="727" t="s">
        <v>761</v>
      </c>
      <c r="D27" s="728"/>
      <c r="E27" s="762" t="s">
        <v>116</v>
      </c>
      <c r="F27" s="763"/>
      <c r="G27" s="5"/>
      <c r="H27" s="365" t="str">
        <f t="shared" si="5"/>
        <v/>
      </c>
      <c r="I27" s="5"/>
      <c r="J27" s="5"/>
      <c r="K27" s="557" t="str">
        <f t="shared" ref="K27:K42" si="6">IF(SUM(I27:J27)=0,"",SUM(I27:J27))</f>
        <v/>
      </c>
      <c r="L27" s="355"/>
      <c r="M27" s="401" t="b">
        <v>0</v>
      </c>
      <c r="N27" s="401" t="b">
        <v>0</v>
      </c>
      <c r="O27" s="5"/>
      <c r="P27" s="363"/>
      <c r="Q27" s="557"/>
      <c r="R27" s="5"/>
      <c r="S27" s="5"/>
      <c r="T27" s="5"/>
      <c r="U27" s="5"/>
      <c r="V27" s="557">
        <f t="shared" ref="V27:V42" si="7">IF(M27=TRUE,SUM(Q27:U27),0)</f>
        <v>0</v>
      </c>
      <c r="W27" s="5"/>
      <c r="X27" s="362"/>
      <c r="Y27" s="364" t="s">
        <v>112</v>
      </c>
      <c r="Z27" s="5"/>
      <c r="AA27" s="5"/>
      <c r="AB27" s="358"/>
      <c r="AC27" s="5"/>
      <c r="AD27" s="5"/>
      <c r="AE27" s="358"/>
      <c r="AF27" s="557" t="str">
        <f t="shared" ref="AF27:AF42" si="8">IF(G27="","",IF(AND(V27="",Z27="",AC27=""),"Missing Info",IF(G27-V27-Z27+AC27=0,"OK","Review financial exposure")))</f>
        <v/>
      </c>
      <c r="AG27" s="557" t="str">
        <f t="shared" ref="AG27:AG42" si="9">IF(K27="","",IF(AND(W27="",AA27="",AD27=""),"Missing Info",IF(K27-W27-AA27+AD27=0,"OK","Review emissions")))</f>
        <v/>
      </c>
      <c r="AH27" s="416"/>
      <c r="AI27" s="417"/>
      <c r="AJ27" s="405"/>
      <c r="AK27" s="107" t="s">
        <v>113</v>
      </c>
      <c r="AL27" s="387"/>
    </row>
    <row r="28" spans="1:38" s="356" customFormat="1" ht="33" hidden="1" customHeight="1" outlineLevel="3">
      <c r="A28" s="723"/>
      <c r="B28" s="788"/>
      <c r="C28" s="729"/>
      <c r="D28" s="730"/>
      <c r="E28" s="762" t="s">
        <v>117</v>
      </c>
      <c r="F28" s="763"/>
      <c r="G28" s="5"/>
      <c r="H28" s="365" t="str">
        <f t="shared" si="5"/>
        <v/>
      </c>
      <c r="I28" s="5"/>
      <c r="J28" s="5"/>
      <c r="K28" s="557" t="str">
        <f t="shared" si="6"/>
        <v/>
      </c>
      <c r="L28" s="355"/>
      <c r="M28" s="401" t="b">
        <v>0</v>
      </c>
      <c r="N28" s="401" t="b">
        <v>0</v>
      </c>
      <c r="O28" s="5"/>
      <c r="P28" s="363"/>
      <c r="Q28" s="557"/>
      <c r="R28" s="5"/>
      <c r="S28" s="5"/>
      <c r="T28" s="5"/>
      <c r="U28" s="5"/>
      <c r="V28" s="557">
        <f t="shared" si="7"/>
        <v>0</v>
      </c>
      <c r="W28" s="5"/>
      <c r="X28" s="362"/>
      <c r="Y28" s="364" t="s">
        <v>112</v>
      </c>
      <c r="Z28" s="5"/>
      <c r="AA28" s="5"/>
      <c r="AB28" s="358"/>
      <c r="AC28" s="5"/>
      <c r="AD28" s="5"/>
      <c r="AE28" s="358"/>
      <c r="AF28" s="557" t="str">
        <f t="shared" si="8"/>
        <v/>
      </c>
      <c r="AG28" s="557" t="str">
        <f t="shared" si="9"/>
        <v/>
      </c>
      <c r="AH28" s="416"/>
      <c r="AI28" s="417"/>
      <c r="AJ28" s="405"/>
      <c r="AK28" s="107" t="s">
        <v>113</v>
      </c>
      <c r="AL28" s="387"/>
    </row>
    <row r="29" spans="1:38" s="356" customFormat="1" ht="33" hidden="1" customHeight="1" outlineLevel="3">
      <c r="A29" s="721" t="s">
        <v>118</v>
      </c>
      <c r="B29" s="732" t="s">
        <v>119</v>
      </c>
      <c r="C29" s="724" t="s">
        <v>120</v>
      </c>
      <c r="D29" s="725"/>
      <c r="E29" s="725"/>
      <c r="F29" s="726"/>
      <c r="G29" s="5"/>
      <c r="H29" s="365" t="str">
        <f t="shared" si="5"/>
        <v/>
      </c>
      <c r="I29" s="5"/>
      <c r="J29" s="5"/>
      <c r="K29" s="557" t="str">
        <f t="shared" si="6"/>
        <v/>
      </c>
      <c r="L29" s="355"/>
      <c r="M29" s="401" t="b">
        <v>0</v>
      </c>
      <c r="N29" s="366"/>
      <c r="O29" s="5"/>
      <c r="P29" s="363"/>
      <c r="Q29" s="557"/>
      <c r="R29" s="5"/>
      <c r="S29" s="5"/>
      <c r="T29" s="5"/>
      <c r="U29" s="5"/>
      <c r="V29" s="557">
        <f t="shared" si="7"/>
        <v>0</v>
      </c>
      <c r="W29" s="5"/>
      <c r="X29" s="362"/>
      <c r="Y29" s="557"/>
      <c r="Z29" s="557"/>
      <c r="AA29" s="557"/>
      <c r="AB29" s="358"/>
      <c r="AC29" s="557"/>
      <c r="AD29" s="557"/>
      <c r="AE29" s="358"/>
      <c r="AF29" s="557" t="str">
        <f t="shared" si="8"/>
        <v/>
      </c>
      <c r="AG29" s="557" t="str">
        <f t="shared" si="9"/>
        <v/>
      </c>
      <c r="AH29" s="416"/>
      <c r="AI29" s="417"/>
      <c r="AJ29" s="405"/>
      <c r="AK29" s="107" t="s">
        <v>121</v>
      </c>
      <c r="AL29" s="387"/>
    </row>
    <row r="30" spans="1:38" s="356" customFormat="1" ht="73.25" hidden="1" customHeight="1" outlineLevel="3">
      <c r="A30" s="722"/>
      <c r="B30" s="733"/>
      <c r="C30" s="756" t="s">
        <v>122</v>
      </c>
      <c r="D30" s="757"/>
      <c r="E30" s="764" t="s">
        <v>123</v>
      </c>
      <c r="F30" s="765"/>
      <c r="G30" s="5"/>
      <c r="H30" s="365" t="str">
        <f t="shared" si="5"/>
        <v/>
      </c>
      <c r="I30" s="5"/>
      <c r="J30" s="5"/>
      <c r="K30" s="557" t="str">
        <f t="shared" si="6"/>
        <v/>
      </c>
      <c r="L30" s="355"/>
      <c r="M30" s="401" t="b">
        <v>0</v>
      </c>
      <c r="N30" s="366"/>
      <c r="O30" s="5"/>
      <c r="P30" s="363"/>
      <c r="Q30" s="557"/>
      <c r="R30" s="5"/>
      <c r="S30" s="5"/>
      <c r="T30" s="5"/>
      <c r="U30" s="5"/>
      <c r="V30" s="557">
        <f t="shared" si="7"/>
        <v>0</v>
      </c>
      <c r="W30" s="5"/>
      <c r="X30" s="362"/>
      <c r="Y30" s="557"/>
      <c r="Z30" s="557"/>
      <c r="AA30" s="557"/>
      <c r="AB30" s="358"/>
      <c r="AC30" s="557"/>
      <c r="AD30" s="557"/>
      <c r="AE30" s="358"/>
      <c r="AF30" s="557" t="str">
        <f t="shared" si="8"/>
        <v/>
      </c>
      <c r="AG30" s="557" t="str">
        <f t="shared" si="9"/>
        <v/>
      </c>
      <c r="AH30" s="416"/>
      <c r="AI30" s="417"/>
      <c r="AJ30" s="405"/>
      <c r="AK30" s="107" t="s">
        <v>121</v>
      </c>
      <c r="AL30" s="387"/>
    </row>
    <row r="31" spans="1:38" s="356" customFormat="1" ht="33" hidden="1" customHeight="1" outlineLevel="3">
      <c r="A31" s="722"/>
      <c r="B31" s="733"/>
      <c r="C31" s="758"/>
      <c r="D31" s="759"/>
      <c r="E31" s="762" t="s">
        <v>124</v>
      </c>
      <c r="F31" s="763"/>
      <c r="G31" s="5"/>
      <c r="H31" s="365" t="str">
        <f t="shared" si="5"/>
        <v/>
      </c>
      <c r="I31" s="5"/>
      <c r="J31" s="5"/>
      <c r="K31" s="557" t="str">
        <f t="shared" si="6"/>
        <v/>
      </c>
      <c r="L31" s="355"/>
      <c r="M31" s="401" t="b">
        <v>0</v>
      </c>
      <c r="N31" s="366"/>
      <c r="O31" s="5"/>
      <c r="P31" s="363"/>
      <c r="Q31" s="557"/>
      <c r="R31" s="5"/>
      <c r="S31" s="5"/>
      <c r="T31" s="5"/>
      <c r="U31" s="5"/>
      <c r="V31" s="557">
        <f t="shared" si="7"/>
        <v>0</v>
      </c>
      <c r="W31" s="5"/>
      <c r="X31" s="362"/>
      <c r="Y31" s="557"/>
      <c r="Z31" s="557"/>
      <c r="AA31" s="557"/>
      <c r="AB31" s="358"/>
      <c r="AC31" s="557"/>
      <c r="AD31" s="557"/>
      <c r="AE31" s="358"/>
      <c r="AF31" s="557" t="str">
        <f t="shared" si="8"/>
        <v/>
      </c>
      <c r="AG31" s="557" t="str">
        <f t="shared" si="9"/>
        <v/>
      </c>
      <c r="AH31" s="416"/>
      <c r="AI31" s="417"/>
      <c r="AJ31" s="405"/>
      <c r="AK31" s="107" t="s">
        <v>121</v>
      </c>
      <c r="AL31" s="387"/>
    </row>
    <row r="32" spans="1:38" s="356" customFormat="1" ht="41" hidden="1" customHeight="1" outlineLevel="3">
      <c r="A32" s="722"/>
      <c r="B32" s="733"/>
      <c r="C32" s="758"/>
      <c r="D32" s="759"/>
      <c r="E32" s="762" t="s">
        <v>125</v>
      </c>
      <c r="F32" s="763"/>
      <c r="G32" s="5"/>
      <c r="H32" s="365" t="str">
        <f t="shared" si="5"/>
        <v/>
      </c>
      <c r="I32" s="5"/>
      <c r="J32" s="5"/>
      <c r="K32" s="557" t="str">
        <f t="shared" si="6"/>
        <v/>
      </c>
      <c r="L32" s="355"/>
      <c r="M32" s="401" t="b">
        <v>0</v>
      </c>
      <c r="N32" s="366"/>
      <c r="O32" s="5"/>
      <c r="P32" s="363"/>
      <c r="Q32" s="557"/>
      <c r="R32" s="5"/>
      <c r="S32" s="5"/>
      <c r="T32" s="5"/>
      <c r="U32" s="5"/>
      <c r="V32" s="557">
        <f t="shared" si="7"/>
        <v>0</v>
      </c>
      <c r="W32" s="5"/>
      <c r="X32" s="362"/>
      <c r="Y32" s="557"/>
      <c r="Z32" s="557"/>
      <c r="AA32" s="557"/>
      <c r="AB32" s="358"/>
      <c r="AC32" s="557"/>
      <c r="AD32" s="557"/>
      <c r="AE32" s="358"/>
      <c r="AF32" s="557" t="str">
        <f t="shared" si="8"/>
        <v/>
      </c>
      <c r="AG32" s="557" t="str">
        <f t="shared" si="9"/>
        <v/>
      </c>
      <c r="AH32" s="416"/>
      <c r="AI32" s="417"/>
      <c r="AJ32" s="405"/>
      <c r="AK32" s="107" t="s">
        <v>121</v>
      </c>
      <c r="AL32" s="387"/>
    </row>
    <row r="33" spans="1:38" s="356" customFormat="1" ht="50" hidden="1" customHeight="1" outlineLevel="3">
      <c r="A33" s="723"/>
      <c r="B33" s="788"/>
      <c r="C33" s="760"/>
      <c r="D33" s="761"/>
      <c r="E33" s="762" t="s">
        <v>126</v>
      </c>
      <c r="F33" s="763"/>
      <c r="G33" s="5"/>
      <c r="H33" s="365" t="str">
        <f t="shared" si="5"/>
        <v/>
      </c>
      <c r="I33" s="5"/>
      <c r="J33" s="5"/>
      <c r="K33" s="557" t="str">
        <f t="shared" si="6"/>
        <v/>
      </c>
      <c r="L33" s="355"/>
      <c r="M33" s="401" t="b">
        <v>0</v>
      </c>
      <c r="N33" s="366"/>
      <c r="O33" s="5"/>
      <c r="P33" s="363"/>
      <c r="Q33" s="557"/>
      <c r="R33" s="5"/>
      <c r="S33" s="5"/>
      <c r="T33" s="5"/>
      <c r="U33" s="5"/>
      <c r="V33" s="557">
        <f t="shared" si="7"/>
        <v>0</v>
      </c>
      <c r="W33" s="5"/>
      <c r="X33" s="362"/>
      <c r="Y33" s="557"/>
      <c r="Z33" s="557"/>
      <c r="AA33" s="557"/>
      <c r="AB33" s="358"/>
      <c r="AC33" s="557"/>
      <c r="AD33" s="557"/>
      <c r="AE33" s="358"/>
      <c r="AF33" s="557" t="str">
        <f t="shared" si="8"/>
        <v/>
      </c>
      <c r="AG33" s="557" t="str">
        <f t="shared" si="9"/>
        <v/>
      </c>
      <c r="AH33" s="416"/>
      <c r="AI33" s="417"/>
      <c r="AJ33" s="405"/>
      <c r="AK33" s="107" t="s">
        <v>121</v>
      </c>
      <c r="AL33" s="387"/>
    </row>
    <row r="34" spans="1:38" s="356" customFormat="1" ht="33" hidden="1" customHeight="1" outlineLevel="3">
      <c r="A34" s="721" t="s">
        <v>127</v>
      </c>
      <c r="B34" s="732" t="s">
        <v>128</v>
      </c>
      <c r="C34" s="724" t="s">
        <v>129</v>
      </c>
      <c r="D34" s="725"/>
      <c r="E34" s="725"/>
      <c r="F34" s="726"/>
      <c r="G34" s="5"/>
      <c r="H34" s="365" t="str">
        <f t="shared" si="5"/>
        <v/>
      </c>
      <c r="I34" s="5"/>
      <c r="J34" s="5"/>
      <c r="K34" s="557" t="str">
        <f t="shared" si="6"/>
        <v/>
      </c>
      <c r="L34" s="355"/>
      <c r="M34" s="401" t="b">
        <v>0</v>
      </c>
      <c r="N34" s="366"/>
      <c r="O34" s="5"/>
      <c r="P34" s="363"/>
      <c r="Q34" s="5"/>
      <c r="R34" s="5"/>
      <c r="S34" s="5"/>
      <c r="T34" s="5"/>
      <c r="U34" s="5"/>
      <c r="V34" s="557">
        <f t="shared" si="7"/>
        <v>0</v>
      </c>
      <c r="W34" s="5"/>
      <c r="X34" s="362"/>
      <c r="Y34" s="557"/>
      <c r="Z34" s="557"/>
      <c r="AA34" s="557"/>
      <c r="AB34" s="358"/>
      <c r="AC34" s="557"/>
      <c r="AD34" s="557"/>
      <c r="AE34" s="358"/>
      <c r="AF34" s="557" t="str">
        <f t="shared" si="8"/>
        <v/>
      </c>
      <c r="AG34" s="557" t="str">
        <f t="shared" si="9"/>
        <v/>
      </c>
      <c r="AH34" s="416"/>
      <c r="AI34" s="417"/>
      <c r="AJ34" s="405"/>
      <c r="AK34" s="107" t="s">
        <v>130</v>
      </c>
      <c r="AL34" s="387"/>
    </row>
    <row r="35" spans="1:38" s="356" customFormat="1" ht="54" hidden="1" customHeight="1" outlineLevel="3">
      <c r="A35" s="722"/>
      <c r="B35" s="733"/>
      <c r="C35" s="746" t="s">
        <v>122</v>
      </c>
      <c r="D35" s="747"/>
      <c r="E35" s="750" t="s">
        <v>131</v>
      </c>
      <c r="F35" s="751"/>
      <c r="G35" s="5"/>
      <c r="H35" s="365" t="str">
        <f t="shared" si="5"/>
        <v/>
      </c>
      <c r="I35" s="5"/>
      <c r="J35" s="5"/>
      <c r="K35" s="557" t="str">
        <f t="shared" si="6"/>
        <v/>
      </c>
      <c r="L35" s="355"/>
      <c r="M35" s="401" t="b">
        <v>0</v>
      </c>
      <c r="N35" s="366"/>
      <c r="O35" s="5"/>
      <c r="P35" s="363"/>
      <c r="Q35" s="5"/>
      <c r="R35" s="5"/>
      <c r="S35" s="5"/>
      <c r="T35" s="5"/>
      <c r="U35" s="5"/>
      <c r="V35" s="557">
        <f t="shared" si="7"/>
        <v>0</v>
      </c>
      <c r="W35" s="5"/>
      <c r="X35" s="362"/>
      <c r="Y35" s="557"/>
      <c r="Z35" s="557"/>
      <c r="AA35" s="557"/>
      <c r="AB35" s="358"/>
      <c r="AC35" s="557"/>
      <c r="AD35" s="557"/>
      <c r="AE35" s="358"/>
      <c r="AF35" s="557" t="str">
        <f t="shared" si="8"/>
        <v/>
      </c>
      <c r="AG35" s="557" t="str">
        <f t="shared" si="9"/>
        <v/>
      </c>
      <c r="AH35" s="416"/>
      <c r="AI35" s="417"/>
      <c r="AJ35" s="405"/>
      <c r="AK35" s="107" t="s">
        <v>130</v>
      </c>
      <c r="AL35" s="387"/>
    </row>
    <row r="36" spans="1:38" s="356" customFormat="1" ht="56" hidden="1" customHeight="1" outlineLevel="3">
      <c r="A36" s="723"/>
      <c r="B36" s="788"/>
      <c r="C36" s="748"/>
      <c r="D36" s="749"/>
      <c r="E36" s="750" t="s">
        <v>132</v>
      </c>
      <c r="F36" s="751"/>
      <c r="G36" s="5"/>
      <c r="H36" s="365" t="str">
        <f t="shared" si="5"/>
        <v/>
      </c>
      <c r="I36" s="5"/>
      <c r="J36" s="5"/>
      <c r="K36" s="557" t="str">
        <f t="shared" si="6"/>
        <v/>
      </c>
      <c r="L36" s="355"/>
      <c r="M36" s="401" t="b">
        <v>0</v>
      </c>
      <c r="N36" s="366"/>
      <c r="O36" s="5"/>
      <c r="P36" s="363"/>
      <c r="Q36" s="5"/>
      <c r="R36" s="5"/>
      <c r="S36" s="5"/>
      <c r="T36" s="5"/>
      <c r="U36" s="5"/>
      <c r="V36" s="557">
        <f t="shared" si="7"/>
        <v>0</v>
      </c>
      <c r="W36" s="5"/>
      <c r="X36" s="362"/>
      <c r="Y36" s="557"/>
      <c r="Z36" s="557"/>
      <c r="AA36" s="557"/>
      <c r="AB36" s="358"/>
      <c r="AC36" s="557"/>
      <c r="AD36" s="557"/>
      <c r="AE36" s="358"/>
      <c r="AF36" s="557" t="str">
        <f t="shared" si="8"/>
        <v/>
      </c>
      <c r="AG36" s="557" t="str">
        <f t="shared" si="9"/>
        <v/>
      </c>
      <c r="AH36" s="416"/>
      <c r="AI36" s="417"/>
      <c r="AJ36" s="405"/>
      <c r="AK36" s="107" t="s">
        <v>130</v>
      </c>
      <c r="AL36" s="387"/>
    </row>
    <row r="37" spans="1:38" s="356" customFormat="1" ht="32.25" hidden="1" customHeight="1" outlineLevel="3">
      <c r="A37" s="721" t="s">
        <v>133</v>
      </c>
      <c r="B37" s="732" t="s">
        <v>134</v>
      </c>
      <c r="C37" s="724" t="s">
        <v>135</v>
      </c>
      <c r="D37" s="725"/>
      <c r="E37" s="725"/>
      <c r="F37" s="726"/>
      <c r="G37" s="5"/>
      <c r="H37" s="365" t="str">
        <f t="shared" si="5"/>
        <v/>
      </c>
      <c r="I37" s="5"/>
      <c r="J37" s="5"/>
      <c r="K37" s="557" t="str">
        <f t="shared" si="6"/>
        <v/>
      </c>
      <c r="L37" s="355"/>
      <c r="M37" s="401" t="b">
        <v>0</v>
      </c>
      <c r="N37" s="366"/>
      <c r="O37" s="5"/>
      <c r="P37" s="363"/>
      <c r="Q37" s="5"/>
      <c r="R37" s="5"/>
      <c r="S37" s="5"/>
      <c r="T37" s="5"/>
      <c r="U37" s="5"/>
      <c r="V37" s="557">
        <f t="shared" si="7"/>
        <v>0</v>
      </c>
      <c r="W37" s="5"/>
      <c r="X37" s="362"/>
      <c r="Y37" s="557"/>
      <c r="Z37" s="557"/>
      <c r="AA37" s="557"/>
      <c r="AB37" s="358"/>
      <c r="AC37" s="557"/>
      <c r="AD37" s="557"/>
      <c r="AE37" s="358"/>
      <c r="AF37" s="557" t="str">
        <f t="shared" si="8"/>
        <v/>
      </c>
      <c r="AG37" s="557" t="str">
        <f t="shared" si="9"/>
        <v/>
      </c>
      <c r="AH37" s="416"/>
      <c r="AI37" s="417"/>
      <c r="AJ37" s="405"/>
      <c r="AK37" s="107" t="s">
        <v>136</v>
      </c>
      <c r="AL37" s="387"/>
    </row>
    <row r="38" spans="1:38" s="356" customFormat="1" ht="47.25" hidden="1" customHeight="1" outlineLevel="3">
      <c r="A38" s="722"/>
      <c r="B38" s="733"/>
      <c r="C38" s="756" t="s">
        <v>122</v>
      </c>
      <c r="D38" s="757"/>
      <c r="E38" s="764" t="s">
        <v>137</v>
      </c>
      <c r="F38" s="765"/>
      <c r="G38" s="5"/>
      <c r="H38" s="365" t="str">
        <f t="shared" si="5"/>
        <v/>
      </c>
      <c r="I38" s="5"/>
      <c r="J38" s="5"/>
      <c r="K38" s="557" t="str">
        <f t="shared" si="6"/>
        <v/>
      </c>
      <c r="L38" s="355"/>
      <c r="M38" s="401" t="b">
        <v>0</v>
      </c>
      <c r="N38" s="366"/>
      <c r="O38" s="5"/>
      <c r="P38" s="363"/>
      <c r="Q38" s="5"/>
      <c r="R38" s="5"/>
      <c r="S38" s="5"/>
      <c r="T38" s="5"/>
      <c r="U38" s="5"/>
      <c r="V38" s="557">
        <f t="shared" si="7"/>
        <v>0</v>
      </c>
      <c r="W38" s="5"/>
      <c r="X38" s="362"/>
      <c r="Y38" s="557"/>
      <c r="Z38" s="557"/>
      <c r="AA38" s="557"/>
      <c r="AB38" s="358"/>
      <c r="AC38" s="557"/>
      <c r="AD38" s="557"/>
      <c r="AE38" s="358"/>
      <c r="AF38" s="557" t="str">
        <f t="shared" si="8"/>
        <v/>
      </c>
      <c r="AG38" s="557" t="str">
        <f t="shared" si="9"/>
        <v/>
      </c>
      <c r="AH38" s="416"/>
      <c r="AI38" s="417"/>
      <c r="AJ38" s="405"/>
      <c r="AK38" s="107" t="s">
        <v>136</v>
      </c>
      <c r="AL38" s="387"/>
    </row>
    <row r="39" spans="1:38" s="356" customFormat="1" ht="33" hidden="1" customHeight="1" outlineLevel="3">
      <c r="A39" s="722"/>
      <c r="B39" s="733"/>
      <c r="C39" s="758"/>
      <c r="D39" s="759"/>
      <c r="E39" s="762" t="s">
        <v>138</v>
      </c>
      <c r="F39" s="763"/>
      <c r="G39" s="5"/>
      <c r="H39" s="365" t="str">
        <f t="shared" si="5"/>
        <v/>
      </c>
      <c r="I39" s="5"/>
      <c r="J39" s="5"/>
      <c r="K39" s="557" t="str">
        <f t="shared" si="6"/>
        <v/>
      </c>
      <c r="L39" s="355"/>
      <c r="M39" s="401" t="b">
        <v>0</v>
      </c>
      <c r="N39" s="366"/>
      <c r="O39" s="5"/>
      <c r="P39" s="363"/>
      <c r="Q39" s="5"/>
      <c r="R39" s="5"/>
      <c r="S39" s="5"/>
      <c r="T39" s="5"/>
      <c r="U39" s="5"/>
      <c r="V39" s="557">
        <f t="shared" si="7"/>
        <v>0</v>
      </c>
      <c r="W39" s="5"/>
      <c r="X39" s="362"/>
      <c r="Y39" s="557"/>
      <c r="Z39" s="557"/>
      <c r="AA39" s="557"/>
      <c r="AB39" s="358"/>
      <c r="AC39" s="557"/>
      <c r="AD39" s="557"/>
      <c r="AE39" s="358"/>
      <c r="AF39" s="557" t="str">
        <f t="shared" si="8"/>
        <v/>
      </c>
      <c r="AG39" s="557" t="str">
        <f t="shared" si="9"/>
        <v/>
      </c>
      <c r="AH39" s="416"/>
      <c r="AI39" s="417"/>
      <c r="AJ39" s="405"/>
      <c r="AK39" s="107" t="s">
        <v>136</v>
      </c>
      <c r="AL39" s="387"/>
    </row>
    <row r="40" spans="1:38" s="356" customFormat="1" ht="48" hidden="1" customHeight="1" outlineLevel="3">
      <c r="A40" s="722"/>
      <c r="B40" s="733"/>
      <c r="C40" s="758"/>
      <c r="D40" s="759"/>
      <c r="E40" s="762" t="s">
        <v>139</v>
      </c>
      <c r="F40" s="763"/>
      <c r="G40" s="5"/>
      <c r="H40" s="365" t="str">
        <f t="shared" si="5"/>
        <v/>
      </c>
      <c r="I40" s="5"/>
      <c r="J40" s="5"/>
      <c r="K40" s="557" t="str">
        <f t="shared" si="6"/>
        <v/>
      </c>
      <c r="L40" s="355"/>
      <c r="M40" s="401" t="b">
        <v>0</v>
      </c>
      <c r="N40" s="366"/>
      <c r="O40" s="5"/>
      <c r="P40" s="363"/>
      <c r="Q40" s="5"/>
      <c r="R40" s="5"/>
      <c r="S40" s="5"/>
      <c r="T40" s="5"/>
      <c r="U40" s="5"/>
      <c r="V40" s="557">
        <f t="shared" si="7"/>
        <v>0</v>
      </c>
      <c r="W40" s="5"/>
      <c r="X40" s="362"/>
      <c r="Y40" s="557"/>
      <c r="Z40" s="557"/>
      <c r="AA40" s="557"/>
      <c r="AB40" s="358"/>
      <c r="AC40" s="557"/>
      <c r="AD40" s="557"/>
      <c r="AE40" s="358"/>
      <c r="AF40" s="557" t="str">
        <f t="shared" si="8"/>
        <v/>
      </c>
      <c r="AG40" s="557" t="str">
        <f t="shared" si="9"/>
        <v/>
      </c>
      <c r="AH40" s="416"/>
      <c r="AI40" s="417"/>
      <c r="AJ40" s="405"/>
      <c r="AK40" s="107" t="s">
        <v>136</v>
      </c>
      <c r="AL40" s="387"/>
    </row>
    <row r="41" spans="1:38" s="356" customFormat="1" ht="33" hidden="1" customHeight="1" outlineLevel="3">
      <c r="A41" s="722"/>
      <c r="B41" s="733"/>
      <c r="C41" s="758"/>
      <c r="D41" s="759"/>
      <c r="E41" s="762" t="s">
        <v>140</v>
      </c>
      <c r="F41" s="763"/>
      <c r="G41" s="5"/>
      <c r="H41" s="365" t="str">
        <f t="shared" si="5"/>
        <v/>
      </c>
      <c r="I41" s="5"/>
      <c r="J41" s="5"/>
      <c r="K41" s="557" t="str">
        <f t="shared" si="6"/>
        <v/>
      </c>
      <c r="L41" s="355"/>
      <c r="M41" s="401" t="b">
        <v>0</v>
      </c>
      <c r="N41" s="366"/>
      <c r="O41" s="5"/>
      <c r="P41" s="363"/>
      <c r="Q41" s="5"/>
      <c r="R41" s="5"/>
      <c r="S41" s="5"/>
      <c r="T41" s="5"/>
      <c r="U41" s="5"/>
      <c r="V41" s="557">
        <f t="shared" si="7"/>
        <v>0</v>
      </c>
      <c r="W41" s="5"/>
      <c r="X41" s="362"/>
      <c r="Y41" s="557"/>
      <c r="Z41" s="557"/>
      <c r="AA41" s="557"/>
      <c r="AB41" s="358"/>
      <c r="AC41" s="557"/>
      <c r="AD41" s="557"/>
      <c r="AE41" s="358"/>
      <c r="AF41" s="557" t="str">
        <f t="shared" si="8"/>
        <v/>
      </c>
      <c r="AG41" s="557" t="str">
        <f t="shared" si="9"/>
        <v/>
      </c>
      <c r="AH41" s="416"/>
      <c r="AI41" s="417"/>
      <c r="AJ41" s="405"/>
      <c r="AK41" s="107" t="s">
        <v>136</v>
      </c>
      <c r="AL41" s="387"/>
    </row>
    <row r="42" spans="1:38" s="356" customFormat="1" ht="48" hidden="1" customHeight="1" outlineLevel="3">
      <c r="A42" s="723"/>
      <c r="B42" s="788"/>
      <c r="C42" s="760"/>
      <c r="D42" s="761"/>
      <c r="E42" s="762" t="s">
        <v>141</v>
      </c>
      <c r="F42" s="763"/>
      <c r="G42" s="5"/>
      <c r="H42" s="365" t="str">
        <f t="shared" si="5"/>
        <v/>
      </c>
      <c r="I42" s="5"/>
      <c r="J42" s="5"/>
      <c r="K42" s="557" t="str">
        <f t="shared" si="6"/>
        <v/>
      </c>
      <c r="L42" s="355"/>
      <c r="M42" s="401" t="b">
        <v>0</v>
      </c>
      <c r="N42" s="366"/>
      <c r="O42" s="5"/>
      <c r="P42" s="363"/>
      <c r="Q42" s="5"/>
      <c r="R42" s="5"/>
      <c r="S42" s="5"/>
      <c r="T42" s="5"/>
      <c r="U42" s="5"/>
      <c r="V42" s="557">
        <f t="shared" si="7"/>
        <v>0</v>
      </c>
      <c r="W42" s="5"/>
      <c r="X42" s="362"/>
      <c r="Y42" s="557"/>
      <c r="Z42" s="557"/>
      <c r="AA42" s="557"/>
      <c r="AB42" s="358"/>
      <c r="AC42" s="557"/>
      <c r="AD42" s="557"/>
      <c r="AE42" s="358"/>
      <c r="AF42" s="557" t="str">
        <f t="shared" si="8"/>
        <v/>
      </c>
      <c r="AG42" s="557" t="str">
        <f t="shared" si="9"/>
        <v/>
      </c>
      <c r="AH42" s="416"/>
      <c r="AI42" s="417"/>
      <c r="AJ42" s="405"/>
      <c r="AK42" s="107" t="s">
        <v>136</v>
      </c>
      <c r="AL42" s="387"/>
    </row>
    <row r="43" spans="1:38" s="356" customFormat="1" ht="33" hidden="1" customHeight="1" outlineLevel="3">
      <c r="A43" s="752"/>
      <c r="B43" s="814" t="s">
        <v>142</v>
      </c>
      <c r="C43" s="803" t="s">
        <v>143</v>
      </c>
      <c r="D43" s="817"/>
      <c r="E43" s="817"/>
      <c r="F43" s="817"/>
      <c r="G43" s="4"/>
      <c r="H43" s="365" t="str">
        <f t="shared" si="5"/>
        <v/>
      </c>
      <c r="I43" s="557"/>
      <c r="J43" s="557"/>
      <c r="K43" s="557"/>
      <c r="L43" s="355"/>
      <c r="M43" s="557"/>
      <c r="N43" s="557"/>
      <c r="O43" s="557"/>
      <c r="P43" s="368"/>
      <c r="Q43" s="557"/>
      <c r="R43" s="557"/>
      <c r="S43" s="557"/>
      <c r="T43" s="557"/>
      <c r="U43" s="557"/>
      <c r="V43" s="557"/>
      <c r="W43" s="557"/>
      <c r="X43" s="574"/>
      <c r="Y43" s="557"/>
      <c r="Z43" s="557"/>
      <c r="AA43" s="557"/>
      <c r="AB43" s="358"/>
      <c r="AC43" s="557"/>
      <c r="AD43" s="557"/>
      <c r="AE43" s="358"/>
      <c r="AF43" s="364"/>
      <c r="AG43" s="364"/>
      <c r="AH43" s="416"/>
      <c r="AI43" s="417"/>
      <c r="AJ43" s="405"/>
      <c r="AK43" s="107"/>
    </row>
    <row r="44" spans="1:38" s="356" customFormat="1" ht="33" hidden="1" customHeight="1" outlineLevel="3">
      <c r="A44" s="753"/>
      <c r="B44" s="815"/>
      <c r="C44" s="803" t="s">
        <v>144</v>
      </c>
      <c r="D44" s="817"/>
      <c r="E44" s="817"/>
      <c r="F44" s="817"/>
      <c r="G44" s="4"/>
      <c r="H44" s="365" t="str">
        <f t="shared" si="5"/>
        <v/>
      </c>
      <c r="I44" s="557"/>
      <c r="J44" s="557"/>
      <c r="K44" s="557"/>
      <c r="L44" s="355"/>
      <c r="M44" s="557"/>
      <c r="N44" s="557"/>
      <c r="O44" s="557"/>
      <c r="P44" s="368"/>
      <c r="Q44" s="557"/>
      <c r="R44" s="557"/>
      <c r="S44" s="557"/>
      <c r="T44" s="557"/>
      <c r="U44" s="557"/>
      <c r="V44" s="557"/>
      <c r="W44" s="557"/>
      <c r="X44" s="574"/>
      <c r="Y44" s="557"/>
      <c r="Z44" s="557"/>
      <c r="AA44" s="557"/>
      <c r="AB44" s="358"/>
      <c r="AC44" s="557"/>
      <c r="AD44" s="557"/>
      <c r="AE44" s="358"/>
      <c r="AF44" s="364"/>
      <c r="AG44" s="364"/>
      <c r="AH44" s="416"/>
      <c r="AI44" s="417"/>
      <c r="AJ44" s="405"/>
      <c r="AK44" s="107"/>
    </row>
    <row r="45" spans="1:38" s="356" customFormat="1" ht="33" hidden="1" customHeight="1" outlineLevel="3">
      <c r="A45" s="753"/>
      <c r="B45" s="815"/>
      <c r="C45" s="803" t="s">
        <v>145</v>
      </c>
      <c r="D45" s="817"/>
      <c r="E45" s="817"/>
      <c r="F45" s="817"/>
      <c r="G45" s="4"/>
      <c r="H45" s="365" t="str">
        <f t="shared" si="5"/>
        <v/>
      </c>
      <c r="I45" s="557"/>
      <c r="J45" s="557"/>
      <c r="K45" s="557"/>
      <c r="L45" s="355"/>
      <c r="M45" s="557"/>
      <c r="N45" s="557"/>
      <c r="O45" s="557"/>
      <c r="P45" s="368"/>
      <c r="Q45" s="557"/>
      <c r="R45" s="557"/>
      <c r="S45" s="557"/>
      <c r="T45" s="557"/>
      <c r="U45" s="557"/>
      <c r="V45" s="557"/>
      <c r="W45" s="557"/>
      <c r="X45" s="574"/>
      <c r="Y45" s="557"/>
      <c r="Z45" s="557"/>
      <c r="AA45" s="557"/>
      <c r="AB45" s="358"/>
      <c r="AC45" s="557"/>
      <c r="AD45" s="557"/>
      <c r="AE45" s="358"/>
      <c r="AF45" s="364"/>
      <c r="AG45" s="364"/>
      <c r="AH45" s="416"/>
      <c r="AI45" s="417"/>
      <c r="AJ45" s="405"/>
      <c r="AK45" s="107"/>
    </row>
    <row r="46" spans="1:38" s="356" customFormat="1" ht="33" hidden="1" customHeight="1" outlineLevel="3">
      <c r="A46" s="753"/>
      <c r="B46" s="815"/>
      <c r="C46" s="803" t="s">
        <v>146</v>
      </c>
      <c r="D46" s="817"/>
      <c r="E46" s="817"/>
      <c r="F46" s="817"/>
      <c r="G46" s="4"/>
      <c r="H46" s="365"/>
      <c r="I46" s="557"/>
      <c r="J46" s="557"/>
      <c r="K46" s="557"/>
      <c r="L46" s="355"/>
      <c r="M46" s="557"/>
      <c r="N46" s="557"/>
      <c r="O46" s="557"/>
      <c r="P46" s="368"/>
      <c r="Q46" s="557"/>
      <c r="R46" s="557"/>
      <c r="S46" s="557"/>
      <c r="T46" s="557"/>
      <c r="U46" s="557"/>
      <c r="V46" s="557"/>
      <c r="W46" s="557"/>
      <c r="X46" s="574"/>
      <c r="Y46" s="557"/>
      <c r="Z46" s="557"/>
      <c r="AA46" s="557"/>
      <c r="AB46" s="358"/>
      <c r="AC46" s="557"/>
      <c r="AD46" s="557"/>
      <c r="AE46" s="358"/>
      <c r="AF46" s="364"/>
      <c r="AG46" s="364"/>
      <c r="AH46" s="416"/>
      <c r="AI46" s="417"/>
      <c r="AJ46" s="405"/>
      <c r="AK46" s="107"/>
    </row>
    <row r="47" spans="1:38" s="356" customFormat="1" ht="33" hidden="1" customHeight="1" outlineLevel="3">
      <c r="A47" s="753"/>
      <c r="B47" s="816"/>
      <c r="C47" s="818" t="s">
        <v>147</v>
      </c>
      <c r="D47" s="819"/>
      <c r="E47" s="819"/>
      <c r="F47" s="819"/>
      <c r="G47" s="4"/>
      <c r="H47" s="365" t="str">
        <f>IF(G47="","",G47/$G$52)</f>
        <v/>
      </c>
      <c r="I47" s="557"/>
      <c r="J47" s="557"/>
      <c r="K47" s="557"/>
      <c r="L47" s="355"/>
      <c r="M47" s="557"/>
      <c r="N47" s="557"/>
      <c r="O47" s="557"/>
      <c r="P47" s="368"/>
      <c r="Q47" s="557"/>
      <c r="R47" s="557"/>
      <c r="S47" s="557"/>
      <c r="T47" s="557"/>
      <c r="U47" s="557"/>
      <c r="V47" s="557"/>
      <c r="W47" s="557"/>
      <c r="X47" s="574"/>
      <c r="Y47" s="557"/>
      <c r="Z47" s="557"/>
      <c r="AA47" s="557"/>
      <c r="AB47" s="358"/>
      <c r="AC47" s="557"/>
      <c r="AD47" s="557"/>
      <c r="AE47" s="358"/>
      <c r="AF47" s="364"/>
      <c r="AG47" s="364"/>
      <c r="AH47" s="416"/>
      <c r="AI47" s="417"/>
      <c r="AJ47" s="405"/>
      <c r="AK47" s="107"/>
    </row>
    <row r="48" spans="1:38" s="356" customFormat="1" ht="16" hidden="1" outlineLevel="1">
      <c r="A48" s="575"/>
      <c r="B48" s="576"/>
      <c r="C48" s="576"/>
      <c r="D48" s="576"/>
      <c r="E48" s="576"/>
      <c r="F48" s="576"/>
      <c r="G48" s="576"/>
      <c r="H48" s="577"/>
      <c r="I48" s="577"/>
      <c r="J48" s="577"/>
      <c r="K48" s="577"/>
      <c r="L48" s="578"/>
      <c r="M48" s="579"/>
      <c r="N48" s="579"/>
      <c r="O48" s="579"/>
      <c r="P48" s="580"/>
      <c r="Q48" s="406"/>
      <c r="R48" s="373"/>
      <c r="S48" s="581"/>
      <c r="T48" s="372"/>
      <c r="U48" s="407"/>
      <c r="V48" s="407"/>
      <c r="W48" s="407"/>
      <c r="X48" s="582"/>
      <c r="Y48" s="583"/>
      <c r="Z48" s="12"/>
      <c r="AA48" s="12"/>
      <c r="AB48" s="358"/>
      <c r="AC48" s="12"/>
      <c r="AD48" s="12"/>
      <c r="AE48" s="358"/>
      <c r="AF48" s="353"/>
      <c r="AG48" s="353"/>
      <c r="AH48" s="416"/>
      <c r="AI48" s="417"/>
      <c r="AJ48" s="405"/>
      <c r="AK48" s="405"/>
    </row>
    <row r="49" spans="1:37" s="356" customFormat="1" ht="34" hidden="1" outlineLevel="1">
      <c r="A49" s="575"/>
      <c r="B49" s="370" t="s">
        <v>148</v>
      </c>
      <c r="C49" s="370"/>
      <c r="D49" s="370"/>
      <c r="E49" s="370"/>
      <c r="F49" s="370"/>
      <c r="G49" s="370" t="s">
        <v>149</v>
      </c>
      <c r="H49" s="370" t="s">
        <v>150</v>
      </c>
      <c r="I49" s="371"/>
      <c r="J49" s="371"/>
      <c r="K49" s="371"/>
      <c r="L49" s="583"/>
      <c r="M49" s="14"/>
      <c r="N49" s="14"/>
      <c r="O49" s="14"/>
      <c r="P49" s="14"/>
      <c r="Q49" s="372"/>
      <c r="R49" s="372"/>
      <c r="S49" s="581"/>
      <c r="T49" s="372"/>
      <c r="U49" s="372"/>
      <c r="V49" s="373"/>
      <c r="W49" s="373"/>
      <c r="X49" s="582"/>
      <c r="Y49" s="582"/>
      <c r="Z49" s="12"/>
      <c r="AA49" s="12"/>
      <c r="AB49" s="358"/>
      <c r="AC49" s="12"/>
      <c r="AD49" s="12"/>
      <c r="AE49" s="358"/>
      <c r="AF49" s="353"/>
      <c r="AG49" s="353"/>
      <c r="AH49" s="416"/>
      <c r="AI49" s="417"/>
      <c r="AJ49" s="405"/>
      <c r="AK49" s="405"/>
    </row>
    <row r="50" spans="1:37" s="356" customFormat="1" ht="37.25" hidden="1" customHeight="1" outlineLevel="1">
      <c r="A50" s="575"/>
      <c r="B50" s="812" t="s">
        <v>151</v>
      </c>
      <c r="C50" s="813"/>
      <c r="D50" s="813"/>
      <c r="E50" s="813"/>
      <c r="F50" s="813"/>
      <c r="G50" s="557">
        <f>IF(SUM(G20:G42)="","",SUM(G20:G42))</f>
        <v>0</v>
      </c>
      <c r="H50" s="365" t="str">
        <f>IF(G52=0,"",G50/$G$52)</f>
        <v/>
      </c>
      <c r="I50" s="374"/>
      <c r="J50" s="374"/>
      <c r="K50" s="374"/>
      <c r="L50" s="374"/>
      <c r="M50" s="14"/>
      <c r="N50" s="14"/>
      <c r="O50" s="14"/>
      <c r="P50" s="14"/>
      <c r="Q50" s="373"/>
      <c r="R50" s="373"/>
      <c r="S50" s="375"/>
      <c r="T50" s="373"/>
      <c r="U50" s="373"/>
      <c r="V50" s="373"/>
      <c r="W50" s="373"/>
      <c r="X50" s="582"/>
      <c r="Y50" s="582"/>
      <c r="Z50" s="12"/>
      <c r="AA50" s="12"/>
      <c r="AB50" s="358"/>
      <c r="AC50" s="12"/>
      <c r="AD50" s="12"/>
      <c r="AE50" s="358"/>
      <c r="AF50" s="353"/>
      <c r="AG50" s="353"/>
      <c r="AH50" s="416"/>
      <c r="AI50" s="417"/>
      <c r="AJ50" s="405"/>
      <c r="AK50" s="405"/>
    </row>
    <row r="51" spans="1:37" s="356" customFormat="1" ht="37.25" hidden="1" customHeight="1" outlineLevel="1">
      <c r="A51" s="575"/>
      <c r="B51" s="812" t="s">
        <v>152</v>
      </c>
      <c r="C51" s="813"/>
      <c r="D51" s="813"/>
      <c r="E51" s="813"/>
      <c r="F51" s="813"/>
      <c r="G51" s="557">
        <f>+SUM(G43:G47)</f>
        <v>0</v>
      </c>
      <c r="H51" s="365" t="str">
        <f>IF(G52=0,"",G51/$G$52)</f>
        <v/>
      </c>
      <c r="I51" s="374"/>
      <c r="J51" s="374"/>
      <c r="K51" s="374"/>
      <c r="L51" s="374"/>
      <c r="M51" s="14"/>
      <c r="N51" s="14"/>
      <c r="O51" s="14"/>
      <c r="P51" s="14"/>
      <c r="Q51" s="373"/>
      <c r="R51" s="373"/>
      <c r="S51" s="584"/>
      <c r="T51" s="373"/>
      <c r="U51" s="373"/>
      <c r="V51" s="373"/>
      <c r="W51" s="373"/>
      <c r="X51" s="582"/>
      <c r="Y51" s="582"/>
      <c r="Z51" s="12"/>
      <c r="AA51" s="12"/>
      <c r="AB51" s="358"/>
      <c r="AC51" s="12"/>
      <c r="AD51" s="12"/>
      <c r="AE51" s="358"/>
      <c r="AF51" s="353"/>
      <c r="AG51" s="353"/>
      <c r="AH51" s="355"/>
    </row>
    <row r="52" spans="1:37" s="356" customFormat="1" ht="37.25" hidden="1" customHeight="1" outlineLevel="1">
      <c r="A52" s="575"/>
      <c r="B52" s="789" t="s">
        <v>153</v>
      </c>
      <c r="C52" s="790"/>
      <c r="D52" s="790"/>
      <c r="E52" s="790"/>
      <c r="F52" s="790"/>
      <c r="G52" s="376">
        <f>+G50+G51</f>
        <v>0</v>
      </c>
      <c r="H52" s="418"/>
      <c r="I52" s="827" t="str">
        <f>IF(G52="","",IF(G52&lt;&gt;'Financial activity types '!C12,"Error: The total must match the total in the Financial activity types tab","Exposure OK"))</f>
        <v>Exposure OK</v>
      </c>
      <c r="J52" s="827"/>
      <c r="K52" s="827"/>
      <c r="L52" s="355"/>
      <c r="M52" s="706" t="s">
        <v>154</v>
      </c>
      <c r="N52" s="706"/>
      <c r="O52" s="706"/>
      <c r="P52" s="419"/>
      <c r="Q52" s="420"/>
      <c r="R52" s="420"/>
      <c r="S52" s="420"/>
      <c r="T52" s="420"/>
      <c r="U52" s="420"/>
      <c r="V52" s="373"/>
      <c r="W52" s="373"/>
      <c r="X52" s="582"/>
      <c r="Y52" s="582"/>
      <c r="Z52" s="12"/>
      <c r="AA52" s="12"/>
      <c r="AB52" s="358"/>
      <c r="AC52" s="12"/>
      <c r="AD52" s="12"/>
      <c r="AE52" s="358"/>
      <c r="AF52" s="353"/>
      <c r="AG52" s="353"/>
      <c r="AH52" s="355"/>
    </row>
    <row r="53" spans="1:37" s="356" customFormat="1" ht="37.25" hidden="1" customHeight="1" outlineLevel="1">
      <c r="A53" s="575"/>
      <c r="B53" s="791" t="s">
        <v>155</v>
      </c>
      <c r="C53" s="792"/>
      <c r="D53" s="792"/>
      <c r="E53" s="792"/>
      <c r="F53" s="792"/>
      <c r="G53" s="376">
        <f>(SUMIF(M20:M36,TRUE,V20:V36)+SUMIF(N20:N36,TRUE,Z20:Z36)-SUMIFS(AC20:AC36,M20:M36,TRUE,N20:N36,TRUE))</f>
        <v>0</v>
      </c>
      <c r="H53" s="377" t="e">
        <f>G53/SUM(G20:G36)</f>
        <v>#DIV/0!</v>
      </c>
      <c r="I53" s="828" t="e">
        <f>IF(G52="","",IF(H53&lt;&gt;100%,"Error: The FI must cover 100% of segments A, B, and C","Coverage OK"))</f>
        <v>#DIV/0!</v>
      </c>
      <c r="J53" s="828"/>
      <c r="K53" s="828"/>
      <c r="L53" s="355"/>
      <c r="M53" s="706"/>
      <c r="N53" s="706"/>
      <c r="O53" s="706"/>
      <c r="P53" s="14"/>
      <c r="Q53" s="373"/>
      <c r="R53" s="373"/>
      <c r="S53" s="378"/>
      <c r="T53" s="378"/>
      <c r="U53" s="379"/>
      <c r="V53" s="373"/>
      <c r="W53" s="373"/>
      <c r="X53" s="380"/>
      <c r="Y53" s="582"/>
      <c r="Z53" s="12"/>
      <c r="AA53" s="12"/>
      <c r="AB53" s="358"/>
      <c r="AC53" s="12"/>
      <c r="AD53" s="12"/>
      <c r="AE53" s="358"/>
      <c r="AF53" s="353"/>
      <c r="AG53" s="353"/>
      <c r="AH53" s="355"/>
    </row>
    <row r="54" spans="1:37" s="356" customFormat="1" ht="51.75" hidden="1" customHeight="1" outlineLevel="1">
      <c r="A54" s="575"/>
      <c r="B54" s="791" t="s">
        <v>156</v>
      </c>
      <c r="C54" s="792"/>
      <c r="D54" s="792"/>
      <c r="E54" s="792"/>
      <c r="F54" s="792"/>
      <c r="G54" s="376">
        <f>(SUMIF(M20:M42,TRUE,V20:V42)+SUMIF(N20:N42,TRUE,Z20:Z42)-SUMIFS(AC20:AC42,M20:M42,TRUE,N20:N42,TRUE))</f>
        <v>0</v>
      </c>
      <c r="H54" s="377" t="e">
        <f>G54/SUM(G20:G42)</f>
        <v>#DIV/0!</v>
      </c>
      <c r="I54" s="828" t="e">
        <f>IF(G52="","",IF(H54&lt;67%,"Error: The FI must cover 67% or more of segment A, B, C, and D","Coverage OK"))</f>
        <v>#DIV/0!</v>
      </c>
      <c r="J54" s="828"/>
      <c r="K54" s="828"/>
      <c r="L54" s="355"/>
      <c r="M54" s="706"/>
      <c r="N54" s="706"/>
      <c r="O54" s="706"/>
      <c r="P54" s="14"/>
      <c r="Q54" s="381"/>
      <c r="R54" s="381"/>
      <c r="S54" s="378"/>
      <c r="T54" s="378"/>
      <c r="U54" s="379"/>
      <c r="V54" s="381"/>
      <c r="W54" s="381"/>
      <c r="X54" s="382"/>
      <c r="Y54" s="582"/>
      <c r="Z54" s="12"/>
      <c r="AA54" s="12"/>
      <c r="AB54" s="358"/>
      <c r="AC54" s="12"/>
      <c r="AD54" s="12"/>
      <c r="AE54" s="358"/>
      <c r="AF54" s="353"/>
      <c r="AG54" s="353"/>
      <c r="AH54" s="355"/>
    </row>
    <row r="55" spans="1:37" s="356" customFormat="1" ht="37.25" hidden="1" customHeight="1" outlineLevel="1">
      <c r="A55" s="575"/>
      <c r="B55" s="754" t="s">
        <v>157</v>
      </c>
      <c r="C55" s="755"/>
      <c r="D55" s="755"/>
      <c r="E55" s="755"/>
      <c r="F55" s="755"/>
      <c r="G55" s="557">
        <f>SUMIF(M20:M42,TRUE,V20:V42)</f>
        <v>0</v>
      </c>
      <c r="H55" s="365" t="e">
        <f>G55/SUM(G20:G42)</f>
        <v>#DIV/0!</v>
      </c>
      <c r="I55" s="374"/>
      <c r="J55" s="374"/>
      <c r="K55" s="374"/>
      <c r="L55" s="355"/>
      <c r="M55" s="706"/>
      <c r="N55" s="706"/>
      <c r="O55" s="706"/>
      <c r="P55" s="14"/>
      <c r="Q55" s="383"/>
      <c r="R55" s="383"/>
      <c r="S55" s="378"/>
      <c r="T55" s="378"/>
      <c r="U55" s="378"/>
      <c r="V55" s="383"/>
      <c r="W55" s="383"/>
      <c r="X55" s="384"/>
      <c r="Y55" s="585"/>
      <c r="Z55" s="12"/>
      <c r="AA55" s="12"/>
      <c r="AB55" s="358"/>
      <c r="AC55" s="12"/>
      <c r="AD55" s="12"/>
      <c r="AE55" s="358"/>
      <c r="AF55" s="353"/>
      <c r="AG55" s="353"/>
      <c r="AH55" s="355"/>
    </row>
    <row r="56" spans="1:37" s="356" customFormat="1" ht="37.25" hidden="1" customHeight="1" outlineLevel="1">
      <c r="A56" s="575"/>
      <c r="B56" s="754" t="s">
        <v>158</v>
      </c>
      <c r="C56" s="755"/>
      <c r="D56" s="755"/>
      <c r="E56" s="755"/>
      <c r="F56" s="755"/>
      <c r="G56" s="557">
        <f>SUMIF(N20:N42,TRUE,Z20:Z42)</f>
        <v>0</v>
      </c>
      <c r="H56" s="365" t="e">
        <f>G56/SUM(G20:G42)</f>
        <v>#DIV/0!</v>
      </c>
      <c r="I56" s="385"/>
      <c r="J56" s="385"/>
      <c r="K56" s="385"/>
      <c r="L56" s="355"/>
      <c r="M56" s="706"/>
      <c r="N56" s="706"/>
      <c r="O56" s="706"/>
      <c r="P56" s="14"/>
      <c r="Q56" s="383"/>
      <c r="R56" s="383"/>
      <c r="S56" s="378"/>
      <c r="T56" s="378"/>
      <c r="U56" s="378"/>
      <c r="V56" s="383"/>
      <c r="W56" s="383"/>
      <c r="X56" s="384"/>
      <c r="Y56" s="585"/>
      <c r="Z56" s="12"/>
      <c r="AA56" s="12"/>
      <c r="AB56" s="358"/>
      <c r="AC56" s="12"/>
      <c r="AD56" s="12"/>
      <c r="AE56" s="358"/>
      <c r="AF56" s="353"/>
      <c r="AG56" s="353"/>
      <c r="AH56" s="355"/>
    </row>
    <row r="57" spans="1:37" s="356" customFormat="1" ht="37.25" hidden="1" customHeight="1" outlineLevel="1">
      <c r="A57" s="575"/>
      <c r="B57" s="754" t="s">
        <v>159</v>
      </c>
      <c r="C57" s="755"/>
      <c r="D57" s="755"/>
      <c r="E57" s="755"/>
      <c r="F57" s="755"/>
      <c r="G57" s="557">
        <f>SUMIFS(AC20:AC42,M20:M42,TRUE,N20:N42,TRUE)</f>
        <v>0</v>
      </c>
      <c r="H57" s="365" t="e">
        <f>G57/SUM(G20:G42)</f>
        <v>#DIV/0!</v>
      </c>
      <c r="I57" s="374"/>
      <c r="J57" s="374"/>
      <c r="K57" s="374"/>
      <c r="L57" s="374"/>
      <c r="M57" s="706"/>
      <c r="N57" s="706"/>
      <c r="O57" s="706"/>
      <c r="P57" s="14"/>
      <c r="Q57" s="383"/>
      <c r="R57" s="383"/>
      <c r="S57" s="378"/>
      <c r="T57" s="378"/>
      <c r="U57" s="378"/>
      <c r="V57" s="383"/>
      <c r="W57" s="383"/>
      <c r="X57" s="384"/>
      <c r="Y57" s="585"/>
      <c r="Z57" s="12"/>
      <c r="AA57" s="12"/>
      <c r="AB57" s="358"/>
      <c r="AC57" s="12"/>
      <c r="AD57" s="12"/>
      <c r="AE57" s="358"/>
      <c r="AF57" s="353"/>
      <c r="AG57" s="353"/>
      <c r="AH57" s="355"/>
    </row>
    <row r="58" spans="1:37" s="356" customFormat="1" ht="46.5" hidden="1" customHeight="1" outlineLevel="1">
      <c r="A58" s="12"/>
      <c r="B58" s="791" t="s">
        <v>160</v>
      </c>
      <c r="C58" s="792"/>
      <c r="D58" s="792"/>
      <c r="E58" s="792"/>
      <c r="F58" s="792"/>
      <c r="G58" s="376">
        <f>(SUMIF(M20:M42,TRUE,W20:W42)+SUMIF(N20:N42,TRUE,AA20:AA42)-SUMIFS(AD20:AD42,M20:M42,TRUE,N20:N42,TRUE))</f>
        <v>0</v>
      </c>
      <c r="H58" s="377" t="e">
        <f>G58/SUM(K20:K42)</f>
        <v>#DIV/0!</v>
      </c>
      <c r="I58" s="828" t="e">
        <f>IF(G52="","",IF(H58&lt;67%,"Error: The FI must cover 67% or more of segments A, B, C, and D","Coverage OK"))</f>
        <v>#DIV/0!</v>
      </c>
      <c r="J58" s="828"/>
      <c r="K58" s="828"/>
      <c r="L58" s="358"/>
      <c r="M58" s="706"/>
      <c r="N58" s="706"/>
      <c r="O58" s="706"/>
      <c r="P58" s="353"/>
      <c r="Q58" s="354"/>
      <c r="R58" s="354"/>
      <c r="S58" s="12"/>
      <c r="T58" s="354"/>
      <c r="U58" s="354"/>
      <c r="V58" s="354"/>
      <c r="W58" s="354"/>
      <c r="X58" s="358"/>
      <c r="Y58" s="353"/>
      <c r="Z58" s="12"/>
      <c r="AA58" s="12"/>
      <c r="AB58" s="358"/>
      <c r="AC58" s="12"/>
      <c r="AD58" s="12"/>
      <c r="AE58" s="358"/>
      <c r="AF58" s="353"/>
      <c r="AG58" s="353"/>
      <c r="AH58" s="355"/>
    </row>
    <row r="59" spans="1:37" s="356" customFormat="1">
      <c r="A59" s="12"/>
      <c r="B59" s="12"/>
      <c r="C59" s="12"/>
      <c r="D59" s="12"/>
      <c r="E59" s="12"/>
      <c r="F59" s="12"/>
      <c r="G59" s="12"/>
      <c r="H59" s="12"/>
      <c r="I59" s="12"/>
      <c r="J59" s="12"/>
      <c r="K59" s="12"/>
      <c r="L59" s="358"/>
      <c r="M59" s="12"/>
      <c r="N59" s="12"/>
      <c r="O59" s="12"/>
      <c r="P59" s="353"/>
      <c r="Q59" s="354"/>
      <c r="R59" s="354"/>
      <c r="S59" s="12"/>
      <c r="T59" s="354"/>
      <c r="U59" s="354"/>
      <c r="V59" s="354"/>
      <c r="W59" s="354"/>
      <c r="X59" s="358"/>
      <c r="Y59" s="353"/>
      <c r="Z59" s="12"/>
      <c r="AA59" s="12"/>
      <c r="AB59" s="358"/>
      <c r="AC59" s="12"/>
      <c r="AD59" s="12"/>
      <c r="AE59" s="358"/>
      <c r="AF59" s="353"/>
      <c r="AG59" s="353"/>
      <c r="AH59" s="355"/>
    </row>
    <row r="60" spans="1:37" s="356" customFormat="1">
      <c r="A60" s="12"/>
      <c r="B60" s="12"/>
      <c r="C60" s="12"/>
      <c r="D60" s="12"/>
      <c r="E60" s="12"/>
      <c r="F60" s="12"/>
      <c r="G60" s="12"/>
      <c r="H60" s="12"/>
      <c r="I60" s="12"/>
      <c r="J60" s="12"/>
      <c r="K60" s="12"/>
      <c r="L60" s="353"/>
      <c r="M60" s="12"/>
      <c r="N60" s="12"/>
      <c r="O60" s="12"/>
      <c r="P60" s="353"/>
      <c r="Q60" s="354"/>
      <c r="R60" s="354"/>
      <c r="S60" s="12"/>
      <c r="T60" s="354"/>
      <c r="U60" s="354"/>
      <c r="V60" s="354"/>
      <c r="W60" s="354"/>
      <c r="X60" s="353"/>
      <c r="Y60" s="353"/>
      <c r="Z60" s="12"/>
      <c r="AA60" s="12"/>
      <c r="AB60" s="353"/>
      <c r="AC60" s="12"/>
      <c r="AD60" s="12"/>
      <c r="AE60" s="353"/>
      <c r="AF60" s="353"/>
      <c r="AG60" s="353"/>
      <c r="AH60" s="355"/>
    </row>
    <row r="61" spans="1:37" s="356" customFormat="1" ht="22.25" customHeight="1" collapsed="1">
      <c r="A61" s="793" t="s">
        <v>161</v>
      </c>
      <c r="B61" s="793"/>
      <c r="C61" s="793"/>
      <c r="D61" s="793"/>
      <c r="E61" s="793"/>
      <c r="F61" s="793"/>
      <c r="G61" s="793"/>
      <c r="H61" s="793"/>
      <c r="I61" s="793"/>
      <c r="J61" s="793"/>
      <c r="K61" s="793"/>
      <c r="L61" s="793"/>
      <c r="M61" s="793"/>
      <c r="N61" s="793"/>
      <c r="O61" s="793"/>
      <c r="P61" s="793"/>
      <c r="Q61" s="793"/>
      <c r="R61" s="793"/>
      <c r="S61" s="793"/>
      <c r="T61" s="793"/>
      <c r="U61" s="793"/>
      <c r="V61" s="793"/>
      <c r="W61" s="793"/>
      <c r="X61" s="793"/>
      <c r="Y61" s="793"/>
      <c r="Z61" s="793"/>
      <c r="AA61" s="793"/>
      <c r="AB61" s="793"/>
      <c r="AC61" s="793"/>
      <c r="AD61" s="793"/>
      <c r="AE61" s="793"/>
      <c r="AF61" s="793"/>
      <c r="AG61" s="552"/>
      <c r="AH61" s="355"/>
    </row>
    <row r="62" spans="1:37" s="356" customFormat="1" ht="41" hidden="1" customHeight="1" outlineLevel="1" collapsed="1">
      <c r="A62" s="731" t="s">
        <v>162</v>
      </c>
      <c r="B62" s="731"/>
      <c r="C62" s="731"/>
      <c r="D62" s="731"/>
      <c r="E62" s="731"/>
      <c r="F62" s="731"/>
      <c r="G62" s="731"/>
      <c r="H62" s="731"/>
      <c r="I62" s="731"/>
      <c r="J62" s="731"/>
      <c r="K62" s="731"/>
      <c r="L62" s="731"/>
      <c r="M62" s="731"/>
      <c r="N62" s="731"/>
      <c r="O62" s="731"/>
      <c r="P62" s="731"/>
      <c r="Q62" s="731"/>
      <c r="R62" s="731"/>
      <c r="S62" s="731"/>
      <c r="T62" s="731"/>
      <c r="U62" s="731"/>
      <c r="V62" s="731"/>
      <c r="W62" s="731"/>
      <c r="X62" s="731"/>
      <c r="Y62" s="731"/>
      <c r="Z62" s="731"/>
      <c r="AA62" s="731"/>
      <c r="AB62" s="731"/>
      <c r="AC62" s="731"/>
      <c r="AD62" s="731"/>
      <c r="AE62" s="731"/>
      <c r="AF62" s="731"/>
      <c r="AG62" s="547"/>
      <c r="AH62" s="355"/>
    </row>
    <row r="63" spans="1:37" s="356" customFormat="1" hidden="1" outlineLevel="2">
      <c r="A63" s="12"/>
      <c r="B63" s="12"/>
      <c r="C63" s="12"/>
      <c r="D63" s="12"/>
      <c r="E63" s="12"/>
      <c r="F63" s="12"/>
      <c r="G63" s="12"/>
      <c r="H63" s="12"/>
      <c r="I63" s="12"/>
      <c r="J63" s="12"/>
      <c r="K63" s="12"/>
      <c r="L63" s="358"/>
      <c r="M63" s="12"/>
      <c r="N63" s="12"/>
      <c r="O63" s="12"/>
      <c r="P63" s="353"/>
      <c r="Q63" s="354"/>
      <c r="R63" s="354"/>
      <c r="S63" s="12"/>
      <c r="T63" s="354"/>
      <c r="U63" s="354"/>
      <c r="V63" s="354"/>
      <c r="W63" s="354"/>
      <c r="X63" s="358"/>
      <c r="Y63" s="353"/>
      <c r="Z63" s="12"/>
      <c r="AA63" s="12"/>
      <c r="AB63" s="358"/>
      <c r="AC63" s="12"/>
      <c r="AD63" s="12"/>
      <c r="AE63" s="358"/>
      <c r="AF63" s="353"/>
      <c r="AG63" s="353"/>
      <c r="AH63" s="355"/>
    </row>
    <row r="64" spans="1:37" s="356" customFormat="1" ht="43.25" hidden="1" customHeight="1" outlineLevel="2">
      <c r="A64" s="12"/>
      <c r="B64" s="714" t="s">
        <v>163</v>
      </c>
      <c r="C64" s="715"/>
      <c r="D64" s="719"/>
      <c r="E64" s="720"/>
      <c r="F64" s="12"/>
      <c r="G64" s="824" t="s">
        <v>83</v>
      </c>
      <c r="H64" s="825"/>
      <c r="I64" s="825"/>
      <c r="J64" s="825"/>
      <c r="K64" s="825"/>
      <c r="L64" s="825"/>
      <c r="M64" s="825"/>
      <c r="N64" s="12"/>
      <c r="O64" s="12"/>
      <c r="P64" s="353"/>
      <c r="Q64" s="354"/>
      <c r="R64" s="354"/>
      <c r="S64" s="12"/>
      <c r="T64" s="354"/>
      <c r="U64" s="354"/>
      <c r="V64" s="354"/>
      <c r="W64" s="354"/>
      <c r="X64" s="358"/>
      <c r="Y64" s="353"/>
      <c r="Z64" s="12"/>
      <c r="AA64" s="12"/>
      <c r="AB64" s="358"/>
      <c r="AC64" s="12"/>
      <c r="AD64" s="12"/>
      <c r="AE64" s="358"/>
      <c r="AF64" s="353"/>
      <c r="AG64" s="353"/>
      <c r="AH64" s="355"/>
    </row>
    <row r="65" spans="1:39" s="356" customFormat="1" ht="43.25" hidden="1" customHeight="1" outlineLevel="2">
      <c r="A65" s="12"/>
      <c r="B65" s="714" t="s">
        <v>164</v>
      </c>
      <c r="C65" s="715"/>
      <c r="D65" s="719"/>
      <c r="E65" s="720"/>
      <c r="F65" s="12"/>
      <c r="G65" s="825"/>
      <c r="H65" s="825"/>
      <c r="I65" s="825"/>
      <c r="J65" s="825"/>
      <c r="K65" s="825"/>
      <c r="L65" s="825"/>
      <c r="M65" s="825"/>
      <c r="N65" s="12"/>
      <c r="O65" s="12"/>
      <c r="P65" s="353"/>
      <c r="Q65" s="354"/>
      <c r="R65" s="354"/>
      <c r="S65" s="12"/>
      <c r="T65" s="354"/>
      <c r="U65" s="354"/>
      <c r="V65" s="354"/>
      <c r="W65" s="354"/>
      <c r="X65" s="358"/>
      <c r="Y65" s="353"/>
      <c r="Z65" s="12"/>
      <c r="AA65" s="12"/>
      <c r="AB65" s="358"/>
      <c r="AC65" s="12"/>
      <c r="AD65" s="12"/>
      <c r="AE65" s="358"/>
      <c r="AF65" s="353"/>
      <c r="AG65" s="353"/>
      <c r="AH65" s="355"/>
    </row>
    <row r="66" spans="1:39" s="356" customFormat="1" ht="43.25" hidden="1" customHeight="1" outlineLevel="2">
      <c r="A66" s="12"/>
      <c r="B66" s="714" t="s">
        <v>165</v>
      </c>
      <c r="C66" s="715"/>
      <c r="D66" s="719"/>
      <c r="E66" s="720"/>
      <c r="F66" s="12"/>
      <c r="G66" s="825"/>
      <c r="H66" s="825"/>
      <c r="I66" s="825"/>
      <c r="J66" s="825"/>
      <c r="K66" s="825"/>
      <c r="L66" s="825"/>
      <c r="M66" s="825"/>
      <c r="N66" s="12"/>
      <c r="O66" s="12"/>
      <c r="P66" s="353"/>
      <c r="Q66" s="354"/>
      <c r="R66" s="354"/>
      <c r="S66" s="12"/>
      <c r="T66" s="354"/>
      <c r="U66" s="354"/>
      <c r="V66" s="354"/>
      <c r="W66" s="354"/>
      <c r="X66" s="358"/>
      <c r="Y66" s="353"/>
      <c r="Z66" s="12"/>
      <c r="AA66" s="12"/>
      <c r="AB66" s="358"/>
      <c r="AC66" s="12"/>
      <c r="AD66" s="12"/>
      <c r="AE66" s="358"/>
      <c r="AF66" s="353"/>
      <c r="AG66" s="353"/>
      <c r="AH66" s="355"/>
    </row>
    <row r="67" spans="1:39" s="356" customFormat="1" ht="43.25" hidden="1" customHeight="1" outlineLevel="2">
      <c r="A67" s="12"/>
      <c r="B67" s="714" t="s">
        <v>166</v>
      </c>
      <c r="C67" s="715"/>
      <c r="D67" s="719"/>
      <c r="E67" s="720"/>
      <c r="F67" s="12"/>
      <c r="G67" s="825"/>
      <c r="H67" s="825"/>
      <c r="I67" s="825"/>
      <c r="J67" s="825"/>
      <c r="K67" s="825"/>
      <c r="L67" s="825"/>
      <c r="M67" s="825"/>
      <c r="N67" s="12"/>
      <c r="O67" s="12"/>
      <c r="P67" s="353"/>
      <c r="Q67" s="354"/>
      <c r="R67" s="354"/>
      <c r="S67" s="12"/>
      <c r="T67" s="354"/>
      <c r="U67" s="354"/>
      <c r="V67" s="354"/>
      <c r="W67" s="354"/>
      <c r="X67" s="358"/>
      <c r="Y67" s="353"/>
      <c r="Z67" s="12"/>
      <c r="AA67" s="12"/>
      <c r="AB67" s="358"/>
      <c r="AC67" s="12"/>
      <c r="AD67" s="12"/>
      <c r="AE67" s="358"/>
      <c r="AF67" s="353"/>
      <c r="AG67" s="353"/>
      <c r="AH67" s="416"/>
      <c r="AI67" s="417"/>
      <c r="AJ67" s="405"/>
      <c r="AK67" s="405"/>
    </row>
    <row r="68" spans="1:39" s="356" customFormat="1" ht="15" hidden="1" customHeight="1" outlineLevel="2">
      <c r="A68" s="12"/>
      <c r="B68" s="13"/>
      <c r="C68" s="13"/>
      <c r="D68" s="13"/>
      <c r="E68" s="13"/>
      <c r="F68" s="12"/>
      <c r="G68" s="12"/>
      <c r="H68" s="12"/>
      <c r="I68" s="12"/>
      <c r="J68" s="12"/>
      <c r="K68" s="12"/>
      <c r="L68" s="358"/>
      <c r="M68" s="12"/>
      <c r="N68" s="12"/>
      <c r="O68" s="12"/>
      <c r="P68" s="353"/>
      <c r="Q68" s="354"/>
      <c r="R68" s="354"/>
      <c r="S68" s="12"/>
      <c r="T68" s="354"/>
      <c r="U68" s="354"/>
      <c r="V68" s="354"/>
      <c r="W68" s="354"/>
      <c r="X68" s="358"/>
      <c r="Y68" s="353"/>
      <c r="Z68" s="12"/>
      <c r="AA68" s="12"/>
      <c r="AB68" s="358"/>
      <c r="AC68" s="12"/>
      <c r="AD68" s="12"/>
      <c r="AE68" s="358"/>
      <c r="AF68" s="353"/>
      <c r="AG68" s="353"/>
      <c r="AH68" s="416"/>
      <c r="AI68" s="417"/>
      <c r="AJ68" s="405"/>
      <c r="AK68" s="405"/>
    </row>
    <row r="69" spans="1:39" s="356" customFormat="1" ht="50" hidden="1" customHeight="1" outlineLevel="2">
      <c r="A69" s="731" t="s">
        <v>167</v>
      </c>
      <c r="B69" s="731"/>
      <c r="C69" s="731"/>
      <c r="D69" s="731"/>
      <c r="E69" s="731"/>
      <c r="F69" s="731"/>
      <c r="G69" s="731"/>
      <c r="H69" s="731"/>
      <c r="I69" s="731"/>
      <c r="J69" s="731"/>
      <c r="K69" s="731"/>
      <c r="L69" s="731"/>
      <c r="M69" s="731"/>
      <c r="N69" s="731"/>
      <c r="O69" s="731"/>
      <c r="P69" s="731"/>
      <c r="Q69" s="731"/>
      <c r="R69" s="731"/>
      <c r="S69" s="731"/>
      <c r="T69" s="731"/>
      <c r="U69" s="731"/>
      <c r="V69" s="731"/>
      <c r="W69" s="731"/>
      <c r="X69" s="731"/>
      <c r="Y69" s="731"/>
      <c r="Z69" s="731"/>
      <c r="AA69" s="731"/>
      <c r="AB69" s="731"/>
      <c r="AC69" s="731"/>
      <c r="AD69" s="731"/>
      <c r="AE69" s="731"/>
      <c r="AF69" s="731"/>
      <c r="AG69" s="547"/>
      <c r="AH69" s="416"/>
      <c r="AI69" s="417"/>
      <c r="AJ69" s="405"/>
      <c r="AK69" s="405"/>
    </row>
    <row r="70" spans="1:39" s="356" customFormat="1" ht="22.25" hidden="1" customHeight="1" outlineLevel="2">
      <c r="A70" s="359"/>
      <c r="B70" s="357"/>
      <c r="C70" s="357"/>
      <c r="D70" s="357"/>
      <c r="E70" s="357"/>
      <c r="F70" s="357"/>
      <c r="G70" s="357"/>
      <c r="H70" s="357"/>
      <c r="I70" s="357"/>
      <c r="J70" s="357"/>
      <c r="K70" s="357"/>
      <c r="L70" s="357"/>
      <c r="M70" s="357"/>
      <c r="N70" s="357"/>
      <c r="O70" s="357"/>
      <c r="P70" s="357"/>
      <c r="Q70" s="357"/>
      <c r="R70" s="357"/>
      <c r="S70" s="357"/>
      <c r="T70" s="357"/>
      <c r="U70" s="357"/>
      <c r="V70" s="357"/>
      <c r="W70" s="357"/>
      <c r="X70" s="357"/>
      <c r="Y70" s="357"/>
      <c r="Z70" s="357"/>
      <c r="AA70" s="357"/>
      <c r="AB70" s="357"/>
      <c r="AC70" s="357"/>
      <c r="AD70" s="357"/>
      <c r="AE70" s="357"/>
      <c r="AF70" s="357"/>
      <c r="AG70" s="357"/>
      <c r="AH70" s="355"/>
    </row>
    <row r="71" spans="1:39" s="356" customFormat="1" ht="399" hidden="1" customHeight="1" outlineLevel="2">
      <c r="A71" s="355"/>
      <c r="B71" s="360"/>
      <c r="C71" s="706" t="s">
        <v>88</v>
      </c>
      <c r="D71" s="706"/>
      <c r="E71" s="706"/>
      <c r="F71" s="706"/>
      <c r="G71" s="706"/>
      <c r="H71" s="706"/>
      <c r="I71" s="706"/>
      <c r="J71" s="706"/>
      <c r="K71" s="706"/>
      <c r="L71" s="17"/>
      <c r="M71" s="706" t="s">
        <v>89</v>
      </c>
      <c r="N71" s="706"/>
      <c r="O71" s="706"/>
      <c r="P71" s="17"/>
      <c r="Q71" s="706" t="s">
        <v>90</v>
      </c>
      <c r="R71" s="706"/>
      <c r="S71" s="706"/>
      <c r="T71" s="706"/>
      <c r="U71" s="706"/>
      <c r="V71" s="706"/>
      <c r="W71" s="706"/>
      <c r="X71" s="17"/>
      <c r="Y71" s="706" t="s">
        <v>91</v>
      </c>
      <c r="Z71" s="706"/>
      <c r="AA71" s="706"/>
      <c r="AB71" s="17"/>
      <c r="AC71" s="706" t="s">
        <v>92</v>
      </c>
      <c r="AD71" s="706"/>
      <c r="AE71" s="17"/>
      <c r="AF71" s="709" t="s">
        <v>93</v>
      </c>
      <c r="AG71" s="706"/>
      <c r="AH71" s="355"/>
    </row>
    <row r="72" spans="1:39" s="356" customFormat="1" hidden="1" outlineLevel="2">
      <c r="A72" s="355"/>
      <c r="B72" s="355"/>
      <c r="C72" s="355"/>
      <c r="D72" s="355"/>
      <c r="E72" s="355"/>
      <c r="F72" s="355"/>
      <c r="G72" s="355"/>
      <c r="H72" s="355"/>
      <c r="I72" s="355"/>
      <c r="J72" s="355"/>
      <c r="K72" s="355"/>
      <c r="L72" s="355"/>
      <c r="M72" s="355"/>
      <c r="N72" s="355"/>
      <c r="O72" s="355"/>
      <c r="P72" s="355"/>
      <c r="Q72" s="355"/>
      <c r="R72" s="355"/>
      <c r="S72" s="355"/>
      <c r="T72" s="355"/>
      <c r="U72" s="355"/>
      <c r="V72" s="355"/>
      <c r="W72" s="355"/>
      <c r="X72" s="355"/>
      <c r="Y72" s="353"/>
      <c r="Z72" s="12"/>
      <c r="AA72" s="12"/>
      <c r="AB72" s="355"/>
      <c r="AC72" s="355"/>
      <c r="AD72" s="355"/>
      <c r="AE72" s="355"/>
      <c r="AF72" s="355"/>
      <c r="AG72" s="355"/>
      <c r="AH72" s="416"/>
      <c r="AI72" s="417"/>
      <c r="AJ72" s="405"/>
      <c r="AK72" s="405"/>
    </row>
    <row r="73" spans="1:39" s="386" customFormat="1" ht="106.25" hidden="1" customHeight="1" outlineLevel="2">
      <c r="A73" s="714" t="s">
        <v>94</v>
      </c>
      <c r="B73" s="718"/>
      <c r="C73" s="718"/>
      <c r="D73" s="718"/>
      <c r="E73" s="718"/>
      <c r="F73" s="718"/>
      <c r="G73" s="718"/>
      <c r="H73" s="718"/>
      <c r="I73" s="718"/>
      <c r="J73" s="718"/>
      <c r="K73" s="715"/>
      <c r="L73" s="361"/>
      <c r="M73" s="714" t="s">
        <v>95</v>
      </c>
      <c r="N73" s="718"/>
      <c r="O73" s="715"/>
      <c r="P73" s="13"/>
      <c r="Q73" s="714" t="s">
        <v>96</v>
      </c>
      <c r="R73" s="718"/>
      <c r="S73" s="718"/>
      <c r="T73" s="718"/>
      <c r="U73" s="718"/>
      <c r="V73" s="718"/>
      <c r="W73" s="715"/>
      <c r="X73" s="572"/>
      <c r="Y73" s="714" t="s">
        <v>97</v>
      </c>
      <c r="Z73" s="718"/>
      <c r="AA73" s="715"/>
      <c r="AB73" s="358"/>
      <c r="AC73" s="714" t="s">
        <v>98</v>
      </c>
      <c r="AD73" s="715"/>
      <c r="AE73" s="358"/>
      <c r="AF73" s="716" t="s">
        <v>776</v>
      </c>
      <c r="AG73" s="716" t="s">
        <v>777</v>
      </c>
      <c r="AH73" s="586"/>
      <c r="AI73" s="421"/>
      <c r="AJ73" s="408"/>
      <c r="AK73" s="408"/>
    </row>
    <row r="74" spans="1:39" s="387" customFormat="1" ht="275" hidden="1" customHeight="1" outlineLevel="2">
      <c r="A74" s="798" t="s">
        <v>99</v>
      </c>
      <c r="B74" s="798"/>
      <c r="C74" s="714" t="s">
        <v>100</v>
      </c>
      <c r="D74" s="718"/>
      <c r="E74" s="718"/>
      <c r="F74" s="715"/>
      <c r="G74" s="546" t="s">
        <v>763</v>
      </c>
      <c r="H74" s="546" t="s">
        <v>767</v>
      </c>
      <c r="I74" s="554" t="s">
        <v>764</v>
      </c>
      <c r="J74" s="554" t="s">
        <v>765</v>
      </c>
      <c r="K74" s="554" t="s">
        <v>766</v>
      </c>
      <c r="L74" s="361"/>
      <c r="M74" s="546" t="s">
        <v>768</v>
      </c>
      <c r="N74" s="546" t="s">
        <v>769</v>
      </c>
      <c r="O74" s="554" t="s">
        <v>770</v>
      </c>
      <c r="P74" s="13"/>
      <c r="Q74" s="554" t="s">
        <v>101</v>
      </c>
      <c r="R74" s="554" t="s">
        <v>102</v>
      </c>
      <c r="S74" s="558" t="s">
        <v>103</v>
      </c>
      <c r="T74" s="558" t="s">
        <v>104</v>
      </c>
      <c r="U74" s="554" t="s">
        <v>105</v>
      </c>
      <c r="V74" s="546" t="s">
        <v>106</v>
      </c>
      <c r="W74" s="554" t="s">
        <v>771</v>
      </c>
      <c r="X74" s="573"/>
      <c r="Y74" s="546" t="s">
        <v>107</v>
      </c>
      <c r="Z74" s="546" t="s">
        <v>772</v>
      </c>
      <c r="AA74" s="546" t="s">
        <v>773</v>
      </c>
      <c r="AB74" s="358"/>
      <c r="AC74" s="546" t="s">
        <v>774</v>
      </c>
      <c r="AD74" s="546" t="s">
        <v>775</v>
      </c>
      <c r="AE74" s="358"/>
      <c r="AF74" s="717"/>
      <c r="AG74" s="717"/>
      <c r="AH74" s="587"/>
      <c r="AI74" s="409"/>
      <c r="AJ74" s="409"/>
      <c r="AK74" s="409" t="s">
        <v>108</v>
      </c>
      <c r="AL74" s="387" t="s">
        <v>168</v>
      </c>
      <c r="AM74" s="387" t="s">
        <v>169</v>
      </c>
    </row>
    <row r="75" spans="1:39" s="387" customFormat="1" ht="34.25" hidden="1" customHeight="1" outlineLevel="2" collapsed="1">
      <c r="A75" s="721" t="s">
        <v>109</v>
      </c>
      <c r="B75" s="733" t="s">
        <v>110</v>
      </c>
      <c r="C75" s="734" t="s">
        <v>170</v>
      </c>
      <c r="D75" s="820" t="s">
        <v>111</v>
      </c>
      <c r="E75" s="820"/>
      <c r="F75" s="757"/>
      <c r="G75" s="710"/>
      <c r="H75" s="799" t="str">
        <f>IF(G75="","",G75/$G$161)</f>
        <v/>
      </c>
      <c r="I75" s="710"/>
      <c r="J75" s="710"/>
      <c r="K75" s="712" t="str">
        <f>IF(SUM(I75:J76)=0,"",SUM(I75:J76))</f>
        <v/>
      </c>
      <c r="L75" s="588"/>
      <c r="M75" s="796"/>
      <c r="N75" s="401" t="b">
        <v>0</v>
      </c>
      <c r="O75" s="5"/>
      <c r="P75" s="363"/>
      <c r="Q75" s="712"/>
      <c r="R75" s="710"/>
      <c r="S75" s="710"/>
      <c r="T75" s="710"/>
      <c r="U75" s="710"/>
      <c r="V75" s="712">
        <f t="shared" ref="V75:V76" si="10">IF(M75=TRUE,SUM(Q75:U75),0)</f>
        <v>0</v>
      </c>
      <c r="W75" s="712"/>
      <c r="X75" s="362"/>
      <c r="Y75" s="364" t="s">
        <v>112</v>
      </c>
      <c r="Z75" s="5"/>
      <c r="AA75" s="5"/>
      <c r="AB75" s="358"/>
      <c r="AC75" s="712"/>
      <c r="AD75" s="712"/>
      <c r="AE75" s="358"/>
      <c r="AF75" s="712" t="str">
        <f t="shared" ref="AF75" si="11">IF(G75="","",IF(AND(V75="",Z75="",Z76="",AC75=""),"Missing Info",IF(G75-V75-Z75-Z76+AC75=0,"OK","Review financial exposure")))</f>
        <v/>
      </c>
      <c r="AG75" s="712" t="str">
        <f t="shared" ref="AG75" si="12">IF(K75="","",IF(AND(W75="",AA75="",AA76="",AD75=""),"Missing Info",IF(K75-W75-AA75-AA76+AD75=0,"OK","Review emissions")))</f>
        <v/>
      </c>
      <c r="AH75" s="587"/>
      <c r="AI75" s="409"/>
      <c r="AJ75" s="409"/>
      <c r="AK75" s="107" t="s">
        <v>171</v>
      </c>
      <c r="AL75" s="387">
        <f>COUNTIFS($AK$75:$AK$151,$AK75,M$75:M$151,TRUE)</f>
        <v>0</v>
      </c>
      <c r="AM75" s="387">
        <f>COUNTIFS($AK$75:$AK$151,$AK75,N$75:N$151,TRUE)</f>
        <v>0</v>
      </c>
    </row>
    <row r="76" spans="1:39" s="387" customFormat="1" ht="34.25" hidden="1" customHeight="1" outlineLevel="3">
      <c r="A76" s="722"/>
      <c r="B76" s="733"/>
      <c r="C76" s="735"/>
      <c r="D76" s="821"/>
      <c r="E76" s="821"/>
      <c r="F76" s="761"/>
      <c r="G76" s="711"/>
      <c r="H76" s="800"/>
      <c r="I76" s="711"/>
      <c r="J76" s="711"/>
      <c r="K76" s="713"/>
      <c r="L76" s="588"/>
      <c r="M76" s="797"/>
      <c r="N76" s="401" t="b">
        <v>0</v>
      </c>
      <c r="O76" s="5"/>
      <c r="P76" s="363"/>
      <c r="Q76" s="713"/>
      <c r="R76" s="711"/>
      <c r="S76" s="711"/>
      <c r="T76" s="711"/>
      <c r="U76" s="711"/>
      <c r="V76" s="713">
        <f t="shared" si="10"/>
        <v>0</v>
      </c>
      <c r="W76" s="713"/>
      <c r="X76" s="362"/>
      <c r="Y76" s="364" t="s">
        <v>114</v>
      </c>
      <c r="Z76" s="5"/>
      <c r="AA76" s="5"/>
      <c r="AB76" s="358"/>
      <c r="AC76" s="713"/>
      <c r="AD76" s="713"/>
      <c r="AE76" s="358"/>
      <c r="AF76" s="713"/>
      <c r="AG76" s="713"/>
      <c r="AH76" s="587"/>
      <c r="AI76" s="409"/>
      <c r="AJ76" s="409"/>
      <c r="AK76" s="107" t="s">
        <v>171</v>
      </c>
      <c r="AL76" s="387">
        <f t="shared" ref="AL76:AL139" si="13">COUNTIFS($AK$75:$AK$151,$AK76,M$75:M$151,TRUE)</f>
        <v>0</v>
      </c>
      <c r="AM76" s="387">
        <f t="shared" ref="AM76:AM139" si="14">COUNTIFS($AK$75:$AK$151,$AK76,N$75:N$151,TRUE)</f>
        <v>0</v>
      </c>
    </row>
    <row r="77" spans="1:39" s="387" customFormat="1" ht="39" hidden="1" customHeight="1" outlineLevel="3">
      <c r="A77" s="722"/>
      <c r="B77" s="733"/>
      <c r="C77" s="735"/>
      <c r="D77" s="728" t="s">
        <v>115</v>
      </c>
      <c r="E77" s="764" t="s">
        <v>116</v>
      </c>
      <c r="F77" s="765"/>
      <c r="G77" s="710"/>
      <c r="H77" s="799" t="str">
        <f>IF(G77="","",G77/$G$161)</f>
        <v/>
      </c>
      <c r="I77" s="710"/>
      <c r="J77" s="710"/>
      <c r="K77" s="712" t="str">
        <f t="shared" ref="K77" si="15">IF(SUM(I77:J78)=0,"",SUM(I77:J78))</f>
        <v/>
      </c>
      <c r="L77" s="588"/>
      <c r="M77" s="796"/>
      <c r="N77" s="401" t="b">
        <v>0</v>
      </c>
      <c r="O77" s="5"/>
      <c r="P77" s="363"/>
      <c r="Q77" s="712"/>
      <c r="R77" s="710"/>
      <c r="S77" s="710"/>
      <c r="T77" s="710"/>
      <c r="U77" s="710"/>
      <c r="V77" s="712">
        <f t="shared" ref="V77:V80" si="16">IF(M77=TRUE,SUM(Q77:U77),0)</f>
        <v>0</v>
      </c>
      <c r="W77" s="712"/>
      <c r="X77" s="362"/>
      <c r="Y77" s="364" t="s">
        <v>112</v>
      </c>
      <c r="Z77" s="5"/>
      <c r="AA77" s="5"/>
      <c r="AB77" s="358"/>
      <c r="AC77" s="712"/>
      <c r="AD77" s="712"/>
      <c r="AE77" s="358"/>
      <c r="AF77" s="712" t="str">
        <f t="shared" ref="AF77" si="17">IF(G77="","",IF(AND(V77="",Z77="",Z78="",AC77=""),"Missing Info",IF(G77-V77-Z77-Z78+AC77=0,"OK","Review financial exposure")))</f>
        <v/>
      </c>
      <c r="AG77" s="712" t="str">
        <f t="shared" ref="AG77" si="18">IF(K77="","",IF(AND(W77="",AA77="",AA78="",AD77=""),"Missing Info",IF(K77-W77-AA77-AA78+AD77=0,"OK","Review emissions")))</f>
        <v/>
      </c>
      <c r="AH77" s="587"/>
      <c r="AI77" s="409"/>
      <c r="AJ77" s="409"/>
      <c r="AK77" s="107" t="s">
        <v>171</v>
      </c>
      <c r="AL77" s="387">
        <f t="shared" si="13"/>
        <v>0</v>
      </c>
      <c r="AM77" s="387">
        <f t="shared" si="14"/>
        <v>0</v>
      </c>
    </row>
    <row r="78" spans="1:39" s="387" customFormat="1" ht="57" hidden="1" customHeight="1" outlineLevel="3">
      <c r="A78" s="722"/>
      <c r="B78" s="733"/>
      <c r="C78" s="735"/>
      <c r="D78" s="823"/>
      <c r="E78" s="766"/>
      <c r="F78" s="767"/>
      <c r="G78" s="711"/>
      <c r="H78" s="800"/>
      <c r="I78" s="711"/>
      <c r="J78" s="711"/>
      <c r="K78" s="713"/>
      <c r="L78" s="588"/>
      <c r="M78" s="797"/>
      <c r="N78" s="401" t="b">
        <v>0</v>
      </c>
      <c r="O78" s="5"/>
      <c r="P78" s="363"/>
      <c r="Q78" s="713"/>
      <c r="R78" s="711"/>
      <c r="S78" s="711"/>
      <c r="T78" s="711"/>
      <c r="U78" s="711"/>
      <c r="V78" s="713">
        <f t="shared" si="16"/>
        <v>0</v>
      </c>
      <c r="W78" s="713"/>
      <c r="X78" s="362"/>
      <c r="Y78" s="364" t="s">
        <v>114</v>
      </c>
      <c r="Z78" s="5"/>
      <c r="AA78" s="5"/>
      <c r="AB78" s="358"/>
      <c r="AC78" s="713"/>
      <c r="AD78" s="713"/>
      <c r="AE78" s="358"/>
      <c r="AF78" s="713"/>
      <c r="AG78" s="713"/>
      <c r="AH78" s="587"/>
      <c r="AI78" s="409"/>
      <c r="AJ78" s="409"/>
      <c r="AK78" s="107" t="s">
        <v>171</v>
      </c>
      <c r="AL78" s="387">
        <f t="shared" si="13"/>
        <v>0</v>
      </c>
      <c r="AM78" s="387">
        <f t="shared" si="14"/>
        <v>0</v>
      </c>
    </row>
    <row r="79" spans="1:39" s="387" customFormat="1" ht="39" hidden="1" customHeight="1" outlineLevel="3">
      <c r="A79" s="722"/>
      <c r="B79" s="733"/>
      <c r="C79" s="735"/>
      <c r="D79" s="823"/>
      <c r="E79" s="764" t="s">
        <v>117</v>
      </c>
      <c r="F79" s="765"/>
      <c r="G79" s="710"/>
      <c r="H79" s="799" t="str">
        <f>IF(G79="","",G79/$G$161)</f>
        <v/>
      </c>
      <c r="I79" s="710"/>
      <c r="J79" s="710"/>
      <c r="K79" s="712" t="str">
        <f t="shared" ref="K79" si="19">IF(SUM(I79:J80)=0,"",SUM(I79:J80))</f>
        <v/>
      </c>
      <c r="L79" s="588"/>
      <c r="M79" s="796"/>
      <c r="N79" s="401" t="b">
        <v>0</v>
      </c>
      <c r="O79" s="5"/>
      <c r="P79" s="363"/>
      <c r="Q79" s="712"/>
      <c r="R79" s="710"/>
      <c r="S79" s="710"/>
      <c r="T79" s="710"/>
      <c r="U79" s="710"/>
      <c r="V79" s="712">
        <f t="shared" si="16"/>
        <v>0</v>
      </c>
      <c r="W79" s="712"/>
      <c r="X79" s="362"/>
      <c r="Y79" s="364" t="s">
        <v>112</v>
      </c>
      <c r="Z79" s="5"/>
      <c r="AA79" s="5"/>
      <c r="AB79" s="358"/>
      <c r="AC79" s="712"/>
      <c r="AD79" s="712"/>
      <c r="AE79" s="358"/>
      <c r="AF79" s="712" t="str">
        <f t="shared" ref="AF79" si="20">IF(G79="","",IF(AND(V79="",Z79="",Z80="",AC79=""),"Missing Info",IF(G79-V79-Z79-Z80+AC79=0,"OK","Review financial exposure")))</f>
        <v/>
      </c>
      <c r="AG79" s="712" t="str">
        <f t="shared" ref="AG79" si="21">IF(K79="","",IF(AND(W79="",AA79="",AA80="",AD79=""),"Missing Info",IF(K79-W79-AA79-AA80+AD79=0,"OK","Review emissions")))</f>
        <v/>
      </c>
      <c r="AH79" s="587"/>
      <c r="AI79" s="409"/>
      <c r="AJ79" s="409"/>
      <c r="AK79" s="107" t="s">
        <v>171</v>
      </c>
      <c r="AL79" s="387">
        <f t="shared" si="13"/>
        <v>0</v>
      </c>
      <c r="AM79" s="387">
        <f t="shared" si="14"/>
        <v>0</v>
      </c>
    </row>
    <row r="80" spans="1:39" s="387" customFormat="1" ht="39" hidden="1" customHeight="1" outlineLevel="3">
      <c r="A80" s="723"/>
      <c r="B80" s="733"/>
      <c r="C80" s="735"/>
      <c r="D80" s="730"/>
      <c r="E80" s="766"/>
      <c r="F80" s="767"/>
      <c r="G80" s="711"/>
      <c r="H80" s="800"/>
      <c r="I80" s="711"/>
      <c r="J80" s="711"/>
      <c r="K80" s="713"/>
      <c r="L80" s="588"/>
      <c r="M80" s="797"/>
      <c r="N80" s="401" t="b">
        <v>0</v>
      </c>
      <c r="O80" s="5"/>
      <c r="P80" s="363"/>
      <c r="Q80" s="713"/>
      <c r="R80" s="711"/>
      <c r="S80" s="711"/>
      <c r="T80" s="711"/>
      <c r="U80" s="711"/>
      <c r="V80" s="713">
        <f t="shared" si="16"/>
        <v>0</v>
      </c>
      <c r="W80" s="713"/>
      <c r="X80" s="362"/>
      <c r="Y80" s="364" t="s">
        <v>114</v>
      </c>
      <c r="Z80" s="5"/>
      <c r="AA80" s="5"/>
      <c r="AB80" s="358"/>
      <c r="AC80" s="713"/>
      <c r="AD80" s="713"/>
      <c r="AE80" s="358"/>
      <c r="AF80" s="713"/>
      <c r="AG80" s="713"/>
      <c r="AH80" s="587"/>
      <c r="AI80" s="409"/>
      <c r="AJ80" s="409"/>
      <c r="AK80" s="107" t="s">
        <v>171</v>
      </c>
      <c r="AL80" s="387">
        <f t="shared" si="13"/>
        <v>0</v>
      </c>
      <c r="AM80" s="387">
        <f t="shared" si="14"/>
        <v>0</v>
      </c>
    </row>
    <row r="81" spans="1:39" s="387" customFormat="1" ht="39" hidden="1" customHeight="1" outlineLevel="3">
      <c r="A81" s="721" t="s">
        <v>759</v>
      </c>
      <c r="B81" s="733"/>
      <c r="C81" s="735"/>
      <c r="D81" s="724" t="s">
        <v>762</v>
      </c>
      <c r="E81" s="725"/>
      <c r="F81" s="726"/>
      <c r="G81" s="5"/>
      <c r="H81" s="365" t="str">
        <f t="shared" ref="H81:H92" si="22">IF(G81="","",G81/$G$161)</f>
        <v/>
      </c>
      <c r="I81" s="5"/>
      <c r="J81" s="5"/>
      <c r="K81" s="557" t="str">
        <f t="shared" ref="K81:K91" si="23">IF(SUM(I81:J81)=0,"",SUM(I81:J81))</f>
        <v/>
      </c>
      <c r="L81" s="588"/>
      <c r="M81" s="401" t="b">
        <v>0</v>
      </c>
      <c r="N81" s="401" t="b">
        <v>0</v>
      </c>
      <c r="O81" s="5"/>
      <c r="P81" s="363"/>
      <c r="Q81" s="557"/>
      <c r="R81" s="5"/>
      <c r="S81" s="5"/>
      <c r="T81" s="5"/>
      <c r="U81" s="5"/>
      <c r="V81" s="557">
        <f t="shared" ref="V81:V144" si="24">IF(M81=TRUE,SUM(Q81:U81),0)</f>
        <v>0</v>
      </c>
      <c r="W81" s="22"/>
      <c r="X81" s="362"/>
      <c r="Y81" s="364" t="s">
        <v>112</v>
      </c>
      <c r="Z81" s="5"/>
      <c r="AA81" s="5"/>
      <c r="AB81" s="358"/>
      <c r="AC81" s="5"/>
      <c r="AD81" s="5"/>
      <c r="AE81" s="358"/>
      <c r="AF81" s="557" t="str">
        <f t="shared" ref="AF81:AF91" si="25">IF(G81="","",IF(AND(V81="",Z81="",AC81=""),"Missing Info",IF(G81-V81-Z81+AC81=0,"OK","Review financial exposure")))</f>
        <v/>
      </c>
      <c r="AG81" s="557" t="str">
        <f t="shared" ref="AG81:AG91" si="26">IF(K81="","",IF(AND(W81="",AA81="",AD81=""),"Missing Info",IF(K81-W81-AA81+AD81=0,"OK","Review emissions")))</f>
        <v/>
      </c>
      <c r="AH81" s="587"/>
      <c r="AI81" s="409"/>
      <c r="AJ81" s="409"/>
      <c r="AK81" s="107" t="s">
        <v>172</v>
      </c>
      <c r="AL81" s="387">
        <f t="shared" si="13"/>
        <v>0</v>
      </c>
      <c r="AM81" s="387">
        <f t="shared" si="14"/>
        <v>0</v>
      </c>
    </row>
    <row r="82" spans="1:39" s="387" customFormat="1" ht="91.25" hidden="1" customHeight="1" outlineLevel="3">
      <c r="A82" s="722"/>
      <c r="B82" s="733"/>
      <c r="C82" s="735"/>
      <c r="D82" s="728" t="s">
        <v>761</v>
      </c>
      <c r="E82" s="762" t="s">
        <v>116</v>
      </c>
      <c r="F82" s="763"/>
      <c r="G82" s="5"/>
      <c r="H82" s="365" t="str">
        <f t="shared" si="22"/>
        <v/>
      </c>
      <c r="I82" s="5"/>
      <c r="J82" s="5"/>
      <c r="K82" s="557" t="str">
        <f t="shared" si="23"/>
        <v/>
      </c>
      <c r="L82" s="588"/>
      <c r="M82" s="401" t="b">
        <v>0</v>
      </c>
      <c r="N82" s="401" t="b">
        <v>0</v>
      </c>
      <c r="O82" s="5"/>
      <c r="P82" s="363"/>
      <c r="Q82" s="557"/>
      <c r="R82" s="5"/>
      <c r="S82" s="5"/>
      <c r="T82" s="5"/>
      <c r="U82" s="5"/>
      <c r="V82" s="557">
        <f t="shared" si="24"/>
        <v>0</v>
      </c>
      <c r="W82" s="22"/>
      <c r="X82" s="362"/>
      <c r="Y82" s="364" t="s">
        <v>112</v>
      </c>
      <c r="Z82" s="5"/>
      <c r="AA82" s="5"/>
      <c r="AB82" s="358"/>
      <c r="AC82" s="5"/>
      <c r="AD82" s="5"/>
      <c r="AE82" s="358"/>
      <c r="AF82" s="557" t="str">
        <f t="shared" si="25"/>
        <v/>
      </c>
      <c r="AG82" s="557" t="str">
        <f t="shared" si="26"/>
        <v/>
      </c>
      <c r="AH82" s="587"/>
      <c r="AI82" s="409"/>
      <c r="AJ82" s="409"/>
      <c r="AK82" s="107" t="s">
        <v>172</v>
      </c>
      <c r="AL82" s="387">
        <f t="shared" si="13"/>
        <v>0</v>
      </c>
      <c r="AM82" s="387">
        <f t="shared" si="14"/>
        <v>0</v>
      </c>
    </row>
    <row r="83" spans="1:39" s="387" customFormat="1" ht="39" hidden="1" customHeight="1" outlineLevel="3">
      <c r="A83" s="723"/>
      <c r="B83" s="788"/>
      <c r="C83" s="736"/>
      <c r="D83" s="730"/>
      <c r="E83" s="762" t="s">
        <v>117</v>
      </c>
      <c r="F83" s="763"/>
      <c r="G83" s="5"/>
      <c r="H83" s="365" t="str">
        <f t="shared" si="22"/>
        <v/>
      </c>
      <c r="I83" s="5"/>
      <c r="J83" s="5"/>
      <c r="K83" s="557" t="str">
        <f t="shared" si="23"/>
        <v/>
      </c>
      <c r="L83" s="588"/>
      <c r="M83" s="401" t="b">
        <v>0</v>
      </c>
      <c r="N83" s="401" t="b">
        <v>0</v>
      </c>
      <c r="O83" s="5"/>
      <c r="P83" s="363"/>
      <c r="Q83" s="557"/>
      <c r="R83" s="5"/>
      <c r="S83" s="5"/>
      <c r="T83" s="5"/>
      <c r="U83" s="5"/>
      <c r="V83" s="557">
        <f t="shared" si="24"/>
        <v>0</v>
      </c>
      <c r="W83" s="22"/>
      <c r="X83" s="362"/>
      <c r="Y83" s="364" t="s">
        <v>112</v>
      </c>
      <c r="Z83" s="5"/>
      <c r="AA83" s="5"/>
      <c r="AB83" s="358"/>
      <c r="AC83" s="5"/>
      <c r="AD83" s="5"/>
      <c r="AE83" s="358"/>
      <c r="AF83" s="557" t="str">
        <f t="shared" si="25"/>
        <v/>
      </c>
      <c r="AG83" s="557" t="str">
        <f t="shared" si="26"/>
        <v/>
      </c>
      <c r="AH83" s="587"/>
      <c r="AI83" s="409"/>
      <c r="AJ83" s="409"/>
      <c r="AK83" s="107" t="s">
        <v>172</v>
      </c>
      <c r="AL83" s="387">
        <f t="shared" si="13"/>
        <v>0</v>
      </c>
      <c r="AM83" s="387">
        <f t="shared" si="14"/>
        <v>0</v>
      </c>
    </row>
    <row r="84" spans="1:39" s="391" customFormat="1" ht="39" hidden="1" customHeight="1" outlineLevel="2" collapsed="1">
      <c r="A84" s="721" t="s">
        <v>118</v>
      </c>
      <c r="B84" s="732" t="s">
        <v>119</v>
      </c>
      <c r="C84" s="805" t="s">
        <v>120</v>
      </c>
      <c r="D84" s="806"/>
      <c r="E84" s="806"/>
      <c r="F84" s="807"/>
      <c r="G84" s="5"/>
      <c r="H84" s="365" t="str">
        <f t="shared" si="22"/>
        <v/>
      </c>
      <c r="I84" s="5"/>
      <c r="J84" s="5"/>
      <c r="K84" s="557" t="str">
        <f t="shared" si="23"/>
        <v/>
      </c>
      <c r="L84" s="589"/>
      <c r="M84" s="31" t="b">
        <v>0</v>
      </c>
      <c r="N84" s="389"/>
      <c r="O84" s="342"/>
      <c r="P84" s="363"/>
      <c r="Q84" s="557"/>
      <c r="R84" s="5"/>
      <c r="S84" s="5"/>
      <c r="T84" s="5"/>
      <c r="U84" s="5"/>
      <c r="V84" s="557">
        <f t="shared" si="24"/>
        <v>0</v>
      </c>
      <c r="W84" s="22"/>
      <c r="X84" s="362"/>
      <c r="Y84" s="364"/>
      <c r="Z84" s="557"/>
      <c r="AA84" s="557"/>
      <c r="AB84" s="390"/>
      <c r="AC84" s="557"/>
      <c r="AD84" s="557"/>
      <c r="AE84" s="362"/>
      <c r="AF84" s="557" t="str">
        <f t="shared" si="25"/>
        <v/>
      </c>
      <c r="AG84" s="557" t="str">
        <f t="shared" si="26"/>
        <v/>
      </c>
      <c r="AH84" s="590"/>
      <c r="AI84" s="411"/>
      <c r="AJ84" s="411"/>
      <c r="AK84" s="107" t="s">
        <v>173</v>
      </c>
      <c r="AL84" s="387">
        <f t="shared" si="13"/>
        <v>0</v>
      </c>
      <c r="AM84" s="387">
        <f t="shared" si="14"/>
        <v>0</v>
      </c>
    </row>
    <row r="85" spans="1:39" s="391" customFormat="1" ht="68" hidden="1" customHeight="1" outlineLevel="3">
      <c r="A85" s="722"/>
      <c r="B85" s="733"/>
      <c r="C85" s="772" t="s">
        <v>122</v>
      </c>
      <c r="D85" s="773"/>
      <c r="E85" s="762" t="s">
        <v>123</v>
      </c>
      <c r="F85" s="763"/>
      <c r="G85" s="5"/>
      <c r="H85" s="365" t="str">
        <f t="shared" si="22"/>
        <v/>
      </c>
      <c r="I85" s="5"/>
      <c r="J85" s="5"/>
      <c r="K85" s="557" t="str">
        <f t="shared" si="23"/>
        <v/>
      </c>
      <c r="L85" s="589"/>
      <c r="M85" s="31" t="b">
        <v>0</v>
      </c>
      <c r="N85" s="389"/>
      <c r="O85" s="342"/>
      <c r="P85" s="363"/>
      <c r="Q85" s="557"/>
      <c r="R85" s="5"/>
      <c r="S85" s="5"/>
      <c r="T85" s="5"/>
      <c r="U85" s="5"/>
      <c r="V85" s="557">
        <f t="shared" si="24"/>
        <v>0</v>
      </c>
      <c r="W85" s="22"/>
      <c r="X85" s="362"/>
      <c r="Y85" s="364"/>
      <c r="Z85" s="557"/>
      <c r="AA85" s="557"/>
      <c r="AB85" s="390"/>
      <c r="AC85" s="557"/>
      <c r="AD85" s="557"/>
      <c r="AE85" s="362"/>
      <c r="AF85" s="557" t="str">
        <f t="shared" si="25"/>
        <v/>
      </c>
      <c r="AG85" s="557" t="str">
        <f t="shared" si="26"/>
        <v/>
      </c>
      <c r="AH85" s="590"/>
      <c r="AI85" s="411"/>
      <c r="AJ85" s="411"/>
      <c r="AK85" s="107" t="s">
        <v>173</v>
      </c>
      <c r="AL85" s="387">
        <f t="shared" si="13"/>
        <v>0</v>
      </c>
      <c r="AM85" s="387">
        <f t="shared" si="14"/>
        <v>0</v>
      </c>
    </row>
    <row r="86" spans="1:39" s="391" customFormat="1" ht="39" hidden="1" customHeight="1" outlineLevel="3">
      <c r="A86" s="722"/>
      <c r="B86" s="733"/>
      <c r="C86" s="774"/>
      <c r="D86" s="775"/>
      <c r="E86" s="762" t="s">
        <v>124</v>
      </c>
      <c r="F86" s="763"/>
      <c r="G86" s="5"/>
      <c r="H86" s="365" t="str">
        <f t="shared" si="22"/>
        <v/>
      </c>
      <c r="I86" s="5"/>
      <c r="J86" s="5"/>
      <c r="K86" s="557" t="str">
        <f t="shared" si="23"/>
        <v/>
      </c>
      <c r="L86" s="589"/>
      <c r="M86" s="31" t="b">
        <v>0</v>
      </c>
      <c r="N86" s="389"/>
      <c r="O86" s="342"/>
      <c r="P86" s="363"/>
      <c r="Q86" s="557"/>
      <c r="R86" s="5"/>
      <c r="S86" s="5"/>
      <c r="T86" s="5"/>
      <c r="U86" s="5"/>
      <c r="V86" s="557">
        <f t="shared" si="24"/>
        <v>0</v>
      </c>
      <c r="W86" s="22"/>
      <c r="X86" s="362"/>
      <c r="Y86" s="364"/>
      <c r="Z86" s="557"/>
      <c r="AA86" s="557"/>
      <c r="AB86" s="390"/>
      <c r="AC86" s="557"/>
      <c r="AD86" s="557"/>
      <c r="AE86" s="362"/>
      <c r="AF86" s="557" t="str">
        <f t="shared" si="25"/>
        <v/>
      </c>
      <c r="AG86" s="557" t="str">
        <f t="shared" si="26"/>
        <v/>
      </c>
      <c r="AH86" s="590"/>
      <c r="AI86" s="411"/>
      <c r="AJ86" s="411"/>
      <c r="AK86" s="107" t="s">
        <v>173</v>
      </c>
      <c r="AL86" s="387">
        <f t="shared" si="13"/>
        <v>0</v>
      </c>
      <c r="AM86" s="387">
        <f t="shared" si="14"/>
        <v>0</v>
      </c>
    </row>
    <row r="87" spans="1:39" s="391" customFormat="1" ht="39" hidden="1" customHeight="1" outlineLevel="3">
      <c r="A87" s="722"/>
      <c r="B87" s="733"/>
      <c r="C87" s="774"/>
      <c r="D87" s="775"/>
      <c r="E87" s="762" t="s">
        <v>125</v>
      </c>
      <c r="F87" s="763"/>
      <c r="G87" s="5"/>
      <c r="H87" s="365" t="str">
        <f t="shared" si="22"/>
        <v/>
      </c>
      <c r="I87" s="5"/>
      <c r="J87" s="5"/>
      <c r="K87" s="557" t="str">
        <f t="shared" si="23"/>
        <v/>
      </c>
      <c r="L87" s="589"/>
      <c r="M87" s="31" t="b">
        <v>0</v>
      </c>
      <c r="N87" s="389"/>
      <c r="O87" s="342"/>
      <c r="P87" s="363"/>
      <c r="Q87" s="557"/>
      <c r="R87" s="5"/>
      <c r="S87" s="5"/>
      <c r="T87" s="5"/>
      <c r="U87" s="5"/>
      <c r="V87" s="557">
        <f t="shared" si="24"/>
        <v>0</v>
      </c>
      <c r="W87" s="22"/>
      <c r="X87" s="362"/>
      <c r="Y87" s="364"/>
      <c r="Z87" s="557"/>
      <c r="AA87" s="557"/>
      <c r="AB87" s="390"/>
      <c r="AC87" s="557"/>
      <c r="AD87" s="557"/>
      <c r="AE87" s="362"/>
      <c r="AF87" s="557" t="str">
        <f t="shared" si="25"/>
        <v/>
      </c>
      <c r="AG87" s="557" t="str">
        <f t="shared" si="26"/>
        <v/>
      </c>
      <c r="AH87" s="590"/>
      <c r="AI87" s="411"/>
      <c r="AJ87" s="411"/>
      <c r="AK87" s="107" t="s">
        <v>173</v>
      </c>
      <c r="AL87" s="387">
        <f t="shared" si="13"/>
        <v>0</v>
      </c>
      <c r="AM87" s="387">
        <f t="shared" si="14"/>
        <v>0</v>
      </c>
    </row>
    <row r="88" spans="1:39" s="391" customFormat="1" ht="54" hidden="1" customHeight="1" outlineLevel="3">
      <c r="A88" s="723"/>
      <c r="B88" s="733"/>
      <c r="C88" s="776"/>
      <c r="D88" s="777"/>
      <c r="E88" s="762" t="s">
        <v>126</v>
      </c>
      <c r="F88" s="763"/>
      <c r="G88" s="5"/>
      <c r="H88" s="365" t="str">
        <f t="shared" si="22"/>
        <v/>
      </c>
      <c r="I88" s="5"/>
      <c r="J88" s="5"/>
      <c r="K88" s="557" t="str">
        <f t="shared" si="23"/>
        <v/>
      </c>
      <c r="L88" s="589"/>
      <c r="M88" s="31" t="b">
        <v>0</v>
      </c>
      <c r="N88" s="389"/>
      <c r="O88" s="342"/>
      <c r="P88" s="363"/>
      <c r="Q88" s="557"/>
      <c r="R88" s="5"/>
      <c r="S88" s="5"/>
      <c r="T88" s="5"/>
      <c r="U88" s="5"/>
      <c r="V88" s="557">
        <f t="shared" si="24"/>
        <v>0</v>
      </c>
      <c r="W88" s="22"/>
      <c r="X88" s="362"/>
      <c r="Y88" s="364"/>
      <c r="Z88" s="557"/>
      <c r="AA88" s="557"/>
      <c r="AB88" s="390"/>
      <c r="AC88" s="557"/>
      <c r="AD88" s="557"/>
      <c r="AE88" s="362"/>
      <c r="AF88" s="557" t="str">
        <f t="shared" si="25"/>
        <v/>
      </c>
      <c r="AG88" s="557" t="str">
        <f t="shared" si="26"/>
        <v/>
      </c>
      <c r="AH88" s="590"/>
      <c r="AI88" s="411"/>
      <c r="AJ88" s="411"/>
      <c r="AK88" s="107" t="s">
        <v>173</v>
      </c>
      <c r="AL88" s="387">
        <f t="shared" si="13"/>
        <v>0</v>
      </c>
      <c r="AM88" s="387">
        <f t="shared" si="14"/>
        <v>0</v>
      </c>
    </row>
    <row r="89" spans="1:39" s="391" customFormat="1" ht="39" hidden="1" customHeight="1" outlineLevel="3">
      <c r="A89" s="721" t="s">
        <v>174</v>
      </c>
      <c r="B89" s="733"/>
      <c r="C89" s="810" t="s">
        <v>175</v>
      </c>
      <c r="D89" s="737" t="s">
        <v>176</v>
      </c>
      <c r="E89" s="738"/>
      <c r="F89" s="739"/>
      <c r="G89" s="539"/>
      <c r="H89" s="365" t="str">
        <f t="shared" si="22"/>
        <v/>
      </c>
      <c r="I89" s="539"/>
      <c r="J89" s="539"/>
      <c r="K89" s="540" t="str">
        <f t="shared" si="23"/>
        <v/>
      </c>
      <c r="L89" s="589"/>
      <c r="M89" s="31" t="b">
        <v>0</v>
      </c>
      <c r="N89" s="401" t="b">
        <v>0</v>
      </c>
      <c r="O89" s="5"/>
      <c r="P89" s="363"/>
      <c r="Q89" s="540"/>
      <c r="R89" s="5"/>
      <c r="S89" s="5"/>
      <c r="T89" s="5"/>
      <c r="U89" s="5"/>
      <c r="V89" s="540">
        <f t="shared" si="24"/>
        <v>0</v>
      </c>
      <c r="W89" s="543"/>
      <c r="X89" s="362"/>
      <c r="Y89" s="364" t="s">
        <v>177</v>
      </c>
      <c r="Z89" s="5"/>
      <c r="AA89" s="5"/>
      <c r="AB89" s="392"/>
      <c r="AC89" s="5"/>
      <c r="AD89" s="5"/>
      <c r="AE89" s="362"/>
      <c r="AF89" s="557" t="str">
        <f t="shared" si="25"/>
        <v/>
      </c>
      <c r="AG89" s="557" t="str">
        <f t="shared" si="26"/>
        <v/>
      </c>
      <c r="AH89" s="590"/>
      <c r="AI89" s="411"/>
      <c r="AJ89" s="411"/>
      <c r="AK89" s="107" t="s">
        <v>178</v>
      </c>
      <c r="AL89" s="387">
        <f t="shared" si="13"/>
        <v>0</v>
      </c>
      <c r="AM89" s="387">
        <f t="shared" si="14"/>
        <v>0</v>
      </c>
    </row>
    <row r="90" spans="1:39" s="391" customFormat="1" ht="73.25" hidden="1" customHeight="1" outlineLevel="3">
      <c r="A90" s="722"/>
      <c r="B90" s="733"/>
      <c r="C90" s="826"/>
      <c r="D90" s="734" t="s">
        <v>179</v>
      </c>
      <c r="E90" s="762" t="s">
        <v>123</v>
      </c>
      <c r="F90" s="763"/>
      <c r="G90" s="539"/>
      <c r="H90" s="365" t="str">
        <f t="shared" si="22"/>
        <v/>
      </c>
      <c r="I90" s="539"/>
      <c r="J90" s="539"/>
      <c r="K90" s="540" t="str">
        <f t="shared" si="23"/>
        <v/>
      </c>
      <c r="L90" s="589"/>
      <c r="M90" s="31" t="b">
        <v>0</v>
      </c>
      <c r="N90" s="401" t="b">
        <v>0</v>
      </c>
      <c r="O90" s="5"/>
      <c r="P90" s="363"/>
      <c r="Q90" s="540"/>
      <c r="R90" s="5"/>
      <c r="S90" s="5"/>
      <c r="T90" s="5"/>
      <c r="U90" s="5"/>
      <c r="V90" s="540">
        <f t="shared" si="24"/>
        <v>0</v>
      </c>
      <c r="W90" s="543"/>
      <c r="X90" s="362"/>
      <c r="Y90" s="364" t="s">
        <v>177</v>
      </c>
      <c r="Z90" s="5"/>
      <c r="AA90" s="5"/>
      <c r="AB90" s="392"/>
      <c r="AC90" s="5"/>
      <c r="AD90" s="5"/>
      <c r="AE90" s="362"/>
      <c r="AF90" s="557" t="str">
        <f t="shared" si="25"/>
        <v/>
      </c>
      <c r="AG90" s="557" t="str">
        <f t="shared" si="26"/>
        <v/>
      </c>
      <c r="AH90" s="590"/>
      <c r="AI90" s="411"/>
      <c r="AJ90" s="411"/>
      <c r="AK90" s="107" t="s">
        <v>178</v>
      </c>
      <c r="AL90" s="387">
        <f t="shared" si="13"/>
        <v>0</v>
      </c>
      <c r="AM90" s="387">
        <f t="shared" si="14"/>
        <v>0</v>
      </c>
    </row>
    <row r="91" spans="1:39" s="391" customFormat="1" ht="39" hidden="1" customHeight="1" outlineLevel="3">
      <c r="A91" s="722"/>
      <c r="B91" s="733"/>
      <c r="C91" s="826"/>
      <c r="D91" s="736"/>
      <c r="E91" s="803" t="s">
        <v>125</v>
      </c>
      <c r="F91" s="804"/>
      <c r="G91" s="539"/>
      <c r="H91" s="365" t="str">
        <f t="shared" si="22"/>
        <v/>
      </c>
      <c r="I91" s="539"/>
      <c r="J91" s="539"/>
      <c r="K91" s="557" t="str">
        <f t="shared" si="23"/>
        <v/>
      </c>
      <c r="L91" s="589"/>
      <c r="M91" s="544" t="b">
        <v>0</v>
      </c>
      <c r="N91" s="401" t="b">
        <v>0</v>
      </c>
      <c r="O91" s="5"/>
      <c r="P91" s="363"/>
      <c r="Q91" s="557"/>
      <c r="R91" s="5"/>
      <c r="S91" s="5"/>
      <c r="T91" s="5"/>
      <c r="U91" s="5"/>
      <c r="V91" s="557">
        <f t="shared" si="24"/>
        <v>0</v>
      </c>
      <c r="W91" s="22"/>
      <c r="X91" s="362"/>
      <c r="Y91" s="364" t="s">
        <v>177</v>
      </c>
      <c r="Z91" s="5"/>
      <c r="AA91" s="5"/>
      <c r="AB91" s="392"/>
      <c r="AC91" s="5"/>
      <c r="AD91" s="5"/>
      <c r="AE91" s="363"/>
      <c r="AF91" s="557" t="str">
        <f t="shared" si="25"/>
        <v/>
      </c>
      <c r="AG91" s="557" t="str">
        <f t="shared" si="26"/>
        <v/>
      </c>
      <c r="AH91" s="590"/>
      <c r="AI91" s="411"/>
      <c r="AJ91" s="411"/>
      <c r="AK91" s="107" t="s">
        <v>178</v>
      </c>
      <c r="AL91" s="387">
        <f t="shared" si="13"/>
        <v>0</v>
      </c>
      <c r="AM91" s="387">
        <f t="shared" si="14"/>
        <v>0</v>
      </c>
    </row>
    <row r="92" spans="1:39" s="391" customFormat="1" ht="39" hidden="1" customHeight="1" outlineLevel="3">
      <c r="A92" s="722"/>
      <c r="B92" s="733"/>
      <c r="C92" s="826"/>
      <c r="D92" s="740" t="s">
        <v>180</v>
      </c>
      <c r="E92" s="741"/>
      <c r="F92" s="742"/>
      <c r="G92" s="710"/>
      <c r="H92" s="799" t="str">
        <f t="shared" si="22"/>
        <v/>
      </c>
      <c r="I92" s="710"/>
      <c r="J92" s="710"/>
      <c r="K92" s="712" t="str">
        <f t="shared" ref="K92" si="27">IF(SUM(I92:J93)=0,"",SUM(I92:J93))</f>
        <v/>
      </c>
      <c r="L92" s="589"/>
      <c r="M92" s="808" t="b">
        <v>0</v>
      </c>
      <c r="N92" s="401" t="b">
        <v>0</v>
      </c>
      <c r="O92" s="5"/>
      <c r="P92" s="363"/>
      <c r="Q92" s="712"/>
      <c r="R92" s="710"/>
      <c r="S92" s="710"/>
      <c r="T92" s="710"/>
      <c r="U92" s="710"/>
      <c r="V92" s="712">
        <f t="shared" si="24"/>
        <v>0</v>
      </c>
      <c r="W92" s="707"/>
      <c r="X92" s="362"/>
      <c r="Y92" s="364" t="s">
        <v>181</v>
      </c>
      <c r="Z92" s="5"/>
      <c r="AA92" s="5"/>
      <c r="AB92" s="392"/>
      <c r="AC92" s="710"/>
      <c r="AD92" s="710"/>
      <c r="AE92" s="363"/>
      <c r="AF92" s="712" t="str">
        <f t="shared" ref="AF92" si="28">IF(G92="","",IF(AND(V92="",Z92="",Z93="",AC92=""),"Missing Info",IF(G92-V92-Z92-Z93+AC92=0,"OK","Review financial exposure")))</f>
        <v/>
      </c>
      <c r="AG92" s="712" t="str">
        <f t="shared" ref="AG92" si="29">IF(K92="","",IF(AND(W92="",AA92="",AA93="",AD92=""),"Missing Info",IF(K92-W92-AA92-AA93+AD92=0,"OK","Review emissions")))</f>
        <v/>
      </c>
      <c r="AH92" s="590"/>
      <c r="AI92" s="411"/>
      <c r="AJ92" s="411"/>
      <c r="AK92" s="107" t="s">
        <v>182</v>
      </c>
      <c r="AL92" s="387">
        <f t="shared" si="13"/>
        <v>0</v>
      </c>
      <c r="AM92" s="387">
        <f t="shared" si="14"/>
        <v>0</v>
      </c>
    </row>
    <row r="93" spans="1:39" s="391" customFormat="1" ht="39" hidden="1" customHeight="1" outlineLevel="3">
      <c r="A93" s="722"/>
      <c r="B93" s="733"/>
      <c r="C93" s="826"/>
      <c r="D93" s="743"/>
      <c r="E93" s="744"/>
      <c r="F93" s="745"/>
      <c r="G93" s="711"/>
      <c r="H93" s="800"/>
      <c r="I93" s="711"/>
      <c r="J93" s="711"/>
      <c r="K93" s="713"/>
      <c r="L93" s="589"/>
      <c r="M93" s="809"/>
      <c r="N93" s="401" t="b">
        <v>0</v>
      </c>
      <c r="O93" s="5"/>
      <c r="P93" s="363"/>
      <c r="Q93" s="713"/>
      <c r="R93" s="711"/>
      <c r="S93" s="711"/>
      <c r="T93" s="711"/>
      <c r="U93" s="711"/>
      <c r="V93" s="713">
        <f t="shared" si="24"/>
        <v>0</v>
      </c>
      <c r="W93" s="708"/>
      <c r="X93" s="362"/>
      <c r="Y93" s="364" t="s">
        <v>183</v>
      </c>
      <c r="Z93" s="5"/>
      <c r="AA93" s="5"/>
      <c r="AB93" s="392"/>
      <c r="AC93" s="711"/>
      <c r="AD93" s="711"/>
      <c r="AE93" s="363"/>
      <c r="AF93" s="713"/>
      <c r="AG93" s="713"/>
      <c r="AH93" s="590"/>
      <c r="AI93" s="411"/>
      <c r="AJ93" s="411"/>
      <c r="AK93" s="107" t="s">
        <v>182</v>
      </c>
      <c r="AL93" s="387">
        <f t="shared" si="13"/>
        <v>0</v>
      </c>
      <c r="AM93" s="387">
        <f t="shared" si="14"/>
        <v>0</v>
      </c>
    </row>
    <row r="94" spans="1:39" s="391" customFormat="1" ht="39" hidden="1" customHeight="1" outlineLevel="3">
      <c r="A94" s="722"/>
      <c r="B94" s="733"/>
      <c r="C94" s="826"/>
      <c r="D94" s="734" t="s">
        <v>184</v>
      </c>
      <c r="E94" s="764" t="s">
        <v>123</v>
      </c>
      <c r="F94" s="765"/>
      <c r="G94" s="710"/>
      <c r="H94" s="799" t="str">
        <f>IF(G94="","",G94/$G$161)</f>
        <v/>
      </c>
      <c r="I94" s="710"/>
      <c r="J94" s="710"/>
      <c r="K94" s="712" t="str">
        <f t="shared" ref="K94" si="30">IF(SUM(I94:J95)=0,"",SUM(I94:J95))</f>
        <v/>
      </c>
      <c r="L94" s="589"/>
      <c r="M94" s="808" t="b">
        <v>0</v>
      </c>
      <c r="N94" s="401" t="b">
        <v>0</v>
      </c>
      <c r="O94" s="5"/>
      <c r="P94" s="363"/>
      <c r="Q94" s="712"/>
      <c r="R94" s="710"/>
      <c r="S94" s="710"/>
      <c r="T94" s="710"/>
      <c r="U94" s="710"/>
      <c r="V94" s="712">
        <f t="shared" si="24"/>
        <v>0</v>
      </c>
      <c r="W94" s="707"/>
      <c r="X94" s="362"/>
      <c r="Y94" s="364" t="s">
        <v>181</v>
      </c>
      <c r="Z94" s="5"/>
      <c r="AA94" s="5"/>
      <c r="AB94" s="392"/>
      <c r="AC94" s="710"/>
      <c r="AD94" s="710"/>
      <c r="AE94" s="363"/>
      <c r="AF94" s="712" t="str">
        <f t="shared" ref="AF94" si="31">IF(G94="","",IF(AND(V94="",Z94="",Z95="",AC94=""),"Missing Info",IF(G94-V94-Z94-Z95+AC94=0,"OK","Review financial exposure")))</f>
        <v/>
      </c>
      <c r="AG94" s="712" t="str">
        <f t="shared" ref="AG94" si="32">IF(K94="","",IF(AND(W94="",AA94="",AA95="",AD94=""),"Missing Info",IF(K94-W94-AA94-AA95+AD94=0,"OK","Review emissions")))</f>
        <v/>
      </c>
      <c r="AH94" s="590"/>
      <c r="AI94" s="411"/>
      <c r="AJ94" s="411"/>
      <c r="AK94" s="107" t="s">
        <v>182</v>
      </c>
      <c r="AL94" s="387">
        <f t="shared" si="13"/>
        <v>0</v>
      </c>
      <c r="AM94" s="387">
        <f t="shared" si="14"/>
        <v>0</v>
      </c>
    </row>
    <row r="95" spans="1:39" s="391" customFormat="1" ht="39" hidden="1" customHeight="1" outlineLevel="3">
      <c r="A95" s="722"/>
      <c r="B95" s="733"/>
      <c r="C95" s="826"/>
      <c r="D95" s="735"/>
      <c r="E95" s="766"/>
      <c r="F95" s="767"/>
      <c r="G95" s="711"/>
      <c r="H95" s="800"/>
      <c r="I95" s="711"/>
      <c r="J95" s="711"/>
      <c r="K95" s="713"/>
      <c r="L95" s="589"/>
      <c r="M95" s="809"/>
      <c r="N95" s="401" t="b">
        <v>0</v>
      </c>
      <c r="O95" s="5"/>
      <c r="P95" s="363"/>
      <c r="Q95" s="713"/>
      <c r="R95" s="711"/>
      <c r="S95" s="711"/>
      <c r="T95" s="711"/>
      <c r="U95" s="711"/>
      <c r="V95" s="713">
        <f t="shared" si="24"/>
        <v>0</v>
      </c>
      <c r="W95" s="708"/>
      <c r="X95" s="362"/>
      <c r="Y95" s="364" t="s">
        <v>183</v>
      </c>
      <c r="Z95" s="5"/>
      <c r="AA95" s="5"/>
      <c r="AB95" s="392"/>
      <c r="AC95" s="711"/>
      <c r="AD95" s="711"/>
      <c r="AE95" s="363"/>
      <c r="AF95" s="713"/>
      <c r="AG95" s="713"/>
      <c r="AH95" s="590"/>
      <c r="AI95" s="411"/>
      <c r="AJ95" s="411"/>
      <c r="AK95" s="107" t="s">
        <v>182</v>
      </c>
      <c r="AL95" s="387">
        <f t="shared" si="13"/>
        <v>0</v>
      </c>
      <c r="AM95" s="387">
        <f t="shared" si="14"/>
        <v>0</v>
      </c>
    </row>
    <row r="96" spans="1:39" s="391" customFormat="1" ht="39" hidden="1" customHeight="1" outlineLevel="3">
      <c r="A96" s="722"/>
      <c r="B96" s="733"/>
      <c r="C96" s="826"/>
      <c r="D96" s="735"/>
      <c r="E96" s="810" t="s">
        <v>125</v>
      </c>
      <c r="F96" s="769"/>
      <c r="G96" s="710"/>
      <c r="H96" s="799" t="str">
        <f>IF(G96="","",G96/$G$161)</f>
        <v/>
      </c>
      <c r="I96" s="710"/>
      <c r="J96" s="710"/>
      <c r="K96" s="712" t="str">
        <f t="shared" ref="K96" si="33">IF(SUM(I96:J97)=0,"",SUM(I96:J97))</f>
        <v/>
      </c>
      <c r="L96" s="589"/>
      <c r="M96" s="808" t="b">
        <v>0</v>
      </c>
      <c r="N96" s="401" t="b">
        <v>0</v>
      </c>
      <c r="O96" s="5"/>
      <c r="P96" s="363"/>
      <c r="Q96" s="712"/>
      <c r="R96" s="710"/>
      <c r="S96" s="710"/>
      <c r="T96" s="710"/>
      <c r="U96" s="710"/>
      <c r="V96" s="712">
        <f t="shared" si="24"/>
        <v>0</v>
      </c>
      <c r="W96" s="707"/>
      <c r="X96" s="362"/>
      <c r="Y96" s="364" t="s">
        <v>181</v>
      </c>
      <c r="Z96" s="5"/>
      <c r="AA96" s="5"/>
      <c r="AB96" s="392"/>
      <c r="AC96" s="710"/>
      <c r="AD96" s="710"/>
      <c r="AE96" s="363"/>
      <c r="AF96" s="712" t="str">
        <f t="shared" ref="AF96" si="34">IF(G96="","",IF(AND(V96="",Z96="",Z97="",AC96=""),"Missing Info",IF(G96-V96-Z96-Z97+AC96=0,"OK","Review financial exposure")))</f>
        <v/>
      </c>
      <c r="AG96" s="712" t="str">
        <f t="shared" ref="AG96" si="35">IF(K96="","",IF(AND(W96="",AA96="",AA97="",AD96=""),"Missing Info",IF(K96-W96-AA96-AA97+AD96=0,"OK","Review emissions")))</f>
        <v/>
      </c>
      <c r="AH96" s="590"/>
      <c r="AI96" s="411"/>
      <c r="AJ96" s="411"/>
      <c r="AK96" s="107" t="s">
        <v>182</v>
      </c>
      <c r="AL96" s="387">
        <f t="shared" si="13"/>
        <v>0</v>
      </c>
      <c r="AM96" s="387">
        <f t="shared" si="14"/>
        <v>0</v>
      </c>
    </row>
    <row r="97" spans="1:39" s="391" customFormat="1" ht="39" hidden="1" customHeight="1" outlineLevel="3">
      <c r="A97" s="722"/>
      <c r="B97" s="733"/>
      <c r="C97" s="826"/>
      <c r="D97" s="736"/>
      <c r="E97" s="811"/>
      <c r="F97" s="771"/>
      <c r="G97" s="711"/>
      <c r="H97" s="800"/>
      <c r="I97" s="711"/>
      <c r="J97" s="711"/>
      <c r="K97" s="713"/>
      <c r="L97" s="589"/>
      <c r="M97" s="809"/>
      <c r="N97" s="401" t="b">
        <v>0</v>
      </c>
      <c r="O97" s="5"/>
      <c r="P97" s="363"/>
      <c r="Q97" s="713"/>
      <c r="R97" s="711"/>
      <c r="S97" s="711"/>
      <c r="T97" s="711"/>
      <c r="U97" s="711"/>
      <c r="V97" s="713">
        <f t="shared" si="24"/>
        <v>0</v>
      </c>
      <c r="W97" s="708"/>
      <c r="X97" s="362"/>
      <c r="Y97" s="364" t="s">
        <v>183</v>
      </c>
      <c r="Z97" s="5"/>
      <c r="AA97" s="5"/>
      <c r="AB97" s="392"/>
      <c r="AC97" s="711"/>
      <c r="AD97" s="711"/>
      <c r="AE97" s="363"/>
      <c r="AF97" s="713"/>
      <c r="AG97" s="713"/>
      <c r="AH97" s="590"/>
      <c r="AI97" s="411"/>
      <c r="AJ97" s="411"/>
      <c r="AK97" s="107" t="s">
        <v>182</v>
      </c>
      <c r="AL97" s="387">
        <f t="shared" si="13"/>
        <v>0</v>
      </c>
      <c r="AM97" s="387">
        <f t="shared" si="14"/>
        <v>0</v>
      </c>
    </row>
    <row r="98" spans="1:39" s="391" customFormat="1" ht="39" hidden="1" customHeight="1" outlineLevel="3">
      <c r="A98" s="722"/>
      <c r="B98" s="733"/>
      <c r="C98" s="826"/>
      <c r="D98" s="740" t="s">
        <v>185</v>
      </c>
      <c r="E98" s="741"/>
      <c r="F98" s="742"/>
      <c r="G98" s="710"/>
      <c r="H98" s="799" t="str">
        <f>IF(G98="","",G98/$G$161)</f>
        <v/>
      </c>
      <c r="I98" s="710"/>
      <c r="J98" s="710"/>
      <c r="K98" s="712" t="str">
        <f t="shared" ref="K98" si="36">IF(SUM(I98:J99)=0,"",SUM(I98:J99))</f>
        <v/>
      </c>
      <c r="L98" s="589"/>
      <c r="M98" s="808" t="b">
        <v>0</v>
      </c>
      <c r="N98" s="401" t="b">
        <v>0</v>
      </c>
      <c r="O98" s="5"/>
      <c r="P98" s="363"/>
      <c r="Q98" s="712"/>
      <c r="R98" s="710"/>
      <c r="S98" s="710"/>
      <c r="T98" s="710"/>
      <c r="U98" s="710"/>
      <c r="V98" s="712">
        <f t="shared" si="24"/>
        <v>0</v>
      </c>
      <c r="W98" s="707"/>
      <c r="X98" s="362"/>
      <c r="Y98" s="364" t="s">
        <v>186</v>
      </c>
      <c r="Z98" s="5"/>
      <c r="AA98" s="5"/>
      <c r="AB98" s="392"/>
      <c r="AC98" s="710"/>
      <c r="AD98" s="710"/>
      <c r="AE98" s="363"/>
      <c r="AF98" s="712" t="str">
        <f t="shared" ref="AF98" si="37">IF(G98="","",IF(AND(V98="",Z98="",Z99="",AC98=""),"Missing Info",IF(G98-V98-Z98-Z99+AC98=0,"OK","Review financial exposure")))</f>
        <v/>
      </c>
      <c r="AG98" s="712" t="str">
        <f t="shared" ref="AG98" si="38">IF(K98="","",IF(AND(W98="",AA98="",AA99="",AD98=""),"Missing Info",IF(K98-W98-AA98-AA99+AD98=0,"OK","Review emissions")))</f>
        <v/>
      </c>
      <c r="AH98" s="590"/>
      <c r="AI98" s="411"/>
      <c r="AJ98" s="411"/>
      <c r="AK98" s="107" t="s">
        <v>187</v>
      </c>
      <c r="AL98" s="387">
        <f t="shared" si="13"/>
        <v>0</v>
      </c>
      <c r="AM98" s="387">
        <f t="shared" si="14"/>
        <v>0</v>
      </c>
    </row>
    <row r="99" spans="1:39" s="391" customFormat="1" ht="39" hidden="1" customHeight="1" outlineLevel="3">
      <c r="A99" s="722"/>
      <c r="B99" s="733"/>
      <c r="C99" s="826"/>
      <c r="D99" s="743"/>
      <c r="E99" s="744"/>
      <c r="F99" s="745"/>
      <c r="G99" s="711"/>
      <c r="H99" s="800"/>
      <c r="I99" s="711"/>
      <c r="J99" s="711"/>
      <c r="K99" s="713"/>
      <c r="L99" s="589"/>
      <c r="M99" s="809"/>
      <c r="N99" s="401" t="b">
        <v>0</v>
      </c>
      <c r="O99" s="5"/>
      <c r="P99" s="363"/>
      <c r="Q99" s="713"/>
      <c r="R99" s="711"/>
      <c r="S99" s="711"/>
      <c r="T99" s="711"/>
      <c r="U99" s="711"/>
      <c r="V99" s="713">
        <f t="shared" si="24"/>
        <v>0</v>
      </c>
      <c r="W99" s="708"/>
      <c r="X99" s="362"/>
      <c r="Y99" s="364" t="s">
        <v>188</v>
      </c>
      <c r="Z99" s="5"/>
      <c r="AA99" s="5"/>
      <c r="AB99" s="392"/>
      <c r="AC99" s="711"/>
      <c r="AD99" s="711"/>
      <c r="AE99" s="363"/>
      <c r="AF99" s="713"/>
      <c r="AG99" s="713"/>
      <c r="AH99" s="590"/>
      <c r="AI99" s="411"/>
      <c r="AJ99" s="411"/>
      <c r="AK99" s="107" t="s">
        <v>187</v>
      </c>
      <c r="AL99" s="387">
        <f t="shared" si="13"/>
        <v>0</v>
      </c>
      <c r="AM99" s="387">
        <f t="shared" si="14"/>
        <v>0</v>
      </c>
    </row>
    <row r="100" spans="1:39" s="391" customFormat="1" ht="39" hidden="1" customHeight="1" outlineLevel="3">
      <c r="A100" s="722"/>
      <c r="B100" s="733"/>
      <c r="C100" s="826"/>
      <c r="D100" s="734" t="s">
        <v>189</v>
      </c>
      <c r="E100" s="764" t="s">
        <v>123</v>
      </c>
      <c r="F100" s="765"/>
      <c r="G100" s="710"/>
      <c r="H100" s="799" t="str">
        <f>IF(G100="","",G100/$G$161)</f>
        <v/>
      </c>
      <c r="I100" s="710"/>
      <c r="J100" s="710"/>
      <c r="K100" s="712" t="str">
        <f t="shared" ref="K100" si="39">IF(SUM(I100:J101)=0,"",SUM(I100:J101))</f>
        <v/>
      </c>
      <c r="L100" s="589"/>
      <c r="M100" s="808" t="b">
        <v>0</v>
      </c>
      <c r="N100" s="401" t="b">
        <v>0</v>
      </c>
      <c r="O100" s="5"/>
      <c r="P100" s="363"/>
      <c r="Q100" s="712"/>
      <c r="R100" s="710"/>
      <c r="S100" s="710"/>
      <c r="T100" s="710"/>
      <c r="U100" s="710"/>
      <c r="V100" s="712">
        <f t="shared" si="24"/>
        <v>0</v>
      </c>
      <c r="W100" s="707"/>
      <c r="X100" s="362"/>
      <c r="Y100" s="364" t="s">
        <v>186</v>
      </c>
      <c r="Z100" s="5"/>
      <c r="AA100" s="5"/>
      <c r="AB100" s="392"/>
      <c r="AC100" s="710"/>
      <c r="AD100" s="710"/>
      <c r="AE100" s="363"/>
      <c r="AF100" s="712" t="str">
        <f t="shared" ref="AF100" si="40">IF(G100="","",IF(AND(V100="",Z100="",Z101="",AC100=""),"Missing Info",IF(G100-V100-Z100-Z101+AC100=0,"OK","Review financial exposure")))</f>
        <v/>
      </c>
      <c r="AG100" s="712" t="str">
        <f t="shared" ref="AG100" si="41">IF(K100="","",IF(AND(W100="",AA100="",AA101="",AD100=""),"Missing Info",IF(K100-W100-AA100-AA101+AD100=0,"OK","Review emissions")))</f>
        <v/>
      </c>
      <c r="AH100" s="590"/>
      <c r="AI100" s="411"/>
      <c r="AJ100" s="411"/>
      <c r="AK100" s="107" t="s">
        <v>187</v>
      </c>
      <c r="AL100" s="387">
        <f t="shared" si="13"/>
        <v>0</v>
      </c>
      <c r="AM100" s="387">
        <f t="shared" si="14"/>
        <v>0</v>
      </c>
    </row>
    <row r="101" spans="1:39" s="391" customFormat="1" ht="39" hidden="1" customHeight="1" outlineLevel="3">
      <c r="A101" s="722"/>
      <c r="B101" s="733"/>
      <c r="C101" s="826"/>
      <c r="D101" s="735"/>
      <c r="E101" s="766"/>
      <c r="F101" s="767"/>
      <c r="G101" s="711"/>
      <c r="H101" s="800"/>
      <c r="I101" s="711"/>
      <c r="J101" s="711"/>
      <c r="K101" s="713"/>
      <c r="L101" s="589"/>
      <c r="M101" s="809"/>
      <c r="N101" s="401" t="b">
        <v>0</v>
      </c>
      <c r="O101" s="5"/>
      <c r="P101" s="363"/>
      <c r="Q101" s="713"/>
      <c r="R101" s="711"/>
      <c r="S101" s="711"/>
      <c r="T101" s="711"/>
      <c r="U101" s="711"/>
      <c r="V101" s="713">
        <f t="shared" si="24"/>
        <v>0</v>
      </c>
      <c r="W101" s="708"/>
      <c r="X101" s="362"/>
      <c r="Y101" s="364" t="s">
        <v>188</v>
      </c>
      <c r="Z101" s="5"/>
      <c r="AA101" s="5"/>
      <c r="AB101" s="392"/>
      <c r="AC101" s="711"/>
      <c r="AD101" s="711"/>
      <c r="AE101" s="363"/>
      <c r="AF101" s="713"/>
      <c r="AG101" s="713"/>
      <c r="AH101" s="590"/>
      <c r="AI101" s="411"/>
      <c r="AJ101" s="411"/>
      <c r="AK101" s="107" t="s">
        <v>187</v>
      </c>
      <c r="AL101" s="387">
        <f t="shared" si="13"/>
        <v>0</v>
      </c>
      <c r="AM101" s="387">
        <f t="shared" si="14"/>
        <v>0</v>
      </c>
    </row>
    <row r="102" spans="1:39" s="391" customFormat="1" ht="39" hidden="1" customHeight="1" outlineLevel="3">
      <c r="A102" s="722"/>
      <c r="B102" s="733"/>
      <c r="C102" s="826"/>
      <c r="D102" s="735"/>
      <c r="E102" s="768" t="s">
        <v>125</v>
      </c>
      <c r="F102" s="769"/>
      <c r="G102" s="710"/>
      <c r="H102" s="799" t="str">
        <f>IF(G102="","",G102/$G$161)</f>
        <v/>
      </c>
      <c r="I102" s="710"/>
      <c r="J102" s="710"/>
      <c r="K102" s="712" t="str">
        <f t="shared" ref="K102" si="42">IF(SUM(I102:J103)=0,"",SUM(I102:J103))</f>
        <v/>
      </c>
      <c r="L102" s="589"/>
      <c r="M102" s="808" t="b">
        <v>0</v>
      </c>
      <c r="N102" s="401" t="b">
        <v>0</v>
      </c>
      <c r="O102" s="5"/>
      <c r="P102" s="363"/>
      <c r="Q102" s="712"/>
      <c r="R102" s="710"/>
      <c r="S102" s="710"/>
      <c r="T102" s="710"/>
      <c r="U102" s="710"/>
      <c r="V102" s="712">
        <f t="shared" si="24"/>
        <v>0</v>
      </c>
      <c r="W102" s="707"/>
      <c r="X102" s="362"/>
      <c r="Y102" s="364" t="s">
        <v>186</v>
      </c>
      <c r="Z102" s="5"/>
      <c r="AA102" s="5"/>
      <c r="AB102" s="392"/>
      <c r="AC102" s="710"/>
      <c r="AD102" s="710"/>
      <c r="AE102" s="363"/>
      <c r="AF102" s="712" t="str">
        <f t="shared" ref="AF102" si="43">IF(G102="","",IF(AND(V102="",Z102="",Z103="",AC102=""),"Missing Info",IF(G102-V102-Z102-Z103+AC102=0,"OK","Review financial exposure")))</f>
        <v/>
      </c>
      <c r="AG102" s="712" t="str">
        <f t="shared" ref="AG102" si="44">IF(K102="","",IF(AND(W102="",AA102="",AA103="",AD102=""),"Missing Info",IF(K102-W102-AA102-AA103+AD102=0,"OK","Review emissions")))</f>
        <v/>
      </c>
      <c r="AH102" s="590"/>
      <c r="AI102" s="411"/>
      <c r="AJ102" s="411"/>
      <c r="AK102" s="107" t="s">
        <v>187</v>
      </c>
      <c r="AL102" s="387">
        <f t="shared" si="13"/>
        <v>0</v>
      </c>
      <c r="AM102" s="387">
        <f t="shared" si="14"/>
        <v>0</v>
      </c>
    </row>
    <row r="103" spans="1:39" s="391" customFormat="1" ht="39" hidden="1" customHeight="1" outlineLevel="3">
      <c r="A103" s="722"/>
      <c r="B103" s="733"/>
      <c r="C103" s="811"/>
      <c r="D103" s="736"/>
      <c r="E103" s="770"/>
      <c r="F103" s="771"/>
      <c r="G103" s="711"/>
      <c r="H103" s="800"/>
      <c r="I103" s="711"/>
      <c r="J103" s="711"/>
      <c r="K103" s="713"/>
      <c r="L103" s="589"/>
      <c r="M103" s="809"/>
      <c r="N103" s="401" t="b">
        <v>0</v>
      </c>
      <c r="O103" s="5"/>
      <c r="P103" s="363"/>
      <c r="Q103" s="713"/>
      <c r="R103" s="711"/>
      <c r="S103" s="711"/>
      <c r="T103" s="711"/>
      <c r="U103" s="711"/>
      <c r="V103" s="713">
        <f t="shared" si="24"/>
        <v>0</v>
      </c>
      <c r="W103" s="708"/>
      <c r="X103" s="362"/>
      <c r="Y103" s="364" t="s">
        <v>188</v>
      </c>
      <c r="Z103" s="5"/>
      <c r="AA103" s="5"/>
      <c r="AB103" s="392"/>
      <c r="AC103" s="711"/>
      <c r="AD103" s="711"/>
      <c r="AE103" s="363"/>
      <c r="AF103" s="713"/>
      <c r="AG103" s="713"/>
      <c r="AH103" s="590"/>
      <c r="AI103" s="411"/>
      <c r="AJ103" s="411"/>
      <c r="AK103" s="107" t="s">
        <v>187</v>
      </c>
      <c r="AL103" s="387">
        <f t="shared" si="13"/>
        <v>0</v>
      </c>
      <c r="AM103" s="387">
        <f t="shared" si="14"/>
        <v>0</v>
      </c>
    </row>
    <row r="104" spans="1:39" s="391" customFormat="1" ht="39" hidden="1" customHeight="1" outlineLevel="3">
      <c r="A104" s="722"/>
      <c r="B104" s="733"/>
      <c r="C104" s="734" t="s">
        <v>190</v>
      </c>
      <c r="D104" s="737" t="s">
        <v>191</v>
      </c>
      <c r="E104" s="738"/>
      <c r="F104" s="739"/>
      <c r="G104" s="539"/>
      <c r="H104" s="365" t="str">
        <f t="shared" ref="H104:H110" si="45">IF(G104="","",G104/$G$161)</f>
        <v/>
      </c>
      <c r="I104" s="539"/>
      <c r="J104" s="539"/>
      <c r="K104" s="557" t="str">
        <f t="shared" ref="K104:K109" si="46">IF(SUM(I104:J104)=0,"",SUM(I104:J104))</f>
        <v/>
      </c>
      <c r="L104" s="589"/>
      <c r="M104" s="544" t="b">
        <v>0</v>
      </c>
      <c r="N104" s="401" t="b">
        <v>0</v>
      </c>
      <c r="O104" s="5"/>
      <c r="P104" s="363"/>
      <c r="Q104" s="557"/>
      <c r="R104" s="5"/>
      <c r="S104" s="5"/>
      <c r="T104" s="5"/>
      <c r="U104" s="5"/>
      <c r="V104" s="557">
        <f t="shared" si="24"/>
        <v>0</v>
      </c>
      <c r="W104" s="22"/>
      <c r="X104" s="362"/>
      <c r="Y104" s="364" t="s">
        <v>192</v>
      </c>
      <c r="Z104" s="5"/>
      <c r="AA104" s="5"/>
      <c r="AB104" s="392"/>
      <c r="AC104" s="5"/>
      <c r="AD104" s="5"/>
      <c r="AE104" s="363"/>
      <c r="AF104" s="557" t="str">
        <f t="shared" ref="AF104:AF109" si="47">IF(G104="","",IF(AND(V104="",Z104="",AC104=""),"Missing Info",IF(G104-V104-Z104+AC104=0,"OK","Review financial exposure")))</f>
        <v/>
      </c>
      <c r="AG104" s="557" t="str">
        <f t="shared" ref="AG104:AG109" si="48">IF(K104="","",IF(AND(W104="",AA104="",AD104=""),"Missing Info",IF(K104-W104-AA104+AD104=0,"OK","Review emissions")))</f>
        <v/>
      </c>
      <c r="AH104" s="590"/>
      <c r="AI104" s="411"/>
      <c r="AJ104" s="411"/>
      <c r="AK104" s="107" t="s">
        <v>193</v>
      </c>
      <c r="AL104" s="387">
        <f t="shared" si="13"/>
        <v>0</v>
      </c>
      <c r="AM104" s="387">
        <f t="shared" si="14"/>
        <v>0</v>
      </c>
    </row>
    <row r="105" spans="1:39" s="391" customFormat="1" ht="66" hidden="1" customHeight="1" outlineLevel="3">
      <c r="A105" s="722"/>
      <c r="B105" s="733"/>
      <c r="C105" s="735"/>
      <c r="D105" s="734" t="s">
        <v>194</v>
      </c>
      <c r="E105" s="762" t="s">
        <v>123</v>
      </c>
      <c r="F105" s="763"/>
      <c r="G105" s="539"/>
      <c r="H105" s="365" t="str">
        <f t="shared" si="45"/>
        <v/>
      </c>
      <c r="I105" s="539"/>
      <c r="J105" s="539"/>
      <c r="K105" s="557" t="str">
        <f t="shared" si="46"/>
        <v/>
      </c>
      <c r="L105" s="589"/>
      <c r="M105" s="544" t="b">
        <v>0</v>
      </c>
      <c r="N105" s="401" t="b">
        <v>0</v>
      </c>
      <c r="O105" s="5"/>
      <c r="P105" s="363"/>
      <c r="Q105" s="557"/>
      <c r="R105" s="5"/>
      <c r="S105" s="5"/>
      <c r="T105" s="5"/>
      <c r="U105" s="5"/>
      <c r="V105" s="557">
        <f t="shared" si="24"/>
        <v>0</v>
      </c>
      <c r="W105" s="22"/>
      <c r="X105" s="362"/>
      <c r="Y105" s="364" t="s">
        <v>192</v>
      </c>
      <c r="Z105" s="5"/>
      <c r="AA105" s="5"/>
      <c r="AB105" s="392"/>
      <c r="AC105" s="5"/>
      <c r="AD105" s="5"/>
      <c r="AE105" s="363"/>
      <c r="AF105" s="557" t="str">
        <f t="shared" si="47"/>
        <v/>
      </c>
      <c r="AG105" s="557" t="str">
        <f t="shared" si="48"/>
        <v/>
      </c>
      <c r="AH105" s="590"/>
      <c r="AI105" s="411"/>
      <c r="AJ105" s="411"/>
      <c r="AK105" s="107" t="s">
        <v>193</v>
      </c>
      <c r="AL105" s="387">
        <f t="shared" si="13"/>
        <v>0</v>
      </c>
      <c r="AM105" s="387">
        <f t="shared" si="14"/>
        <v>0</v>
      </c>
    </row>
    <row r="106" spans="1:39" s="391" customFormat="1" ht="39" hidden="1" customHeight="1" outlineLevel="3">
      <c r="A106" s="722"/>
      <c r="B106" s="733"/>
      <c r="C106" s="735"/>
      <c r="D106" s="736"/>
      <c r="E106" s="803" t="s">
        <v>125</v>
      </c>
      <c r="F106" s="804"/>
      <c r="G106" s="539"/>
      <c r="H106" s="365" t="str">
        <f t="shared" si="45"/>
        <v/>
      </c>
      <c r="I106" s="539"/>
      <c r="J106" s="539"/>
      <c r="K106" s="557" t="str">
        <f t="shared" si="46"/>
        <v/>
      </c>
      <c r="L106" s="589"/>
      <c r="M106" s="544" t="b">
        <v>0</v>
      </c>
      <c r="N106" s="401" t="b">
        <v>0</v>
      </c>
      <c r="O106" s="5"/>
      <c r="P106" s="363"/>
      <c r="Q106" s="557"/>
      <c r="R106" s="5"/>
      <c r="S106" s="5"/>
      <c r="T106" s="5"/>
      <c r="U106" s="5"/>
      <c r="V106" s="557">
        <f t="shared" si="24"/>
        <v>0</v>
      </c>
      <c r="W106" s="22"/>
      <c r="X106" s="362"/>
      <c r="Y106" s="364" t="s">
        <v>192</v>
      </c>
      <c r="Z106" s="5"/>
      <c r="AA106" s="5"/>
      <c r="AB106" s="392"/>
      <c r="AC106" s="5"/>
      <c r="AD106" s="5"/>
      <c r="AE106" s="363"/>
      <c r="AF106" s="557" t="str">
        <f t="shared" si="47"/>
        <v/>
      </c>
      <c r="AG106" s="557" t="str">
        <f t="shared" si="48"/>
        <v/>
      </c>
      <c r="AH106" s="590"/>
      <c r="AI106" s="411"/>
      <c r="AJ106" s="411"/>
      <c r="AK106" s="107" t="s">
        <v>193</v>
      </c>
      <c r="AL106" s="387">
        <f t="shared" si="13"/>
        <v>0</v>
      </c>
      <c r="AM106" s="387">
        <f t="shared" si="14"/>
        <v>0</v>
      </c>
    </row>
    <row r="107" spans="1:39" s="391" customFormat="1" ht="39" hidden="1" customHeight="1" outlineLevel="3">
      <c r="A107" s="722"/>
      <c r="B107" s="733"/>
      <c r="C107" s="735"/>
      <c r="D107" s="737" t="s">
        <v>195</v>
      </c>
      <c r="E107" s="738"/>
      <c r="F107" s="739"/>
      <c r="G107" s="539"/>
      <c r="H107" s="365" t="str">
        <f t="shared" si="45"/>
        <v/>
      </c>
      <c r="I107" s="539"/>
      <c r="J107" s="539"/>
      <c r="K107" s="557" t="str">
        <f t="shared" si="46"/>
        <v/>
      </c>
      <c r="L107" s="589"/>
      <c r="M107" s="544" t="b">
        <v>0</v>
      </c>
      <c r="N107" s="401" t="b">
        <v>0</v>
      </c>
      <c r="O107" s="5"/>
      <c r="P107" s="363"/>
      <c r="Q107" s="557"/>
      <c r="R107" s="5"/>
      <c r="S107" s="5"/>
      <c r="T107" s="5"/>
      <c r="U107" s="5"/>
      <c r="V107" s="557">
        <f t="shared" si="24"/>
        <v>0</v>
      </c>
      <c r="W107" s="22"/>
      <c r="X107" s="362"/>
      <c r="Y107" s="364" t="s">
        <v>196</v>
      </c>
      <c r="Z107" s="5"/>
      <c r="AA107" s="5"/>
      <c r="AB107" s="392"/>
      <c r="AC107" s="5"/>
      <c r="AD107" s="5"/>
      <c r="AE107" s="363"/>
      <c r="AF107" s="557" t="str">
        <f t="shared" si="47"/>
        <v/>
      </c>
      <c r="AG107" s="557" t="str">
        <f t="shared" si="48"/>
        <v/>
      </c>
      <c r="AH107" s="590"/>
      <c r="AI107" s="411"/>
      <c r="AJ107" s="411"/>
      <c r="AK107" s="107" t="s">
        <v>197</v>
      </c>
      <c r="AL107" s="387">
        <f t="shared" si="13"/>
        <v>0</v>
      </c>
      <c r="AM107" s="387">
        <f t="shared" si="14"/>
        <v>0</v>
      </c>
    </row>
    <row r="108" spans="1:39" s="391" customFormat="1" ht="72" hidden="1" customHeight="1" outlineLevel="3">
      <c r="A108" s="722"/>
      <c r="B108" s="733"/>
      <c r="C108" s="735"/>
      <c r="D108" s="734" t="s">
        <v>198</v>
      </c>
      <c r="E108" s="762" t="s">
        <v>123</v>
      </c>
      <c r="F108" s="763"/>
      <c r="G108" s="539"/>
      <c r="H108" s="365" t="str">
        <f t="shared" si="45"/>
        <v/>
      </c>
      <c r="I108" s="539"/>
      <c r="J108" s="539"/>
      <c r="K108" s="557" t="str">
        <f t="shared" si="46"/>
        <v/>
      </c>
      <c r="L108" s="589"/>
      <c r="M108" s="544" t="b">
        <v>0</v>
      </c>
      <c r="N108" s="401" t="b">
        <v>0</v>
      </c>
      <c r="O108" s="5"/>
      <c r="P108" s="363"/>
      <c r="Q108" s="557"/>
      <c r="R108" s="5"/>
      <c r="S108" s="5"/>
      <c r="T108" s="5"/>
      <c r="U108" s="5"/>
      <c r="V108" s="557">
        <f t="shared" si="24"/>
        <v>0</v>
      </c>
      <c r="W108" s="22"/>
      <c r="X108" s="362"/>
      <c r="Y108" s="364" t="s">
        <v>196</v>
      </c>
      <c r="Z108" s="5"/>
      <c r="AA108" s="5"/>
      <c r="AB108" s="392"/>
      <c r="AC108" s="5"/>
      <c r="AD108" s="5"/>
      <c r="AE108" s="363"/>
      <c r="AF108" s="557" t="str">
        <f t="shared" si="47"/>
        <v/>
      </c>
      <c r="AG108" s="557" t="str">
        <f t="shared" si="48"/>
        <v/>
      </c>
      <c r="AH108" s="590"/>
      <c r="AI108" s="411"/>
      <c r="AJ108" s="411"/>
      <c r="AK108" s="107" t="s">
        <v>197</v>
      </c>
      <c r="AL108" s="387">
        <f t="shared" si="13"/>
        <v>0</v>
      </c>
      <c r="AM108" s="387">
        <f t="shared" si="14"/>
        <v>0</v>
      </c>
    </row>
    <row r="109" spans="1:39" s="391" customFormat="1" ht="62" hidden="1" customHeight="1" outlineLevel="3">
      <c r="A109" s="722"/>
      <c r="B109" s="733"/>
      <c r="C109" s="736"/>
      <c r="D109" s="736"/>
      <c r="E109" s="803" t="s">
        <v>125</v>
      </c>
      <c r="F109" s="804"/>
      <c r="G109" s="539"/>
      <c r="H109" s="365" t="str">
        <f t="shared" si="45"/>
        <v/>
      </c>
      <c r="I109" s="539"/>
      <c r="J109" s="539"/>
      <c r="K109" s="557" t="str">
        <f t="shared" si="46"/>
        <v/>
      </c>
      <c r="L109" s="589"/>
      <c r="M109" s="544" t="b">
        <v>0</v>
      </c>
      <c r="N109" s="401" t="b">
        <v>0</v>
      </c>
      <c r="O109" s="5"/>
      <c r="P109" s="363"/>
      <c r="Q109" s="557"/>
      <c r="R109" s="5"/>
      <c r="S109" s="5"/>
      <c r="T109" s="5"/>
      <c r="U109" s="5"/>
      <c r="V109" s="557">
        <f t="shared" si="24"/>
        <v>0</v>
      </c>
      <c r="W109" s="22"/>
      <c r="X109" s="362"/>
      <c r="Y109" s="364" t="s">
        <v>196</v>
      </c>
      <c r="Z109" s="5"/>
      <c r="AA109" s="5"/>
      <c r="AB109" s="392"/>
      <c r="AC109" s="5"/>
      <c r="AD109" s="5"/>
      <c r="AE109" s="363"/>
      <c r="AF109" s="557" t="str">
        <f t="shared" si="47"/>
        <v/>
      </c>
      <c r="AG109" s="557" t="str">
        <f t="shared" si="48"/>
        <v/>
      </c>
      <c r="AH109" s="590"/>
      <c r="AI109" s="411"/>
      <c r="AJ109" s="411"/>
      <c r="AK109" s="107" t="s">
        <v>197</v>
      </c>
      <c r="AL109" s="387">
        <f t="shared" si="13"/>
        <v>0</v>
      </c>
      <c r="AM109" s="387">
        <f t="shared" si="14"/>
        <v>0</v>
      </c>
    </row>
    <row r="110" spans="1:39" s="391" customFormat="1" ht="39" hidden="1" customHeight="1" outlineLevel="3">
      <c r="A110" s="722"/>
      <c r="B110" s="733"/>
      <c r="C110" s="734" t="s">
        <v>199</v>
      </c>
      <c r="D110" s="740" t="s">
        <v>200</v>
      </c>
      <c r="E110" s="741"/>
      <c r="F110" s="742"/>
      <c r="G110" s="710"/>
      <c r="H110" s="799" t="str">
        <f t="shared" si="45"/>
        <v/>
      </c>
      <c r="I110" s="710"/>
      <c r="J110" s="710"/>
      <c r="K110" s="712" t="str">
        <f t="shared" ref="K110" si="49">IF(SUM(I110:J111)=0,"",SUM(I110:J111))</f>
        <v/>
      </c>
      <c r="L110" s="589"/>
      <c r="M110" s="808" t="b">
        <v>0</v>
      </c>
      <c r="N110" s="401" t="b">
        <v>0</v>
      </c>
      <c r="O110" s="5"/>
      <c r="P110" s="363"/>
      <c r="Q110" s="712"/>
      <c r="R110" s="710"/>
      <c r="S110" s="710"/>
      <c r="T110" s="710"/>
      <c r="U110" s="710"/>
      <c r="V110" s="712">
        <f t="shared" si="24"/>
        <v>0</v>
      </c>
      <c r="W110" s="707"/>
      <c r="X110" s="362"/>
      <c r="Y110" s="364" t="s">
        <v>201</v>
      </c>
      <c r="Z110" s="5"/>
      <c r="AA110" s="5"/>
      <c r="AB110" s="392"/>
      <c r="AC110" s="710"/>
      <c r="AD110" s="710"/>
      <c r="AE110" s="363"/>
      <c r="AF110" s="712" t="str">
        <f t="shared" ref="AF110" si="50">IF(G110="","",IF(AND(V110="",Z110="",Z111="",AC110=""),"Missing Info",IF(G110-V110-Z110-Z111+AC110=0,"OK","Review financial exposure")))</f>
        <v/>
      </c>
      <c r="AG110" s="712" t="str">
        <f t="shared" ref="AG110" si="51">IF(K110="","",IF(AND(W110="",AA110="",AA111="",AD110=""),"Missing Info",IF(K110-W110-AA110-AA111+AD110=0,"OK","Review emissions")))</f>
        <v/>
      </c>
      <c r="AH110" s="590"/>
      <c r="AI110" s="411"/>
      <c r="AJ110" s="411"/>
      <c r="AK110" s="107" t="s">
        <v>202</v>
      </c>
      <c r="AL110" s="387">
        <f t="shared" si="13"/>
        <v>0</v>
      </c>
      <c r="AM110" s="387">
        <f t="shared" si="14"/>
        <v>0</v>
      </c>
    </row>
    <row r="111" spans="1:39" s="391" customFormat="1" ht="39" hidden="1" customHeight="1" outlineLevel="3">
      <c r="A111" s="722"/>
      <c r="B111" s="733"/>
      <c r="C111" s="735"/>
      <c r="D111" s="743"/>
      <c r="E111" s="744"/>
      <c r="F111" s="745"/>
      <c r="G111" s="711"/>
      <c r="H111" s="800"/>
      <c r="I111" s="711"/>
      <c r="J111" s="711"/>
      <c r="K111" s="713"/>
      <c r="L111" s="589"/>
      <c r="M111" s="809"/>
      <c r="N111" s="401" t="b">
        <v>0</v>
      </c>
      <c r="O111" s="5"/>
      <c r="P111" s="363"/>
      <c r="Q111" s="713"/>
      <c r="R111" s="711"/>
      <c r="S111" s="711"/>
      <c r="T111" s="711"/>
      <c r="U111" s="711"/>
      <c r="V111" s="713">
        <f t="shared" si="24"/>
        <v>0</v>
      </c>
      <c r="W111" s="708"/>
      <c r="X111" s="362"/>
      <c r="Y111" s="364" t="s">
        <v>203</v>
      </c>
      <c r="Z111" s="5"/>
      <c r="AA111" s="5"/>
      <c r="AB111" s="392"/>
      <c r="AC111" s="711"/>
      <c r="AD111" s="711"/>
      <c r="AE111" s="363"/>
      <c r="AF111" s="713"/>
      <c r="AG111" s="713"/>
      <c r="AH111" s="590"/>
      <c r="AI111" s="411"/>
      <c r="AJ111" s="411"/>
      <c r="AK111" s="107" t="s">
        <v>202</v>
      </c>
      <c r="AL111" s="387">
        <f t="shared" si="13"/>
        <v>0</v>
      </c>
      <c r="AM111" s="387">
        <f t="shared" si="14"/>
        <v>0</v>
      </c>
    </row>
    <row r="112" spans="1:39" s="391" customFormat="1" ht="39" hidden="1" customHeight="1" outlineLevel="3">
      <c r="A112" s="722"/>
      <c r="B112" s="733"/>
      <c r="C112" s="735"/>
      <c r="D112" s="734" t="s">
        <v>204</v>
      </c>
      <c r="E112" s="764" t="s">
        <v>123</v>
      </c>
      <c r="F112" s="765"/>
      <c r="G112" s="710"/>
      <c r="H112" s="799" t="str">
        <f>IF(G112="","",G112/$G$161)</f>
        <v/>
      </c>
      <c r="I112" s="710"/>
      <c r="J112" s="710"/>
      <c r="K112" s="712" t="str">
        <f t="shared" ref="K112" si="52">IF(SUM(I112:J113)=0,"",SUM(I112:J113))</f>
        <v/>
      </c>
      <c r="L112" s="589"/>
      <c r="M112" s="808" t="b">
        <v>0</v>
      </c>
      <c r="N112" s="401" t="b">
        <v>0</v>
      </c>
      <c r="O112" s="5"/>
      <c r="P112" s="363"/>
      <c r="Q112" s="712"/>
      <c r="R112" s="710"/>
      <c r="S112" s="710"/>
      <c r="T112" s="710"/>
      <c r="U112" s="710"/>
      <c r="V112" s="712">
        <f t="shared" si="24"/>
        <v>0</v>
      </c>
      <c r="W112" s="707"/>
      <c r="X112" s="362"/>
      <c r="Y112" s="364" t="s">
        <v>201</v>
      </c>
      <c r="Z112" s="5"/>
      <c r="AA112" s="5"/>
      <c r="AB112" s="392"/>
      <c r="AC112" s="710"/>
      <c r="AD112" s="710"/>
      <c r="AE112" s="363"/>
      <c r="AF112" s="712" t="str">
        <f t="shared" ref="AF112" si="53">IF(G112="","",IF(AND(V112="",Z112="",Z113="",AC112=""),"Missing Info",IF(G112-V112-Z112-Z113+AC112=0,"OK","Review financial exposure")))</f>
        <v/>
      </c>
      <c r="AG112" s="712" t="str">
        <f t="shared" ref="AG112" si="54">IF(K112="","",IF(AND(W112="",AA112="",AA113="",AD112=""),"Missing Info",IF(K112-W112-AA112-AA113+AD112=0,"OK","Review emissions")))</f>
        <v/>
      </c>
      <c r="AH112" s="590"/>
      <c r="AI112" s="411"/>
      <c r="AJ112" s="411"/>
      <c r="AK112" s="107" t="s">
        <v>202</v>
      </c>
      <c r="AL112" s="387">
        <f t="shared" si="13"/>
        <v>0</v>
      </c>
      <c r="AM112" s="387">
        <f t="shared" si="14"/>
        <v>0</v>
      </c>
    </row>
    <row r="113" spans="1:39" s="391" customFormat="1" ht="39" hidden="1" customHeight="1" outlineLevel="3">
      <c r="A113" s="722"/>
      <c r="B113" s="733"/>
      <c r="C113" s="735"/>
      <c r="D113" s="735"/>
      <c r="E113" s="766"/>
      <c r="F113" s="767"/>
      <c r="G113" s="711"/>
      <c r="H113" s="800"/>
      <c r="I113" s="711"/>
      <c r="J113" s="711"/>
      <c r="K113" s="713"/>
      <c r="L113" s="589"/>
      <c r="M113" s="809"/>
      <c r="N113" s="401" t="b">
        <v>0</v>
      </c>
      <c r="O113" s="5"/>
      <c r="P113" s="363"/>
      <c r="Q113" s="713"/>
      <c r="R113" s="711"/>
      <c r="S113" s="711"/>
      <c r="T113" s="711"/>
      <c r="U113" s="711"/>
      <c r="V113" s="713">
        <f t="shared" si="24"/>
        <v>0</v>
      </c>
      <c r="W113" s="708"/>
      <c r="X113" s="362"/>
      <c r="Y113" s="364" t="s">
        <v>203</v>
      </c>
      <c r="Z113" s="5"/>
      <c r="AA113" s="5"/>
      <c r="AB113" s="392"/>
      <c r="AC113" s="711"/>
      <c r="AD113" s="711"/>
      <c r="AE113" s="363"/>
      <c r="AF113" s="713"/>
      <c r="AG113" s="713"/>
      <c r="AH113" s="590"/>
      <c r="AI113" s="411"/>
      <c r="AJ113" s="411"/>
      <c r="AK113" s="107" t="s">
        <v>202</v>
      </c>
      <c r="AL113" s="387">
        <f t="shared" si="13"/>
        <v>0</v>
      </c>
      <c r="AM113" s="387">
        <f t="shared" si="14"/>
        <v>0</v>
      </c>
    </row>
    <row r="114" spans="1:39" s="391" customFormat="1" ht="39" hidden="1" customHeight="1" outlineLevel="3">
      <c r="A114" s="722"/>
      <c r="B114" s="733"/>
      <c r="C114" s="735"/>
      <c r="D114" s="735"/>
      <c r="E114" s="768" t="s">
        <v>125</v>
      </c>
      <c r="F114" s="769"/>
      <c r="G114" s="710"/>
      <c r="H114" s="799" t="str">
        <f>IF(G114="","",G114/$G$161)</f>
        <v/>
      </c>
      <c r="I114" s="710"/>
      <c r="J114" s="710"/>
      <c r="K114" s="712" t="str">
        <f t="shared" ref="K114" si="55">IF(SUM(I114:J115)=0,"",SUM(I114:J115))</f>
        <v/>
      </c>
      <c r="L114" s="589"/>
      <c r="M114" s="808" t="b">
        <v>0</v>
      </c>
      <c r="N114" s="401" t="b">
        <v>0</v>
      </c>
      <c r="O114" s="5"/>
      <c r="P114" s="363"/>
      <c r="Q114" s="712"/>
      <c r="R114" s="710"/>
      <c r="S114" s="710"/>
      <c r="T114" s="710"/>
      <c r="U114" s="710"/>
      <c r="V114" s="712">
        <f t="shared" si="24"/>
        <v>0</v>
      </c>
      <c r="W114" s="707"/>
      <c r="X114" s="362"/>
      <c r="Y114" s="364" t="s">
        <v>201</v>
      </c>
      <c r="Z114" s="5"/>
      <c r="AA114" s="5"/>
      <c r="AB114" s="392"/>
      <c r="AC114" s="710"/>
      <c r="AD114" s="710"/>
      <c r="AE114" s="363"/>
      <c r="AF114" s="712" t="str">
        <f t="shared" ref="AF114" si="56">IF(G114="","",IF(AND(V114="",Z114="",Z115="",AC114=""),"Missing Info",IF(G114-V114-Z114-Z115+AC114=0,"OK","Review financial exposure")))</f>
        <v/>
      </c>
      <c r="AG114" s="712" t="str">
        <f t="shared" ref="AG114" si="57">IF(K114="","",IF(AND(W114="",AA114="",AA115="",AD114=""),"Missing Info",IF(K114-W114-AA114-AA115+AD114=0,"OK","Review emissions")))</f>
        <v/>
      </c>
      <c r="AH114" s="590"/>
      <c r="AI114" s="411"/>
      <c r="AJ114" s="411"/>
      <c r="AK114" s="107" t="s">
        <v>202</v>
      </c>
      <c r="AL114" s="387">
        <f t="shared" si="13"/>
        <v>0</v>
      </c>
      <c r="AM114" s="387">
        <f t="shared" si="14"/>
        <v>0</v>
      </c>
    </row>
    <row r="115" spans="1:39" s="391" customFormat="1" ht="39" hidden="1" customHeight="1" outlineLevel="3">
      <c r="A115" s="722"/>
      <c r="B115" s="733"/>
      <c r="C115" s="736"/>
      <c r="D115" s="736"/>
      <c r="E115" s="770"/>
      <c r="F115" s="771"/>
      <c r="G115" s="711"/>
      <c r="H115" s="800"/>
      <c r="I115" s="711"/>
      <c r="J115" s="711"/>
      <c r="K115" s="713"/>
      <c r="L115" s="589"/>
      <c r="M115" s="809"/>
      <c r="N115" s="401" t="b">
        <v>0</v>
      </c>
      <c r="O115" s="5"/>
      <c r="P115" s="363"/>
      <c r="Q115" s="713"/>
      <c r="R115" s="711"/>
      <c r="S115" s="711"/>
      <c r="T115" s="711"/>
      <c r="U115" s="711"/>
      <c r="V115" s="713">
        <f t="shared" si="24"/>
        <v>0</v>
      </c>
      <c r="W115" s="708"/>
      <c r="X115" s="362"/>
      <c r="Y115" s="364" t="s">
        <v>203</v>
      </c>
      <c r="Z115" s="5"/>
      <c r="AA115" s="5"/>
      <c r="AB115" s="392"/>
      <c r="AC115" s="711"/>
      <c r="AD115" s="711"/>
      <c r="AE115" s="363"/>
      <c r="AF115" s="713"/>
      <c r="AG115" s="713"/>
      <c r="AH115" s="590"/>
      <c r="AI115" s="411"/>
      <c r="AJ115" s="411"/>
      <c r="AK115" s="107" t="s">
        <v>202</v>
      </c>
      <c r="AL115" s="387">
        <f t="shared" si="13"/>
        <v>0</v>
      </c>
      <c r="AM115" s="387">
        <f t="shared" si="14"/>
        <v>0</v>
      </c>
    </row>
    <row r="116" spans="1:39" s="391" customFormat="1" ht="39" hidden="1" customHeight="1" outlineLevel="3">
      <c r="A116" s="722"/>
      <c r="B116" s="733"/>
      <c r="C116" s="734" t="s">
        <v>16</v>
      </c>
      <c r="D116" s="738" t="s">
        <v>205</v>
      </c>
      <c r="E116" s="738"/>
      <c r="F116" s="739"/>
      <c r="G116" s="539"/>
      <c r="H116" s="365" t="str">
        <f t="shared" ref="H116:H133" si="58">IF(G116="","",G116/$G$161)</f>
        <v/>
      </c>
      <c r="I116" s="539"/>
      <c r="J116" s="539"/>
      <c r="K116" s="557" t="str">
        <f t="shared" ref="K116:K132" si="59">IF(SUM(I116:J116)=0,"",SUM(I116:J116))</f>
        <v/>
      </c>
      <c r="L116" s="589"/>
      <c r="M116" s="544" t="b">
        <v>0</v>
      </c>
      <c r="N116" s="401" t="b">
        <v>0</v>
      </c>
      <c r="O116" s="5"/>
      <c r="P116" s="363"/>
      <c r="Q116" s="557"/>
      <c r="R116" s="5"/>
      <c r="S116" s="5"/>
      <c r="T116" s="5"/>
      <c r="U116" s="5"/>
      <c r="V116" s="557">
        <f t="shared" si="24"/>
        <v>0</v>
      </c>
      <c r="W116" s="22"/>
      <c r="X116" s="362"/>
      <c r="Y116" s="364" t="s">
        <v>206</v>
      </c>
      <c r="Z116" s="5"/>
      <c r="AA116" s="5"/>
      <c r="AB116" s="392"/>
      <c r="AC116" s="5"/>
      <c r="AD116" s="5"/>
      <c r="AE116" s="363"/>
      <c r="AF116" s="557" t="str">
        <f t="shared" ref="AF116:AF132" si="60">IF(G116="","",IF(AND(V116="",Z116="",AC116=""),"Missing Info",IF(G116-V116-Z116+AC116=0,"OK","Review financial exposure")))</f>
        <v/>
      </c>
      <c r="AG116" s="557" t="str">
        <f t="shared" ref="AG116:AG132" si="61">IF(K116="","",IF(AND(W116="",AA116="",AD116=""),"Missing Info",IF(K116-W116-AA116+AD116=0,"OK","Review emissions")))</f>
        <v/>
      </c>
      <c r="AH116" s="590"/>
      <c r="AI116" s="411"/>
      <c r="AJ116" s="411"/>
      <c r="AK116" s="107" t="s">
        <v>207</v>
      </c>
      <c r="AL116" s="387">
        <f t="shared" si="13"/>
        <v>0</v>
      </c>
      <c r="AM116" s="387">
        <f t="shared" si="14"/>
        <v>0</v>
      </c>
    </row>
    <row r="117" spans="1:39" s="391" customFormat="1" ht="71" hidden="1" customHeight="1" outlineLevel="3">
      <c r="A117" s="722"/>
      <c r="B117" s="733"/>
      <c r="C117" s="735"/>
      <c r="D117" s="734" t="s">
        <v>16</v>
      </c>
      <c r="E117" s="762" t="s">
        <v>123</v>
      </c>
      <c r="F117" s="763"/>
      <c r="G117" s="539"/>
      <c r="H117" s="365" t="str">
        <f t="shared" si="58"/>
        <v/>
      </c>
      <c r="I117" s="539"/>
      <c r="J117" s="539"/>
      <c r="K117" s="557" t="str">
        <f t="shared" si="59"/>
        <v/>
      </c>
      <c r="L117" s="589"/>
      <c r="M117" s="544" t="b">
        <v>0</v>
      </c>
      <c r="N117" s="401" t="b">
        <v>0</v>
      </c>
      <c r="O117" s="5"/>
      <c r="P117" s="363"/>
      <c r="Q117" s="557"/>
      <c r="R117" s="5"/>
      <c r="S117" s="5"/>
      <c r="T117" s="5"/>
      <c r="U117" s="5"/>
      <c r="V117" s="557">
        <f t="shared" si="24"/>
        <v>0</v>
      </c>
      <c r="W117" s="22"/>
      <c r="X117" s="362"/>
      <c r="Y117" s="364" t="s">
        <v>206</v>
      </c>
      <c r="Z117" s="5"/>
      <c r="AA117" s="5"/>
      <c r="AB117" s="392"/>
      <c r="AC117" s="5"/>
      <c r="AD117" s="5"/>
      <c r="AE117" s="363"/>
      <c r="AF117" s="557" t="str">
        <f t="shared" si="60"/>
        <v/>
      </c>
      <c r="AG117" s="557" t="str">
        <f t="shared" si="61"/>
        <v/>
      </c>
      <c r="AH117" s="590"/>
      <c r="AI117" s="411"/>
      <c r="AJ117" s="411"/>
      <c r="AK117" s="107" t="s">
        <v>207</v>
      </c>
      <c r="AL117" s="387">
        <f t="shared" si="13"/>
        <v>0</v>
      </c>
      <c r="AM117" s="387">
        <f t="shared" si="14"/>
        <v>0</v>
      </c>
    </row>
    <row r="118" spans="1:39" s="391" customFormat="1" ht="49.25" hidden="1" customHeight="1" outlineLevel="3">
      <c r="A118" s="722"/>
      <c r="B118" s="733"/>
      <c r="C118" s="736"/>
      <c r="D118" s="736"/>
      <c r="E118" s="803" t="s">
        <v>125</v>
      </c>
      <c r="F118" s="804"/>
      <c r="G118" s="539"/>
      <c r="H118" s="365" t="str">
        <f t="shared" si="58"/>
        <v/>
      </c>
      <c r="I118" s="539"/>
      <c r="J118" s="539"/>
      <c r="K118" s="557" t="str">
        <f t="shared" si="59"/>
        <v/>
      </c>
      <c r="L118" s="589"/>
      <c r="M118" s="544" t="b">
        <v>0</v>
      </c>
      <c r="N118" s="401" t="b">
        <v>0</v>
      </c>
      <c r="O118" s="5"/>
      <c r="P118" s="363"/>
      <c r="Q118" s="557"/>
      <c r="R118" s="5"/>
      <c r="S118" s="5"/>
      <c r="T118" s="5"/>
      <c r="U118" s="5"/>
      <c r="V118" s="557">
        <f t="shared" si="24"/>
        <v>0</v>
      </c>
      <c r="W118" s="22"/>
      <c r="X118" s="362"/>
      <c r="Y118" s="364" t="s">
        <v>206</v>
      </c>
      <c r="Z118" s="5"/>
      <c r="AA118" s="5"/>
      <c r="AB118" s="392"/>
      <c r="AC118" s="5"/>
      <c r="AD118" s="5"/>
      <c r="AE118" s="363"/>
      <c r="AF118" s="557" t="str">
        <f t="shared" si="60"/>
        <v/>
      </c>
      <c r="AG118" s="557" t="str">
        <f t="shared" si="61"/>
        <v/>
      </c>
      <c r="AH118" s="590"/>
      <c r="AI118" s="411"/>
      <c r="AJ118" s="411"/>
      <c r="AK118" s="107" t="s">
        <v>207</v>
      </c>
      <c r="AL118" s="387">
        <f t="shared" si="13"/>
        <v>0</v>
      </c>
      <c r="AM118" s="387">
        <f t="shared" si="14"/>
        <v>0</v>
      </c>
    </row>
    <row r="119" spans="1:39" s="391" customFormat="1" ht="39" hidden="1" customHeight="1" outlineLevel="3">
      <c r="A119" s="722"/>
      <c r="B119" s="733"/>
      <c r="C119" s="734" t="s">
        <v>208</v>
      </c>
      <c r="D119" s="737" t="s">
        <v>209</v>
      </c>
      <c r="E119" s="738"/>
      <c r="F119" s="739"/>
      <c r="G119" s="539"/>
      <c r="H119" s="365" t="str">
        <f t="shared" si="58"/>
        <v/>
      </c>
      <c r="I119" s="539"/>
      <c r="J119" s="539"/>
      <c r="K119" s="557" t="str">
        <f t="shared" si="59"/>
        <v/>
      </c>
      <c r="L119" s="589"/>
      <c r="M119" s="544" t="b">
        <v>0</v>
      </c>
      <c r="N119" s="401" t="b">
        <v>0</v>
      </c>
      <c r="O119" s="5"/>
      <c r="P119" s="363"/>
      <c r="Q119" s="557"/>
      <c r="R119" s="5"/>
      <c r="S119" s="5"/>
      <c r="T119" s="5"/>
      <c r="U119" s="5"/>
      <c r="V119" s="557">
        <f t="shared" si="24"/>
        <v>0</v>
      </c>
      <c r="W119" s="22"/>
      <c r="X119" s="362"/>
      <c r="Y119" s="394" t="s">
        <v>210</v>
      </c>
      <c r="Z119" s="5"/>
      <c r="AA119" s="5"/>
      <c r="AB119" s="392"/>
      <c r="AC119" s="5"/>
      <c r="AD119" s="5"/>
      <c r="AE119" s="363"/>
      <c r="AF119" s="557" t="str">
        <f t="shared" si="60"/>
        <v/>
      </c>
      <c r="AG119" s="557" t="str">
        <f t="shared" si="61"/>
        <v/>
      </c>
      <c r="AH119" s="590"/>
      <c r="AI119" s="411"/>
      <c r="AJ119" s="411"/>
      <c r="AK119" s="107" t="s">
        <v>211</v>
      </c>
      <c r="AL119" s="387">
        <f t="shared" si="13"/>
        <v>0</v>
      </c>
      <c r="AM119" s="387">
        <f t="shared" si="14"/>
        <v>0</v>
      </c>
    </row>
    <row r="120" spans="1:39" s="391" customFormat="1" ht="78" hidden="1" customHeight="1" outlineLevel="3">
      <c r="A120" s="722"/>
      <c r="B120" s="733"/>
      <c r="C120" s="735"/>
      <c r="D120" s="784" t="s">
        <v>212</v>
      </c>
      <c r="E120" s="764" t="s">
        <v>123</v>
      </c>
      <c r="F120" s="765"/>
      <c r="G120" s="539"/>
      <c r="H120" s="365" t="str">
        <f t="shared" si="58"/>
        <v/>
      </c>
      <c r="I120" s="539"/>
      <c r="J120" s="539"/>
      <c r="K120" s="557" t="str">
        <f t="shared" si="59"/>
        <v/>
      </c>
      <c r="L120" s="589"/>
      <c r="M120" s="544" t="b">
        <v>0</v>
      </c>
      <c r="N120" s="401" t="b">
        <v>0</v>
      </c>
      <c r="O120" s="5"/>
      <c r="P120" s="363"/>
      <c r="Q120" s="557"/>
      <c r="R120" s="5"/>
      <c r="S120" s="5"/>
      <c r="T120" s="5"/>
      <c r="U120" s="5"/>
      <c r="V120" s="557">
        <f t="shared" si="24"/>
        <v>0</v>
      </c>
      <c r="W120" s="22"/>
      <c r="X120" s="362"/>
      <c r="Y120" s="394" t="s">
        <v>210</v>
      </c>
      <c r="Z120" s="5"/>
      <c r="AA120" s="5"/>
      <c r="AB120" s="392"/>
      <c r="AC120" s="5"/>
      <c r="AD120" s="5"/>
      <c r="AE120" s="363"/>
      <c r="AF120" s="557" t="str">
        <f t="shared" si="60"/>
        <v/>
      </c>
      <c r="AG120" s="557" t="str">
        <f t="shared" si="61"/>
        <v/>
      </c>
      <c r="AH120" s="590"/>
      <c r="AI120" s="411"/>
      <c r="AJ120" s="411"/>
      <c r="AK120" s="107" t="s">
        <v>211</v>
      </c>
      <c r="AL120" s="387">
        <f t="shared" si="13"/>
        <v>0</v>
      </c>
      <c r="AM120" s="387">
        <f t="shared" si="14"/>
        <v>0</v>
      </c>
    </row>
    <row r="121" spans="1:39" s="391" customFormat="1" ht="39" hidden="1" customHeight="1" outlineLevel="3">
      <c r="A121" s="722"/>
      <c r="B121" s="733"/>
      <c r="C121" s="735"/>
      <c r="D121" s="785"/>
      <c r="E121" s="762" t="s">
        <v>124</v>
      </c>
      <c r="F121" s="763"/>
      <c r="G121" s="539"/>
      <c r="H121" s="365" t="str">
        <f t="shared" si="58"/>
        <v/>
      </c>
      <c r="I121" s="539"/>
      <c r="J121" s="539"/>
      <c r="K121" s="557" t="str">
        <f t="shared" si="59"/>
        <v/>
      </c>
      <c r="L121" s="589"/>
      <c r="M121" s="544" t="b">
        <v>0</v>
      </c>
      <c r="N121" s="401" t="b">
        <v>0</v>
      </c>
      <c r="O121" s="5"/>
      <c r="P121" s="363"/>
      <c r="Q121" s="557"/>
      <c r="R121" s="5"/>
      <c r="S121" s="5"/>
      <c r="T121" s="5"/>
      <c r="U121" s="5"/>
      <c r="V121" s="557">
        <f t="shared" si="24"/>
        <v>0</v>
      </c>
      <c r="W121" s="22"/>
      <c r="X121" s="362"/>
      <c r="Y121" s="394" t="s">
        <v>210</v>
      </c>
      <c r="Z121" s="5"/>
      <c r="AA121" s="5"/>
      <c r="AB121" s="392"/>
      <c r="AC121" s="5"/>
      <c r="AD121" s="5"/>
      <c r="AE121" s="363"/>
      <c r="AF121" s="557" t="str">
        <f t="shared" si="60"/>
        <v/>
      </c>
      <c r="AG121" s="557" t="str">
        <f t="shared" si="61"/>
        <v/>
      </c>
      <c r="AH121" s="590"/>
      <c r="AI121" s="411"/>
      <c r="AJ121" s="411"/>
      <c r="AK121" s="107" t="s">
        <v>211</v>
      </c>
      <c r="AL121" s="387">
        <f t="shared" si="13"/>
        <v>0</v>
      </c>
      <c r="AM121" s="387">
        <f t="shared" si="14"/>
        <v>0</v>
      </c>
    </row>
    <row r="122" spans="1:39" s="391" customFormat="1" ht="59" hidden="1" customHeight="1" outlineLevel="3">
      <c r="A122" s="722"/>
      <c r="B122" s="733"/>
      <c r="C122" s="736"/>
      <c r="D122" s="786"/>
      <c r="E122" s="762" t="s">
        <v>126</v>
      </c>
      <c r="F122" s="763"/>
      <c r="G122" s="539"/>
      <c r="H122" s="365" t="str">
        <f t="shared" si="58"/>
        <v/>
      </c>
      <c r="I122" s="539"/>
      <c r="J122" s="539"/>
      <c r="K122" s="557" t="str">
        <f t="shared" si="59"/>
        <v/>
      </c>
      <c r="L122" s="589"/>
      <c r="M122" s="544" t="b">
        <v>0</v>
      </c>
      <c r="N122" s="401" t="b">
        <v>0</v>
      </c>
      <c r="O122" s="5"/>
      <c r="P122" s="363"/>
      <c r="Q122" s="557"/>
      <c r="R122" s="5"/>
      <c r="S122" s="5"/>
      <c r="T122" s="5"/>
      <c r="U122" s="5"/>
      <c r="V122" s="557">
        <f t="shared" si="24"/>
        <v>0</v>
      </c>
      <c r="W122" s="22"/>
      <c r="X122" s="362"/>
      <c r="Y122" s="394" t="s">
        <v>210</v>
      </c>
      <c r="Z122" s="5"/>
      <c r="AA122" s="5"/>
      <c r="AB122" s="392"/>
      <c r="AC122" s="5"/>
      <c r="AD122" s="5"/>
      <c r="AE122" s="363"/>
      <c r="AF122" s="557" t="str">
        <f t="shared" si="60"/>
        <v/>
      </c>
      <c r="AG122" s="557" t="str">
        <f t="shared" si="61"/>
        <v/>
      </c>
      <c r="AH122" s="590"/>
      <c r="AI122" s="411"/>
      <c r="AJ122" s="411"/>
      <c r="AK122" s="107" t="s">
        <v>211</v>
      </c>
      <c r="AL122" s="387">
        <f t="shared" si="13"/>
        <v>0</v>
      </c>
      <c r="AM122" s="387">
        <f t="shared" si="14"/>
        <v>0</v>
      </c>
    </row>
    <row r="123" spans="1:39" s="391" customFormat="1" ht="39" hidden="1" customHeight="1" outlineLevel="2" collapsed="1">
      <c r="A123" s="721" t="s">
        <v>127</v>
      </c>
      <c r="B123" s="732" t="s">
        <v>128</v>
      </c>
      <c r="C123" s="805" t="s">
        <v>129</v>
      </c>
      <c r="D123" s="806"/>
      <c r="E123" s="806"/>
      <c r="F123" s="807"/>
      <c r="G123" s="5"/>
      <c r="H123" s="365" t="str">
        <f t="shared" si="58"/>
        <v/>
      </c>
      <c r="I123" s="5"/>
      <c r="J123" s="5"/>
      <c r="K123" s="557" t="str">
        <f t="shared" si="59"/>
        <v/>
      </c>
      <c r="L123" s="589"/>
      <c r="M123" s="544" t="b">
        <v>0</v>
      </c>
      <c r="N123" s="389"/>
      <c r="O123" s="5"/>
      <c r="P123" s="363"/>
      <c r="Q123" s="5"/>
      <c r="R123" s="5"/>
      <c r="S123" s="5"/>
      <c r="T123" s="5"/>
      <c r="U123" s="5"/>
      <c r="V123" s="557">
        <f t="shared" si="24"/>
        <v>0</v>
      </c>
      <c r="W123" s="22"/>
      <c r="X123" s="362"/>
      <c r="Y123" s="364"/>
      <c r="Z123" s="557"/>
      <c r="AA123" s="557"/>
      <c r="AB123" s="390"/>
      <c r="AC123" s="557"/>
      <c r="AD123" s="557"/>
      <c r="AE123" s="363"/>
      <c r="AF123" s="557" t="str">
        <f t="shared" si="60"/>
        <v/>
      </c>
      <c r="AG123" s="557" t="str">
        <f t="shared" si="61"/>
        <v/>
      </c>
      <c r="AH123" s="590"/>
      <c r="AI123" s="411"/>
      <c r="AJ123" s="411"/>
      <c r="AK123" s="107" t="s">
        <v>213</v>
      </c>
      <c r="AL123" s="387">
        <f t="shared" si="13"/>
        <v>0</v>
      </c>
      <c r="AM123" s="387">
        <f t="shared" si="14"/>
        <v>0</v>
      </c>
    </row>
    <row r="124" spans="1:39" s="391" customFormat="1" ht="59" hidden="1" customHeight="1" outlineLevel="3">
      <c r="A124" s="722"/>
      <c r="B124" s="733"/>
      <c r="C124" s="778" t="s">
        <v>122</v>
      </c>
      <c r="D124" s="779"/>
      <c r="E124" s="750" t="s">
        <v>131</v>
      </c>
      <c r="F124" s="751"/>
      <c r="G124" s="5"/>
      <c r="H124" s="365" t="str">
        <f t="shared" si="58"/>
        <v/>
      </c>
      <c r="I124" s="5"/>
      <c r="J124" s="5"/>
      <c r="K124" s="557" t="str">
        <f t="shared" si="59"/>
        <v/>
      </c>
      <c r="L124" s="589"/>
      <c r="M124" s="544" t="b">
        <v>0</v>
      </c>
      <c r="N124" s="389"/>
      <c r="O124" s="5"/>
      <c r="P124" s="363"/>
      <c r="Q124" s="5"/>
      <c r="R124" s="5"/>
      <c r="S124" s="5"/>
      <c r="T124" s="5"/>
      <c r="U124" s="5"/>
      <c r="V124" s="557">
        <f t="shared" si="24"/>
        <v>0</v>
      </c>
      <c r="W124" s="22"/>
      <c r="X124" s="362"/>
      <c r="Y124" s="364"/>
      <c r="Z124" s="557"/>
      <c r="AA124" s="557"/>
      <c r="AB124" s="390"/>
      <c r="AC124" s="557"/>
      <c r="AD124" s="557"/>
      <c r="AE124" s="363"/>
      <c r="AF124" s="557" t="str">
        <f t="shared" si="60"/>
        <v/>
      </c>
      <c r="AG124" s="557" t="str">
        <f t="shared" si="61"/>
        <v/>
      </c>
      <c r="AH124" s="590"/>
      <c r="AI124" s="411"/>
      <c r="AJ124" s="411"/>
      <c r="AK124" s="107" t="s">
        <v>213</v>
      </c>
      <c r="AL124" s="387">
        <f t="shared" si="13"/>
        <v>0</v>
      </c>
      <c r="AM124" s="387">
        <f t="shared" si="14"/>
        <v>0</v>
      </c>
    </row>
    <row r="125" spans="1:39" s="391" customFormat="1" ht="57" hidden="1" customHeight="1" outlineLevel="3">
      <c r="A125" s="723"/>
      <c r="B125" s="733"/>
      <c r="C125" s="780"/>
      <c r="D125" s="781"/>
      <c r="E125" s="750" t="s">
        <v>132</v>
      </c>
      <c r="F125" s="751"/>
      <c r="G125" s="5"/>
      <c r="H125" s="365" t="str">
        <f t="shared" si="58"/>
        <v/>
      </c>
      <c r="I125" s="5"/>
      <c r="J125" s="5"/>
      <c r="K125" s="557" t="str">
        <f t="shared" si="59"/>
        <v/>
      </c>
      <c r="L125" s="589"/>
      <c r="M125" s="544" t="b">
        <v>0</v>
      </c>
      <c r="N125" s="389"/>
      <c r="O125" s="5"/>
      <c r="P125" s="363"/>
      <c r="Q125" s="5"/>
      <c r="R125" s="5"/>
      <c r="S125" s="5"/>
      <c r="T125" s="5"/>
      <c r="U125" s="5"/>
      <c r="V125" s="557">
        <f t="shared" si="24"/>
        <v>0</v>
      </c>
      <c r="W125" s="22"/>
      <c r="X125" s="362"/>
      <c r="Y125" s="364"/>
      <c r="Z125" s="557"/>
      <c r="AA125" s="557"/>
      <c r="AB125" s="390"/>
      <c r="AC125" s="557"/>
      <c r="AD125" s="557"/>
      <c r="AE125" s="363"/>
      <c r="AF125" s="557" t="str">
        <f t="shared" si="60"/>
        <v/>
      </c>
      <c r="AG125" s="557" t="str">
        <f t="shared" si="61"/>
        <v/>
      </c>
      <c r="AH125" s="590"/>
      <c r="AI125" s="411"/>
      <c r="AJ125" s="411"/>
      <c r="AK125" s="107" t="s">
        <v>213</v>
      </c>
      <c r="AL125" s="387">
        <f t="shared" si="13"/>
        <v>0</v>
      </c>
      <c r="AM125" s="387">
        <f t="shared" si="14"/>
        <v>0</v>
      </c>
    </row>
    <row r="126" spans="1:39" s="391" customFormat="1" ht="39" hidden="1" customHeight="1" outlineLevel="2" collapsed="1">
      <c r="A126" s="721" t="s">
        <v>133</v>
      </c>
      <c r="B126" s="732" t="s">
        <v>134</v>
      </c>
      <c r="C126" s="724" t="s">
        <v>135</v>
      </c>
      <c r="D126" s="725"/>
      <c r="E126" s="725"/>
      <c r="F126" s="726"/>
      <c r="G126" s="5"/>
      <c r="H126" s="365" t="str">
        <f>IF(G126="","",G126/$G$161)</f>
        <v/>
      </c>
      <c r="I126" s="5"/>
      <c r="J126" s="5"/>
      <c r="K126" s="557" t="str">
        <f t="shared" si="59"/>
        <v/>
      </c>
      <c r="L126" s="589"/>
      <c r="M126" s="544" t="b">
        <v>0</v>
      </c>
      <c r="N126" s="389"/>
      <c r="O126" s="5"/>
      <c r="P126" s="363"/>
      <c r="Q126" s="5"/>
      <c r="R126" s="5"/>
      <c r="S126" s="5"/>
      <c r="T126" s="5"/>
      <c r="U126" s="5"/>
      <c r="V126" s="557">
        <f t="shared" si="24"/>
        <v>0</v>
      </c>
      <c r="W126" s="22"/>
      <c r="X126" s="362"/>
      <c r="Y126" s="364"/>
      <c r="Z126" s="557"/>
      <c r="AA126" s="557"/>
      <c r="AB126" s="390"/>
      <c r="AC126" s="557"/>
      <c r="AD126" s="557"/>
      <c r="AE126" s="363"/>
      <c r="AF126" s="557" t="str">
        <f t="shared" si="60"/>
        <v/>
      </c>
      <c r="AG126" s="557" t="str">
        <f t="shared" si="61"/>
        <v/>
      </c>
      <c r="AH126" s="590"/>
      <c r="AI126" s="411"/>
      <c r="AJ126" s="411"/>
      <c r="AK126" s="107" t="s">
        <v>214</v>
      </c>
      <c r="AL126" s="387">
        <f t="shared" si="13"/>
        <v>0</v>
      </c>
      <c r="AM126" s="387">
        <f t="shared" si="14"/>
        <v>0</v>
      </c>
    </row>
    <row r="127" spans="1:39" s="391" customFormat="1" ht="57" hidden="1" customHeight="1" outlineLevel="3">
      <c r="A127" s="722"/>
      <c r="B127" s="733"/>
      <c r="C127" s="772" t="s">
        <v>122</v>
      </c>
      <c r="D127" s="773"/>
      <c r="E127" s="764" t="s">
        <v>137</v>
      </c>
      <c r="F127" s="765"/>
      <c r="G127" s="5"/>
      <c r="H127" s="365" t="str">
        <f>IF(G127="","",G127/$G$161)</f>
        <v/>
      </c>
      <c r="I127" s="5"/>
      <c r="J127" s="5"/>
      <c r="K127" s="557" t="str">
        <f t="shared" si="59"/>
        <v/>
      </c>
      <c r="L127" s="589"/>
      <c r="M127" s="544" t="b">
        <v>0</v>
      </c>
      <c r="N127" s="389"/>
      <c r="O127" s="5"/>
      <c r="P127" s="363"/>
      <c r="Q127" s="5"/>
      <c r="R127" s="5"/>
      <c r="S127" s="5"/>
      <c r="T127" s="5"/>
      <c r="U127" s="5"/>
      <c r="V127" s="557">
        <f t="shared" si="24"/>
        <v>0</v>
      </c>
      <c r="W127" s="22"/>
      <c r="X127" s="362"/>
      <c r="Y127" s="364"/>
      <c r="Z127" s="557"/>
      <c r="AA127" s="557"/>
      <c r="AB127" s="390"/>
      <c r="AC127" s="557"/>
      <c r="AD127" s="557"/>
      <c r="AE127" s="363"/>
      <c r="AF127" s="557" t="str">
        <f t="shared" si="60"/>
        <v/>
      </c>
      <c r="AG127" s="557" t="str">
        <f t="shared" si="61"/>
        <v/>
      </c>
      <c r="AH127" s="590"/>
      <c r="AI127" s="411"/>
      <c r="AJ127" s="411"/>
      <c r="AK127" s="107" t="s">
        <v>214</v>
      </c>
      <c r="AL127" s="387">
        <f t="shared" si="13"/>
        <v>0</v>
      </c>
      <c r="AM127" s="387">
        <f t="shared" si="14"/>
        <v>0</v>
      </c>
    </row>
    <row r="128" spans="1:39" s="391" customFormat="1" ht="39" hidden="1" customHeight="1" outlineLevel="3">
      <c r="A128" s="722"/>
      <c r="B128" s="733"/>
      <c r="C128" s="774"/>
      <c r="D128" s="775"/>
      <c r="E128" s="762" t="s">
        <v>138</v>
      </c>
      <c r="F128" s="763"/>
      <c r="G128" s="5"/>
      <c r="H128" s="365" t="str">
        <f t="shared" si="58"/>
        <v/>
      </c>
      <c r="I128" s="5"/>
      <c r="J128" s="5"/>
      <c r="K128" s="557" t="str">
        <f t="shared" si="59"/>
        <v/>
      </c>
      <c r="L128" s="589"/>
      <c r="M128" s="544" t="b">
        <v>0</v>
      </c>
      <c r="N128" s="389"/>
      <c r="O128" s="5"/>
      <c r="P128" s="363"/>
      <c r="Q128" s="5"/>
      <c r="R128" s="5"/>
      <c r="S128" s="5"/>
      <c r="T128" s="5"/>
      <c r="U128" s="5"/>
      <c r="V128" s="557">
        <f t="shared" si="24"/>
        <v>0</v>
      </c>
      <c r="W128" s="22"/>
      <c r="X128" s="362"/>
      <c r="Y128" s="364"/>
      <c r="Z128" s="557"/>
      <c r="AA128" s="557"/>
      <c r="AB128" s="390"/>
      <c r="AC128" s="557"/>
      <c r="AD128" s="557"/>
      <c r="AE128" s="363"/>
      <c r="AF128" s="557" t="str">
        <f t="shared" si="60"/>
        <v/>
      </c>
      <c r="AG128" s="557" t="str">
        <f t="shared" si="61"/>
        <v/>
      </c>
      <c r="AH128" s="590"/>
      <c r="AI128" s="411"/>
      <c r="AJ128" s="411"/>
      <c r="AK128" s="107" t="s">
        <v>214</v>
      </c>
      <c r="AL128" s="387">
        <f t="shared" si="13"/>
        <v>0</v>
      </c>
      <c r="AM128" s="387">
        <f t="shared" si="14"/>
        <v>0</v>
      </c>
    </row>
    <row r="129" spans="1:39" s="391" customFormat="1" ht="52.25" hidden="1" customHeight="1" outlineLevel="3">
      <c r="A129" s="722"/>
      <c r="B129" s="733"/>
      <c r="C129" s="774"/>
      <c r="D129" s="775"/>
      <c r="E129" s="762" t="s">
        <v>139</v>
      </c>
      <c r="F129" s="763"/>
      <c r="G129" s="5"/>
      <c r="H129" s="365" t="str">
        <f t="shared" si="58"/>
        <v/>
      </c>
      <c r="I129" s="5"/>
      <c r="J129" s="5"/>
      <c r="K129" s="557" t="str">
        <f t="shared" si="59"/>
        <v/>
      </c>
      <c r="L129" s="589"/>
      <c r="M129" s="544" t="b">
        <v>0</v>
      </c>
      <c r="N129" s="389"/>
      <c r="O129" s="5"/>
      <c r="P129" s="363"/>
      <c r="Q129" s="5"/>
      <c r="R129" s="5"/>
      <c r="S129" s="5"/>
      <c r="T129" s="5"/>
      <c r="U129" s="5"/>
      <c r="V129" s="557">
        <f t="shared" si="24"/>
        <v>0</v>
      </c>
      <c r="W129" s="22"/>
      <c r="X129" s="362"/>
      <c r="Y129" s="364"/>
      <c r="Z129" s="557"/>
      <c r="AA129" s="557"/>
      <c r="AB129" s="390"/>
      <c r="AC129" s="557"/>
      <c r="AD129" s="557"/>
      <c r="AE129" s="363"/>
      <c r="AF129" s="557" t="str">
        <f t="shared" si="60"/>
        <v/>
      </c>
      <c r="AG129" s="557" t="str">
        <f t="shared" si="61"/>
        <v/>
      </c>
      <c r="AH129" s="590"/>
      <c r="AI129" s="411"/>
      <c r="AJ129" s="411"/>
      <c r="AK129" s="107" t="s">
        <v>214</v>
      </c>
      <c r="AL129" s="387">
        <f t="shared" si="13"/>
        <v>0</v>
      </c>
      <c r="AM129" s="387">
        <f t="shared" si="14"/>
        <v>0</v>
      </c>
    </row>
    <row r="130" spans="1:39" s="391" customFormat="1" ht="39" hidden="1" customHeight="1" outlineLevel="3">
      <c r="A130" s="722"/>
      <c r="B130" s="733"/>
      <c r="C130" s="774"/>
      <c r="D130" s="775"/>
      <c r="E130" s="762" t="s">
        <v>140</v>
      </c>
      <c r="F130" s="763"/>
      <c r="G130" s="5"/>
      <c r="H130" s="365" t="str">
        <f t="shared" si="58"/>
        <v/>
      </c>
      <c r="I130" s="5"/>
      <c r="J130" s="5"/>
      <c r="K130" s="557" t="str">
        <f t="shared" si="59"/>
        <v/>
      </c>
      <c r="L130" s="589"/>
      <c r="M130" s="544" t="b">
        <v>0</v>
      </c>
      <c r="N130" s="389"/>
      <c r="O130" s="5"/>
      <c r="P130" s="363"/>
      <c r="Q130" s="5"/>
      <c r="R130" s="5"/>
      <c r="S130" s="5"/>
      <c r="T130" s="5"/>
      <c r="U130" s="5"/>
      <c r="V130" s="557">
        <f t="shared" si="24"/>
        <v>0</v>
      </c>
      <c r="W130" s="22"/>
      <c r="X130" s="362"/>
      <c r="Y130" s="364"/>
      <c r="Z130" s="557"/>
      <c r="AA130" s="557"/>
      <c r="AB130" s="390"/>
      <c r="AC130" s="557"/>
      <c r="AD130" s="557"/>
      <c r="AE130" s="363"/>
      <c r="AF130" s="557" t="str">
        <f t="shared" si="60"/>
        <v/>
      </c>
      <c r="AG130" s="557" t="str">
        <f t="shared" si="61"/>
        <v/>
      </c>
      <c r="AH130" s="590"/>
      <c r="AI130" s="411"/>
      <c r="AJ130" s="411"/>
      <c r="AK130" s="107" t="s">
        <v>214</v>
      </c>
      <c r="AL130" s="387">
        <f t="shared" si="13"/>
        <v>0</v>
      </c>
      <c r="AM130" s="387">
        <f t="shared" si="14"/>
        <v>0</v>
      </c>
    </row>
    <row r="131" spans="1:39" s="391" customFormat="1" ht="56" hidden="1" customHeight="1" outlineLevel="3">
      <c r="A131" s="723"/>
      <c r="B131" s="733"/>
      <c r="C131" s="776"/>
      <c r="D131" s="777"/>
      <c r="E131" s="762" t="s">
        <v>141</v>
      </c>
      <c r="F131" s="763"/>
      <c r="G131" s="5"/>
      <c r="H131" s="365" t="str">
        <f t="shared" si="58"/>
        <v/>
      </c>
      <c r="I131" s="5"/>
      <c r="J131" s="5"/>
      <c r="K131" s="557" t="str">
        <f t="shared" si="59"/>
        <v/>
      </c>
      <c r="L131" s="589"/>
      <c r="M131" s="544" t="b">
        <v>0</v>
      </c>
      <c r="N131" s="389"/>
      <c r="O131" s="5"/>
      <c r="P131" s="363"/>
      <c r="Q131" s="5"/>
      <c r="R131" s="5"/>
      <c r="S131" s="5"/>
      <c r="T131" s="5"/>
      <c r="U131" s="5"/>
      <c r="V131" s="557">
        <f t="shared" si="24"/>
        <v>0</v>
      </c>
      <c r="W131" s="22"/>
      <c r="X131" s="362"/>
      <c r="Y131" s="364"/>
      <c r="Z131" s="557"/>
      <c r="AA131" s="557"/>
      <c r="AB131" s="390"/>
      <c r="AC131" s="557"/>
      <c r="AD131" s="557"/>
      <c r="AE131" s="363"/>
      <c r="AF131" s="557" t="str">
        <f t="shared" si="60"/>
        <v/>
      </c>
      <c r="AG131" s="557" t="str">
        <f t="shared" si="61"/>
        <v/>
      </c>
      <c r="AH131" s="590"/>
      <c r="AI131" s="411"/>
      <c r="AJ131" s="411"/>
      <c r="AK131" s="107" t="s">
        <v>214</v>
      </c>
      <c r="AL131" s="387">
        <f t="shared" si="13"/>
        <v>0</v>
      </c>
      <c r="AM131" s="387">
        <f t="shared" si="14"/>
        <v>0</v>
      </c>
    </row>
    <row r="132" spans="1:39" s="391" customFormat="1" ht="59" hidden="1" customHeight="1" outlineLevel="3">
      <c r="A132" s="721" t="s">
        <v>215</v>
      </c>
      <c r="B132" s="733"/>
      <c r="C132" s="764" t="s">
        <v>175</v>
      </c>
      <c r="D132" s="545" t="s">
        <v>179</v>
      </c>
      <c r="E132" s="762" t="s">
        <v>139</v>
      </c>
      <c r="F132" s="763"/>
      <c r="G132" s="539"/>
      <c r="H132" s="365" t="str">
        <f t="shared" si="58"/>
        <v/>
      </c>
      <c r="I132" s="539"/>
      <c r="J132" s="539"/>
      <c r="K132" s="557" t="str">
        <f t="shared" si="59"/>
        <v/>
      </c>
      <c r="L132" s="589"/>
      <c r="M132" s="544" t="b">
        <v>0</v>
      </c>
      <c r="N132" s="544" t="b">
        <v>0</v>
      </c>
      <c r="O132" s="5"/>
      <c r="P132" s="363"/>
      <c r="Q132" s="5"/>
      <c r="R132" s="5"/>
      <c r="S132" s="5"/>
      <c r="T132" s="5"/>
      <c r="U132" s="5"/>
      <c r="V132" s="557">
        <f t="shared" si="24"/>
        <v>0</v>
      </c>
      <c r="W132" s="22"/>
      <c r="X132" s="362"/>
      <c r="Y132" s="364" t="s">
        <v>177</v>
      </c>
      <c r="Z132" s="5"/>
      <c r="AA132" s="5"/>
      <c r="AB132" s="392"/>
      <c r="AC132" s="5"/>
      <c r="AD132" s="5"/>
      <c r="AE132" s="363"/>
      <c r="AF132" s="557" t="str">
        <f t="shared" si="60"/>
        <v/>
      </c>
      <c r="AG132" s="557" t="str">
        <f t="shared" si="61"/>
        <v/>
      </c>
      <c r="AH132" s="590"/>
      <c r="AI132" s="411"/>
      <c r="AJ132" s="411"/>
      <c r="AK132" s="107" t="s">
        <v>216</v>
      </c>
      <c r="AL132" s="387">
        <f t="shared" si="13"/>
        <v>0</v>
      </c>
      <c r="AM132" s="387">
        <f t="shared" si="14"/>
        <v>0</v>
      </c>
    </row>
    <row r="133" spans="1:39" s="391" customFormat="1" ht="54" hidden="1" customHeight="1" outlineLevel="3">
      <c r="A133" s="722"/>
      <c r="B133" s="733"/>
      <c r="C133" s="787"/>
      <c r="D133" s="784" t="s">
        <v>184</v>
      </c>
      <c r="E133" s="764" t="s">
        <v>217</v>
      </c>
      <c r="F133" s="765"/>
      <c r="G133" s="710"/>
      <c r="H133" s="799" t="str">
        <f t="shared" si="58"/>
        <v/>
      </c>
      <c r="I133" s="710"/>
      <c r="J133" s="710"/>
      <c r="K133" s="712" t="str">
        <f t="shared" ref="K133:K139" si="62">IF(SUM(I133:J134)=0,"",SUM(I133:J134))</f>
        <v/>
      </c>
      <c r="L133" s="589"/>
      <c r="M133" s="808" t="b">
        <v>0</v>
      </c>
      <c r="N133" s="544" t="b">
        <v>0</v>
      </c>
      <c r="O133" s="5"/>
      <c r="P133" s="363"/>
      <c r="Q133" s="710"/>
      <c r="R133" s="710"/>
      <c r="S133" s="710"/>
      <c r="T133" s="710"/>
      <c r="U133" s="710"/>
      <c r="V133" s="712">
        <f t="shared" si="24"/>
        <v>0</v>
      </c>
      <c r="W133" s="707"/>
      <c r="X133" s="362"/>
      <c r="Y133" s="364" t="s">
        <v>181</v>
      </c>
      <c r="Z133" s="5"/>
      <c r="AA133" s="5"/>
      <c r="AB133" s="392"/>
      <c r="AC133" s="710"/>
      <c r="AD133" s="710"/>
      <c r="AE133" s="363"/>
      <c r="AF133" s="712" t="str">
        <f t="shared" ref="AF133" si="63">IF(G133="","",IF(AND(V133="",Z133="",Z134="",AC133=""),"Missing Info",IF(G133-V133-Z133-Z134+AC133=0,"OK","Review financial exposure")))</f>
        <v/>
      </c>
      <c r="AG133" s="712" t="str">
        <f t="shared" ref="AG133" si="64">IF(K133="","",IF(AND(W133="",AA133="",AA134="",AD133=""),"Missing Info",IF(K133-W133-AA133-AA134+AD133=0,"OK","Review emissions")))</f>
        <v/>
      </c>
      <c r="AH133" s="590"/>
      <c r="AI133" s="411"/>
      <c r="AJ133" s="411"/>
      <c r="AK133" s="107" t="s">
        <v>218</v>
      </c>
      <c r="AL133" s="387">
        <f t="shared" si="13"/>
        <v>0</v>
      </c>
      <c r="AM133" s="387">
        <f t="shared" si="14"/>
        <v>0</v>
      </c>
    </row>
    <row r="134" spans="1:39" s="391" customFormat="1" ht="39" hidden="1" customHeight="1" outlineLevel="3">
      <c r="A134" s="722"/>
      <c r="B134" s="733"/>
      <c r="C134" s="787"/>
      <c r="D134" s="785"/>
      <c r="E134" s="766"/>
      <c r="F134" s="767"/>
      <c r="G134" s="711"/>
      <c r="H134" s="800"/>
      <c r="I134" s="711"/>
      <c r="J134" s="711"/>
      <c r="K134" s="713"/>
      <c r="L134" s="589"/>
      <c r="M134" s="809"/>
      <c r="N134" s="544" t="b">
        <v>0</v>
      </c>
      <c r="O134" s="5"/>
      <c r="P134" s="363"/>
      <c r="Q134" s="711"/>
      <c r="R134" s="711"/>
      <c r="S134" s="711"/>
      <c r="T134" s="711"/>
      <c r="U134" s="711"/>
      <c r="V134" s="713">
        <f t="shared" si="24"/>
        <v>0</v>
      </c>
      <c r="W134" s="708"/>
      <c r="X134" s="362"/>
      <c r="Y134" s="364" t="s">
        <v>183</v>
      </c>
      <c r="Z134" s="5"/>
      <c r="AA134" s="5"/>
      <c r="AB134" s="392"/>
      <c r="AC134" s="711"/>
      <c r="AD134" s="711"/>
      <c r="AE134" s="363"/>
      <c r="AF134" s="713"/>
      <c r="AG134" s="713"/>
      <c r="AH134" s="590"/>
      <c r="AI134" s="411"/>
      <c r="AJ134" s="411"/>
      <c r="AK134" s="107" t="s">
        <v>218</v>
      </c>
      <c r="AL134" s="387">
        <f t="shared" si="13"/>
        <v>0</v>
      </c>
      <c r="AM134" s="387">
        <f t="shared" si="14"/>
        <v>0</v>
      </c>
    </row>
    <row r="135" spans="1:39" s="391" customFormat="1" ht="39" hidden="1" customHeight="1" outlineLevel="3">
      <c r="A135" s="722"/>
      <c r="B135" s="733"/>
      <c r="C135" s="787"/>
      <c r="D135" s="740" t="s">
        <v>219</v>
      </c>
      <c r="E135" s="741"/>
      <c r="F135" s="742"/>
      <c r="G135" s="710"/>
      <c r="H135" s="799" t="str">
        <f>IF(G135="","",G135/$G$161)</f>
        <v/>
      </c>
      <c r="I135" s="710"/>
      <c r="J135" s="710"/>
      <c r="K135" s="712" t="str">
        <f t="shared" si="62"/>
        <v/>
      </c>
      <c r="L135" s="589"/>
      <c r="M135" s="808" t="b">
        <v>0</v>
      </c>
      <c r="N135" s="544" t="b">
        <v>0</v>
      </c>
      <c r="O135" s="5"/>
      <c r="P135" s="363"/>
      <c r="Q135" s="710"/>
      <c r="R135" s="710"/>
      <c r="S135" s="710"/>
      <c r="T135" s="710"/>
      <c r="U135" s="710"/>
      <c r="V135" s="712">
        <f t="shared" si="24"/>
        <v>0</v>
      </c>
      <c r="W135" s="707"/>
      <c r="X135" s="362"/>
      <c r="Y135" s="364" t="s">
        <v>186</v>
      </c>
      <c r="Z135" s="5"/>
      <c r="AA135" s="5"/>
      <c r="AB135" s="392"/>
      <c r="AC135" s="710"/>
      <c r="AD135" s="710"/>
      <c r="AE135" s="363"/>
      <c r="AF135" s="712" t="str">
        <f t="shared" ref="AF135" si="65">IF(G135="","",IF(AND(V135="",Z135="",Z136="",AC135=""),"Missing Info",IF(G135-V135-Z135-Z136+AC135=0,"OK","Review financial exposure")))</f>
        <v/>
      </c>
      <c r="AG135" s="712" t="str">
        <f t="shared" ref="AG135" si="66">IF(K135="","",IF(AND(W135="",AA135="",AA136="",AD135=""),"Missing Info",IF(K135-W135-AA135-AA136+AD135=0,"OK","Review emissions")))</f>
        <v/>
      </c>
      <c r="AH135" s="590"/>
      <c r="AI135" s="411"/>
      <c r="AJ135" s="411"/>
      <c r="AK135" s="107" t="s">
        <v>220</v>
      </c>
      <c r="AL135" s="387">
        <f t="shared" si="13"/>
        <v>0</v>
      </c>
      <c r="AM135" s="387">
        <f t="shared" si="14"/>
        <v>0</v>
      </c>
    </row>
    <row r="136" spans="1:39" s="391" customFormat="1" ht="39" hidden="1" customHeight="1" outlineLevel="3">
      <c r="A136" s="722"/>
      <c r="B136" s="733"/>
      <c r="C136" s="787"/>
      <c r="D136" s="743"/>
      <c r="E136" s="744"/>
      <c r="F136" s="745"/>
      <c r="G136" s="711"/>
      <c r="H136" s="800"/>
      <c r="I136" s="711"/>
      <c r="J136" s="711"/>
      <c r="K136" s="713"/>
      <c r="L136" s="589"/>
      <c r="M136" s="809"/>
      <c r="N136" s="544" t="b">
        <v>0</v>
      </c>
      <c r="O136" s="5"/>
      <c r="P136" s="363"/>
      <c r="Q136" s="711"/>
      <c r="R136" s="711"/>
      <c r="S136" s="711"/>
      <c r="T136" s="711"/>
      <c r="U136" s="711"/>
      <c r="V136" s="713">
        <f t="shared" si="24"/>
        <v>0</v>
      </c>
      <c r="W136" s="708"/>
      <c r="X136" s="362"/>
      <c r="Y136" s="364" t="s">
        <v>188</v>
      </c>
      <c r="Z136" s="5"/>
      <c r="AA136" s="5"/>
      <c r="AB136" s="392"/>
      <c r="AC136" s="711"/>
      <c r="AD136" s="711"/>
      <c r="AE136" s="363"/>
      <c r="AF136" s="713"/>
      <c r="AG136" s="713"/>
      <c r="AH136" s="590"/>
      <c r="AI136" s="411"/>
      <c r="AJ136" s="411"/>
      <c r="AK136" s="107" t="s">
        <v>220</v>
      </c>
      <c r="AL136" s="387">
        <f t="shared" si="13"/>
        <v>0</v>
      </c>
      <c r="AM136" s="387">
        <f t="shared" si="14"/>
        <v>0</v>
      </c>
    </row>
    <row r="137" spans="1:39" s="391" customFormat="1" ht="39" hidden="1" customHeight="1" outlineLevel="3">
      <c r="A137" s="722"/>
      <c r="B137" s="733"/>
      <c r="C137" s="787"/>
      <c r="D137" s="784" t="s">
        <v>189</v>
      </c>
      <c r="E137" s="764" t="s">
        <v>217</v>
      </c>
      <c r="F137" s="765"/>
      <c r="G137" s="710"/>
      <c r="H137" s="799" t="str">
        <f>IF(G137="","",G137/$G$161)</f>
        <v/>
      </c>
      <c r="I137" s="710"/>
      <c r="J137" s="710"/>
      <c r="K137" s="712" t="str">
        <f t="shared" si="62"/>
        <v/>
      </c>
      <c r="L137" s="589"/>
      <c r="M137" s="808" t="b">
        <v>0</v>
      </c>
      <c r="N137" s="544" t="b">
        <v>0</v>
      </c>
      <c r="O137" s="5"/>
      <c r="P137" s="363"/>
      <c r="Q137" s="710"/>
      <c r="R137" s="710"/>
      <c r="S137" s="710"/>
      <c r="T137" s="710"/>
      <c r="U137" s="710"/>
      <c r="V137" s="712">
        <f t="shared" si="24"/>
        <v>0</v>
      </c>
      <c r="W137" s="707"/>
      <c r="X137" s="362"/>
      <c r="Y137" s="364" t="s">
        <v>186</v>
      </c>
      <c r="Z137" s="5"/>
      <c r="AA137" s="5"/>
      <c r="AB137" s="392"/>
      <c r="AC137" s="710"/>
      <c r="AD137" s="710"/>
      <c r="AE137" s="363"/>
      <c r="AF137" s="712" t="str">
        <f t="shared" ref="AF137" si="67">IF(G137="","",IF(AND(V137="",Z137="",Z138="",AC137=""),"Missing Info",IF(G137-V137-Z137-Z138+AC137=0,"OK","Review financial exposure")))</f>
        <v/>
      </c>
      <c r="AG137" s="712" t="str">
        <f t="shared" ref="AG137" si="68">IF(K137="","",IF(AND(W137="",AA137="",AA138="",AD137=""),"Missing Info",IF(K137-W137-AA137-AA138+AD137=0,"OK","Review emissions")))</f>
        <v/>
      </c>
      <c r="AH137" s="590"/>
      <c r="AI137" s="411"/>
      <c r="AJ137" s="411"/>
      <c r="AK137" s="107" t="s">
        <v>220</v>
      </c>
      <c r="AL137" s="387">
        <f t="shared" si="13"/>
        <v>0</v>
      </c>
      <c r="AM137" s="387">
        <f t="shared" si="14"/>
        <v>0</v>
      </c>
    </row>
    <row r="138" spans="1:39" s="391" customFormat="1" ht="39" hidden="1" customHeight="1" outlineLevel="3">
      <c r="A138" s="722"/>
      <c r="B138" s="733"/>
      <c r="C138" s="787"/>
      <c r="D138" s="785"/>
      <c r="E138" s="766"/>
      <c r="F138" s="767"/>
      <c r="G138" s="711"/>
      <c r="H138" s="800"/>
      <c r="I138" s="711"/>
      <c r="J138" s="711"/>
      <c r="K138" s="713"/>
      <c r="L138" s="589"/>
      <c r="M138" s="809"/>
      <c r="N138" s="544" t="b">
        <v>0</v>
      </c>
      <c r="O138" s="5"/>
      <c r="P138" s="363"/>
      <c r="Q138" s="711"/>
      <c r="R138" s="711"/>
      <c r="S138" s="711"/>
      <c r="T138" s="711"/>
      <c r="U138" s="711"/>
      <c r="V138" s="713">
        <f t="shared" si="24"/>
        <v>0</v>
      </c>
      <c r="W138" s="708"/>
      <c r="X138" s="362"/>
      <c r="Y138" s="364" t="s">
        <v>188</v>
      </c>
      <c r="Z138" s="5"/>
      <c r="AA138" s="5"/>
      <c r="AB138" s="392"/>
      <c r="AC138" s="711"/>
      <c r="AD138" s="711"/>
      <c r="AE138" s="363"/>
      <c r="AF138" s="713"/>
      <c r="AG138" s="713"/>
      <c r="AH138" s="590"/>
      <c r="AI138" s="411"/>
      <c r="AJ138" s="411"/>
      <c r="AK138" s="107" t="s">
        <v>220</v>
      </c>
      <c r="AL138" s="387">
        <f t="shared" si="13"/>
        <v>0</v>
      </c>
      <c r="AM138" s="387">
        <f t="shared" si="14"/>
        <v>0</v>
      </c>
    </row>
    <row r="139" spans="1:39" s="391" customFormat="1" ht="39" hidden="1" customHeight="1" outlineLevel="3">
      <c r="A139" s="722"/>
      <c r="B139" s="733"/>
      <c r="C139" s="787"/>
      <c r="D139" s="785"/>
      <c r="E139" s="782" t="s">
        <v>138</v>
      </c>
      <c r="F139" s="765"/>
      <c r="G139" s="710"/>
      <c r="H139" s="799" t="str">
        <f>IF(G139="","",G139/$G$161)</f>
        <v/>
      </c>
      <c r="I139" s="710"/>
      <c r="J139" s="710"/>
      <c r="K139" s="712" t="str">
        <f t="shared" si="62"/>
        <v/>
      </c>
      <c r="L139" s="589"/>
      <c r="M139" s="808" t="b">
        <v>0</v>
      </c>
      <c r="N139" s="544" t="b">
        <v>0</v>
      </c>
      <c r="O139" s="5"/>
      <c r="P139" s="363"/>
      <c r="Q139" s="710"/>
      <c r="R139" s="710"/>
      <c r="S139" s="710"/>
      <c r="T139" s="710"/>
      <c r="U139" s="710"/>
      <c r="V139" s="712">
        <f t="shared" si="24"/>
        <v>0</v>
      </c>
      <c r="W139" s="707"/>
      <c r="X139" s="362"/>
      <c r="Y139" s="364" t="s">
        <v>186</v>
      </c>
      <c r="Z139" s="5"/>
      <c r="AA139" s="5"/>
      <c r="AB139" s="392"/>
      <c r="AC139" s="710"/>
      <c r="AD139" s="710"/>
      <c r="AE139" s="363"/>
      <c r="AF139" s="712" t="str">
        <f t="shared" ref="AF139" si="69">IF(G139="","",IF(AND(V139="",Z139="",Z140="",AC139=""),"Missing Info",IF(G139-V139-Z139-Z140+AC139=0,"OK","Review financial exposure")))</f>
        <v/>
      </c>
      <c r="AG139" s="712" t="str">
        <f t="shared" ref="AG139" si="70">IF(K139="","",IF(AND(W139="",AA139="",AA140="",AD139=""),"Missing Info",IF(K139-W139-AA139-AA140+AD139=0,"OK","Review emissions")))</f>
        <v/>
      </c>
      <c r="AH139" s="590"/>
      <c r="AI139" s="411"/>
      <c r="AJ139" s="411"/>
      <c r="AK139" s="107" t="s">
        <v>220</v>
      </c>
      <c r="AL139" s="387">
        <f t="shared" si="13"/>
        <v>0</v>
      </c>
      <c r="AM139" s="387">
        <f t="shared" si="14"/>
        <v>0</v>
      </c>
    </row>
    <row r="140" spans="1:39" s="391" customFormat="1" ht="34" hidden="1" outlineLevel="3">
      <c r="A140" s="722"/>
      <c r="B140" s="733"/>
      <c r="C140" s="787"/>
      <c r="D140" s="786"/>
      <c r="E140" s="783"/>
      <c r="F140" s="767"/>
      <c r="G140" s="711"/>
      <c r="H140" s="800"/>
      <c r="I140" s="711"/>
      <c r="J140" s="711"/>
      <c r="K140" s="713"/>
      <c r="L140" s="589"/>
      <c r="M140" s="809"/>
      <c r="N140" s="544" t="b">
        <v>0</v>
      </c>
      <c r="O140" s="5"/>
      <c r="P140" s="363"/>
      <c r="Q140" s="711"/>
      <c r="R140" s="711"/>
      <c r="S140" s="711"/>
      <c r="T140" s="711"/>
      <c r="U140" s="711"/>
      <c r="V140" s="713">
        <f t="shared" si="24"/>
        <v>0</v>
      </c>
      <c r="W140" s="708"/>
      <c r="X140" s="362"/>
      <c r="Y140" s="364" t="s">
        <v>188</v>
      </c>
      <c r="Z140" s="5"/>
      <c r="AA140" s="5"/>
      <c r="AB140" s="392"/>
      <c r="AC140" s="711"/>
      <c r="AD140" s="711"/>
      <c r="AE140" s="363"/>
      <c r="AF140" s="713"/>
      <c r="AG140" s="713"/>
      <c r="AH140" s="590"/>
      <c r="AI140" s="411"/>
      <c r="AJ140" s="411"/>
      <c r="AK140" s="107" t="s">
        <v>220</v>
      </c>
      <c r="AL140" s="387">
        <f t="shared" ref="AL140:AL151" si="71">COUNTIFS($AK$75:$AK$151,$AK140,M$75:M$151,TRUE)</f>
        <v>0</v>
      </c>
      <c r="AM140" s="387">
        <f t="shared" ref="AM140:AM151" si="72">COUNTIFS($AK$75:$AK$151,$AK140,N$75:N$151,TRUE)</f>
        <v>0</v>
      </c>
    </row>
    <row r="141" spans="1:39" s="391" customFormat="1" ht="48" hidden="1" customHeight="1" outlineLevel="3">
      <c r="A141" s="722"/>
      <c r="B141" s="733"/>
      <c r="C141" s="784" t="s">
        <v>190</v>
      </c>
      <c r="D141" s="545" t="s">
        <v>194</v>
      </c>
      <c r="E141" s="762" t="s">
        <v>217</v>
      </c>
      <c r="F141" s="763"/>
      <c r="G141" s="539"/>
      <c r="H141" s="365" t="str">
        <f>IF(G141="","",G141/$G$161)</f>
        <v/>
      </c>
      <c r="I141" s="539"/>
      <c r="J141" s="539"/>
      <c r="K141" s="557" t="str">
        <f t="shared" ref="K141:K142" si="73">IF(SUM(I141:J141)=0,"",SUM(I141:J141))</f>
        <v/>
      </c>
      <c r="L141" s="589"/>
      <c r="M141" s="544" t="b">
        <v>0</v>
      </c>
      <c r="N141" s="544" t="b">
        <v>0</v>
      </c>
      <c r="O141" s="5"/>
      <c r="P141" s="363"/>
      <c r="Q141" s="5"/>
      <c r="R141" s="5"/>
      <c r="S141" s="5"/>
      <c r="T141" s="5"/>
      <c r="U141" s="5"/>
      <c r="V141" s="557">
        <f t="shared" si="24"/>
        <v>0</v>
      </c>
      <c r="W141" s="22"/>
      <c r="X141" s="362"/>
      <c r="Y141" s="364" t="s">
        <v>192</v>
      </c>
      <c r="Z141" s="5"/>
      <c r="AA141" s="5"/>
      <c r="AB141" s="392"/>
      <c r="AC141" s="5"/>
      <c r="AD141" s="5"/>
      <c r="AE141" s="363"/>
      <c r="AF141" s="557" t="str">
        <f t="shared" ref="AF141:AF151" si="74">IF(G141="","",IF(AND(V141="",Z141="",AC141=""),"Missing Info",IF(G141-V141-Z141+AC141=0,"OK","Review financial exposure")))</f>
        <v/>
      </c>
      <c r="AG141" s="557" t="str">
        <f t="shared" ref="AG141:AG142" si="75">IF(K141="","",IF(AND(W141="",AA141="",AD141=""),"Missing Info",IF(K141-W141-AA141+AD141=0,"OK","Review emissions")))</f>
        <v/>
      </c>
      <c r="AH141" s="590"/>
      <c r="AI141" s="411"/>
      <c r="AJ141" s="411"/>
      <c r="AK141" s="107" t="s">
        <v>221</v>
      </c>
      <c r="AL141" s="387">
        <f t="shared" si="71"/>
        <v>0</v>
      </c>
      <c r="AM141" s="387">
        <f t="shared" si="72"/>
        <v>0</v>
      </c>
    </row>
    <row r="142" spans="1:39" s="391" customFormat="1" ht="48" hidden="1" customHeight="1" outlineLevel="3">
      <c r="A142" s="722"/>
      <c r="B142" s="733"/>
      <c r="C142" s="785"/>
      <c r="D142" s="545" t="s">
        <v>198</v>
      </c>
      <c r="E142" s="762" t="s">
        <v>217</v>
      </c>
      <c r="F142" s="763"/>
      <c r="G142" s="539"/>
      <c r="H142" s="365" t="str">
        <f>IF(G142="","",G142/$G$161)</f>
        <v/>
      </c>
      <c r="I142" s="539"/>
      <c r="J142" s="539"/>
      <c r="K142" s="557" t="str">
        <f t="shared" si="73"/>
        <v/>
      </c>
      <c r="L142" s="589"/>
      <c r="M142" s="544" t="b">
        <v>0</v>
      </c>
      <c r="N142" s="544" t="b">
        <v>0</v>
      </c>
      <c r="O142" s="5"/>
      <c r="P142" s="363"/>
      <c r="Q142" s="5"/>
      <c r="R142" s="5"/>
      <c r="S142" s="5"/>
      <c r="T142" s="5"/>
      <c r="U142" s="5"/>
      <c r="V142" s="557">
        <f t="shared" si="24"/>
        <v>0</v>
      </c>
      <c r="W142" s="22"/>
      <c r="X142" s="362"/>
      <c r="Y142" s="364" t="s">
        <v>196</v>
      </c>
      <c r="Z142" s="5"/>
      <c r="AA142" s="5"/>
      <c r="AB142" s="392"/>
      <c r="AC142" s="5"/>
      <c r="AD142" s="5"/>
      <c r="AE142" s="363"/>
      <c r="AF142" s="557" t="str">
        <f t="shared" si="74"/>
        <v/>
      </c>
      <c r="AG142" s="557" t="str">
        <f t="shared" si="75"/>
        <v/>
      </c>
      <c r="AH142" s="590"/>
      <c r="AI142" s="411"/>
      <c r="AJ142" s="411"/>
      <c r="AK142" s="107" t="s">
        <v>222</v>
      </c>
      <c r="AL142" s="387">
        <f t="shared" si="71"/>
        <v>0</v>
      </c>
      <c r="AM142" s="387">
        <f t="shared" si="72"/>
        <v>0</v>
      </c>
    </row>
    <row r="143" spans="1:39" s="391" customFormat="1" ht="39" hidden="1" customHeight="1" outlineLevel="3">
      <c r="A143" s="722"/>
      <c r="B143" s="733"/>
      <c r="C143" s="784" t="s">
        <v>199</v>
      </c>
      <c r="D143" s="784" t="s">
        <v>204</v>
      </c>
      <c r="E143" s="764" t="s">
        <v>217</v>
      </c>
      <c r="F143" s="765"/>
      <c r="G143" s="710"/>
      <c r="H143" s="799" t="str">
        <f>IF(G143="","",G143/$G$161)</f>
        <v/>
      </c>
      <c r="I143" s="710"/>
      <c r="J143" s="710"/>
      <c r="K143" s="712" t="str">
        <f t="shared" ref="K143" si="76">IF(SUM(I143:J144)=0,"",SUM(I143:J144))</f>
        <v/>
      </c>
      <c r="L143" s="589"/>
      <c r="M143" s="808" t="b">
        <v>0</v>
      </c>
      <c r="N143" s="544" t="b">
        <v>0</v>
      </c>
      <c r="O143" s="5"/>
      <c r="P143" s="363"/>
      <c r="Q143" s="710"/>
      <c r="R143" s="710"/>
      <c r="S143" s="710"/>
      <c r="T143" s="710"/>
      <c r="U143" s="710"/>
      <c r="V143" s="712">
        <f t="shared" si="24"/>
        <v>0</v>
      </c>
      <c r="W143" s="707"/>
      <c r="X143" s="362"/>
      <c r="Y143" s="364" t="s">
        <v>201</v>
      </c>
      <c r="Z143" s="5"/>
      <c r="AA143" s="5"/>
      <c r="AB143" s="392"/>
      <c r="AC143" s="710"/>
      <c r="AD143" s="710"/>
      <c r="AE143" s="363"/>
      <c r="AF143" s="712" t="str">
        <f t="shared" ref="AF143" si="77">IF(G143="","",IF(AND(V143="",Z143="",Z144="",AC143=""),"Missing Info",IF(G143-V143-Z143-Z144+AC143=0,"OK","Review financial exposure")))</f>
        <v/>
      </c>
      <c r="AG143" s="712" t="str">
        <f>IF(K143="","",IF(AND(W143="",AA143="",AA144="",AD143=""),"Missing Info",IF(K143-W143-AA143-AA144+AD143=0,"OK","Review emissions")))</f>
        <v/>
      </c>
      <c r="AH143" s="590"/>
      <c r="AI143" s="411"/>
      <c r="AJ143" s="411"/>
      <c r="AK143" s="107" t="s">
        <v>223</v>
      </c>
      <c r="AL143" s="387">
        <f t="shared" si="71"/>
        <v>0</v>
      </c>
      <c r="AM143" s="387">
        <f t="shared" si="72"/>
        <v>0</v>
      </c>
    </row>
    <row r="144" spans="1:39" s="391" customFormat="1" ht="39" hidden="1" customHeight="1" outlineLevel="3">
      <c r="A144" s="722"/>
      <c r="B144" s="733"/>
      <c r="C144" s="785"/>
      <c r="D144" s="785"/>
      <c r="E144" s="766"/>
      <c r="F144" s="767"/>
      <c r="G144" s="711"/>
      <c r="H144" s="800"/>
      <c r="I144" s="711"/>
      <c r="J144" s="711"/>
      <c r="K144" s="713"/>
      <c r="L144" s="589"/>
      <c r="M144" s="809"/>
      <c r="N144" s="544" t="b">
        <v>0</v>
      </c>
      <c r="O144" s="5"/>
      <c r="P144" s="363"/>
      <c r="Q144" s="711"/>
      <c r="R144" s="711"/>
      <c r="S144" s="711"/>
      <c r="T144" s="711"/>
      <c r="U144" s="711"/>
      <c r="V144" s="713">
        <f t="shared" si="24"/>
        <v>0</v>
      </c>
      <c r="W144" s="708"/>
      <c r="X144" s="362"/>
      <c r="Y144" s="364" t="s">
        <v>203</v>
      </c>
      <c r="Z144" s="5"/>
      <c r="AA144" s="5"/>
      <c r="AB144" s="392"/>
      <c r="AC144" s="711"/>
      <c r="AD144" s="711"/>
      <c r="AE144" s="363"/>
      <c r="AF144" s="713"/>
      <c r="AG144" s="713"/>
      <c r="AH144" s="590"/>
      <c r="AI144" s="411"/>
      <c r="AJ144" s="411"/>
      <c r="AK144" s="107" t="s">
        <v>223</v>
      </c>
      <c r="AL144" s="387">
        <f t="shared" si="71"/>
        <v>0</v>
      </c>
      <c r="AM144" s="387">
        <f t="shared" si="72"/>
        <v>0</v>
      </c>
    </row>
    <row r="145" spans="1:39" s="391" customFormat="1" ht="50" hidden="1" customHeight="1" outlineLevel="3">
      <c r="A145" s="722"/>
      <c r="B145" s="733"/>
      <c r="C145" s="764" t="s">
        <v>16</v>
      </c>
      <c r="D145" s="765"/>
      <c r="E145" s="762" t="s">
        <v>217</v>
      </c>
      <c r="F145" s="763"/>
      <c r="G145" s="539"/>
      <c r="H145" s="365" t="str">
        <f t="shared" ref="H145:H156" si="78">IF(G145="","",G145/$G$161)</f>
        <v/>
      </c>
      <c r="I145" s="539"/>
      <c r="J145" s="539"/>
      <c r="K145" s="557" t="str">
        <f t="shared" ref="K145:K151" si="79">IF(SUM(I145:J145)=0,"",SUM(I145:J145))</f>
        <v/>
      </c>
      <c r="L145" s="589"/>
      <c r="M145" s="544" t="b">
        <v>0</v>
      </c>
      <c r="N145" s="544" t="b">
        <v>0</v>
      </c>
      <c r="O145" s="5"/>
      <c r="P145" s="363"/>
      <c r="Q145" s="5"/>
      <c r="R145" s="5"/>
      <c r="S145" s="5"/>
      <c r="T145" s="5"/>
      <c r="U145" s="5"/>
      <c r="V145" s="557">
        <f t="shared" ref="V145:V151" si="80">IF(M145=TRUE,SUM(Q145:U145),0)</f>
        <v>0</v>
      </c>
      <c r="W145" s="22"/>
      <c r="X145" s="362"/>
      <c r="Y145" s="364" t="s">
        <v>206</v>
      </c>
      <c r="Z145" s="5"/>
      <c r="AA145" s="5"/>
      <c r="AB145" s="392"/>
      <c r="AC145" s="5"/>
      <c r="AD145" s="5"/>
      <c r="AE145" s="363"/>
      <c r="AF145" s="557" t="str">
        <f t="shared" si="74"/>
        <v/>
      </c>
      <c r="AG145" s="557" t="str">
        <f t="shared" ref="AG145:AG151" si="81">IF(K145="","",IF(AND(W145="",AA145="",AD145=""),"Missing Info",IF(K145-W145-AA145+AD145=0,"OK","Review emissions")))</f>
        <v/>
      </c>
      <c r="AH145" s="590"/>
      <c r="AI145" s="411"/>
      <c r="AJ145" s="411"/>
      <c r="AK145" s="107" t="s">
        <v>224</v>
      </c>
      <c r="AL145" s="387">
        <f t="shared" si="71"/>
        <v>0</v>
      </c>
      <c r="AM145" s="387">
        <f t="shared" si="72"/>
        <v>0</v>
      </c>
    </row>
    <row r="146" spans="1:39" s="391" customFormat="1" ht="39" hidden="1" customHeight="1" outlineLevel="3">
      <c r="A146" s="722"/>
      <c r="B146" s="733"/>
      <c r="C146" s="764" t="s">
        <v>208</v>
      </c>
      <c r="D146" s="737" t="s">
        <v>225</v>
      </c>
      <c r="E146" s="738"/>
      <c r="F146" s="739"/>
      <c r="G146" s="539"/>
      <c r="H146" s="365" t="str">
        <f t="shared" si="78"/>
        <v/>
      </c>
      <c r="I146" s="539"/>
      <c r="J146" s="539"/>
      <c r="K146" s="557" t="str">
        <f t="shared" si="79"/>
        <v/>
      </c>
      <c r="L146" s="589"/>
      <c r="M146" s="544" t="b">
        <v>0</v>
      </c>
      <c r="N146" s="544" t="b">
        <v>0</v>
      </c>
      <c r="O146" s="5"/>
      <c r="P146" s="363"/>
      <c r="Q146" s="5"/>
      <c r="R146" s="5"/>
      <c r="S146" s="5"/>
      <c r="T146" s="5"/>
      <c r="U146" s="5"/>
      <c r="V146" s="557">
        <f t="shared" si="80"/>
        <v>0</v>
      </c>
      <c r="W146" s="22"/>
      <c r="X146" s="362"/>
      <c r="Y146" s="394" t="s">
        <v>210</v>
      </c>
      <c r="Z146" s="5"/>
      <c r="AA146" s="5"/>
      <c r="AB146" s="392"/>
      <c r="AC146" s="5"/>
      <c r="AD146" s="5"/>
      <c r="AE146" s="363"/>
      <c r="AF146" s="557" t="str">
        <f t="shared" si="74"/>
        <v/>
      </c>
      <c r="AG146" s="557" t="str">
        <f t="shared" si="81"/>
        <v/>
      </c>
      <c r="AH146" s="590"/>
      <c r="AI146" s="411"/>
      <c r="AJ146" s="411"/>
      <c r="AK146" s="107" t="s">
        <v>226</v>
      </c>
      <c r="AL146" s="387">
        <f t="shared" si="71"/>
        <v>0</v>
      </c>
      <c r="AM146" s="387">
        <f t="shared" si="72"/>
        <v>0</v>
      </c>
    </row>
    <row r="147" spans="1:39" s="391" customFormat="1" ht="51" hidden="1" customHeight="1" outlineLevel="3">
      <c r="A147" s="722"/>
      <c r="B147" s="733"/>
      <c r="C147" s="787"/>
      <c r="D147" s="784" t="s">
        <v>212</v>
      </c>
      <c r="E147" s="764" t="s">
        <v>137</v>
      </c>
      <c r="F147" s="765"/>
      <c r="G147" s="539"/>
      <c r="H147" s="365" t="str">
        <f t="shared" si="78"/>
        <v/>
      </c>
      <c r="I147" s="539"/>
      <c r="J147" s="539"/>
      <c r="K147" s="557" t="str">
        <f t="shared" si="79"/>
        <v/>
      </c>
      <c r="L147" s="589"/>
      <c r="M147" s="544" t="b">
        <v>0</v>
      </c>
      <c r="N147" s="544" t="b">
        <v>0</v>
      </c>
      <c r="O147" s="5"/>
      <c r="P147" s="363"/>
      <c r="Q147" s="5"/>
      <c r="R147" s="5"/>
      <c r="S147" s="5"/>
      <c r="T147" s="5"/>
      <c r="U147" s="5"/>
      <c r="V147" s="557">
        <f t="shared" si="80"/>
        <v>0</v>
      </c>
      <c r="W147" s="22"/>
      <c r="X147" s="362"/>
      <c r="Y147" s="394" t="s">
        <v>210</v>
      </c>
      <c r="Z147" s="5"/>
      <c r="AA147" s="5"/>
      <c r="AB147" s="392"/>
      <c r="AC147" s="5"/>
      <c r="AD147" s="5"/>
      <c r="AE147" s="363"/>
      <c r="AF147" s="557" t="str">
        <f t="shared" si="74"/>
        <v/>
      </c>
      <c r="AG147" s="557" t="str">
        <f t="shared" si="81"/>
        <v/>
      </c>
      <c r="AH147" s="590"/>
      <c r="AI147" s="411"/>
      <c r="AJ147" s="411"/>
      <c r="AK147" s="107" t="s">
        <v>226</v>
      </c>
      <c r="AL147" s="387">
        <f t="shared" si="71"/>
        <v>0</v>
      </c>
      <c r="AM147" s="387">
        <f t="shared" si="72"/>
        <v>0</v>
      </c>
    </row>
    <row r="148" spans="1:39" s="391" customFormat="1" ht="56" hidden="1" customHeight="1" outlineLevel="3">
      <c r="A148" s="722"/>
      <c r="B148" s="733"/>
      <c r="C148" s="787"/>
      <c r="D148" s="785"/>
      <c r="E148" s="762" t="s">
        <v>217</v>
      </c>
      <c r="F148" s="763"/>
      <c r="G148" s="539"/>
      <c r="H148" s="365" t="str">
        <f t="shared" si="78"/>
        <v/>
      </c>
      <c r="I148" s="539"/>
      <c r="J148" s="539"/>
      <c r="K148" s="557" t="str">
        <f t="shared" si="79"/>
        <v/>
      </c>
      <c r="L148" s="589"/>
      <c r="M148" s="544" t="b">
        <v>0</v>
      </c>
      <c r="N148" s="544" t="b">
        <v>0</v>
      </c>
      <c r="O148" s="5"/>
      <c r="P148" s="363"/>
      <c r="Q148" s="5"/>
      <c r="R148" s="5"/>
      <c r="S148" s="5"/>
      <c r="T148" s="5"/>
      <c r="U148" s="5"/>
      <c r="V148" s="557">
        <f t="shared" si="80"/>
        <v>0</v>
      </c>
      <c r="W148" s="22"/>
      <c r="X148" s="362"/>
      <c r="Y148" s="394" t="s">
        <v>210</v>
      </c>
      <c r="Z148" s="5"/>
      <c r="AA148" s="5"/>
      <c r="AB148" s="392"/>
      <c r="AC148" s="5"/>
      <c r="AD148" s="5"/>
      <c r="AE148" s="363"/>
      <c r="AF148" s="557" t="str">
        <f t="shared" si="74"/>
        <v/>
      </c>
      <c r="AG148" s="557" t="str">
        <f t="shared" si="81"/>
        <v/>
      </c>
      <c r="AH148" s="590"/>
      <c r="AI148" s="411"/>
      <c r="AJ148" s="411"/>
      <c r="AK148" s="107" t="s">
        <v>226</v>
      </c>
      <c r="AL148" s="387">
        <f t="shared" si="71"/>
        <v>0</v>
      </c>
      <c r="AM148" s="387">
        <f t="shared" si="72"/>
        <v>0</v>
      </c>
    </row>
    <row r="149" spans="1:39" s="391" customFormat="1" ht="39" hidden="1" customHeight="1" outlineLevel="3">
      <c r="A149" s="722"/>
      <c r="B149" s="733"/>
      <c r="C149" s="787"/>
      <c r="D149" s="785"/>
      <c r="E149" s="762" t="s">
        <v>140</v>
      </c>
      <c r="F149" s="763"/>
      <c r="G149" s="539"/>
      <c r="H149" s="365" t="str">
        <f t="shared" si="78"/>
        <v/>
      </c>
      <c r="I149" s="539"/>
      <c r="J149" s="539"/>
      <c r="K149" s="557" t="str">
        <f t="shared" si="79"/>
        <v/>
      </c>
      <c r="L149" s="589"/>
      <c r="M149" s="544" t="b">
        <v>0</v>
      </c>
      <c r="N149" s="544" t="b">
        <v>0</v>
      </c>
      <c r="O149" s="5"/>
      <c r="P149" s="363"/>
      <c r="Q149" s="5"/>
      <c r="R149" s="5"/>
      <c r="S149" s="5"/>
      <c r="T149" s="5"/>
      <c r="U149" s="5"/>
      <c r="V149" s="557">
        <f t="shared" si="80"/>
        <v>0</v>
      </c>
      <c r="W149" s="22"/>
      <c r="X149" s="362"/>
      <c r="Y149" s="394" t="s">
        <v>210</v>
      </c>
      <c r="Z149" s="5"/>
      <c r="AA149" s="5"/>
      <c r="AB149" s="392"/>
      <c r="AC149" s="5"/>
      <c r="AD149" s="5"/>
      <c r="AE149" s="363"/>
      <c r="AF149" s="557" t="str">
        <f t="shared" si="74"/>
        <v/>
      </c>
      <c r="AG149" s="557" t="str">
        <f t="shared" si="81"/>
        <v/>
      </c>
      <c r="AH149" s="590"/>
      <c r="AI149" s="411"/>
      <c r="AJ149" s="411"/>
      <c r="AK149" s="107" t="s">
        <v>226</v>
      </c>
      <c r="AL149" s="387">
        <f t="shared" si="71"/>
        <v>0</v>
      </c>
      <c r="AM149" s="387">
        <f t="shared" si="72"/>
        <v>0</v>
      </c>
    </row>
    <row r="150" spans="1:39" s="391" customFormat="1" ht="49.25" hidden="1" customHeight="1" outlineLevel="3">
      <c r="A150" s="722"/>
      <c r="B150" s="733"/>
      <c r="C150" s="766"/>
      <c r="D150" s="785"/>
      <c r="E150" s="762" t="s">
        <v>141</v>
      </c>
      <c r="F150" s="763"/>
      <c r="G150" s="539"/>
      <c r="H150" s="365" t="str">
        <f t="shared" si="78"/>
        <v/>
      </c>
      <c r="I150" s="539"/>
      <c r="J150" s="539"/>
      <c r="K150" s="557" t="str">
        <f t="shared" si="79"/>
        <v/>
      </c>
      <c r="L150" s="589"/>
      <c r="M150" s="544" t="b">
        <v>0</v>
      </c>
      <c r="N150" s="544" t="b">
        <v>0</v>
      </c>
      <c r="O150" s="5"/>
      <c r="P150" s="363"/>
      <c r="Q150" s="5"/>
      <c r="R150" s="5"/>
      <c r="S150" s="5"/>
      <c r="T150" s="5"/>
      <c r="U150" s="5"/>
      <c r="V150" s="557">
        <f t="shared" si="80"/>
        <v>0</v>
      </c>
      <c r="W150" s="22"/>
      <c r="X150" s="362"/>
      <c r="Y150" s="394" t="s">
        <v>210</v>
      </c>
      <c r="Z150" s="5"/>
      <c r="AA150" s="5"/>
      <c r="AB150" s="392"/>
      <c r="AC150" s="5"/>
      <c r="AD150" s="5"/>
      <c r="AE150" s="363"/>
      <c r="AF150" s="557" t="str">
        <f t="shared" si="74"/>
        <v/>
      </c>
      <c r="AG150" s="557" t="str">
        <f t="shared" si="81"/>
        <v/>
      </c>
      <c r="AH150" s="590"/>
      <c r="AI150" s="411"/>
      <c r="AJ150" s="411"/>
      <c r="AK150" s="107" t="s">
        <v>226</v>
      </c>
      <c r="AL150" s="387">
        <f t="shared" si="71"/>
        <v>0</v>
      </c>
      <c r="AM150" s="387">
        <f t="shared" si="72"/>
        <v>0</v>
      </c>
    </row>
    <row r="151" spans="1:39" s="391" customFormat="1" ht="50" hidden="1" customHeight="1" outlineLevel="3">
      <c r="A151" s="722"/>
      <c r="B151" s="733"/>
      <c r="C151" s="801" t="s">
        <v>227</v>
      </c>
      <c r="D151" s="802"/>
      <c r="E151" s="750" t="s">
        <v>217</v>
      </c>
      <c r="F151" s="751"/>
      <c r="G151" s="539"/>
      <c r="H151" s="365" t="str">
        <f t="shared" si="78"/>
        <v/>
      </c>
      <c r="I151" s="539"/>
      <c r="J151" s="539"/>
      <c r="K151" s="557" t="str">
        <f t="shared" si="79"/>
        <v/>
      </c>
      <c r="L151" s="589"/>
      <c r="M151" s="544" t="b">
        <v>0</v>
      </c>
      <c r="N151" s="389"/>
      <c r="O151" s="5"/>
      <c r="P151" s="363"/>
      <c r="Q151" s="5"/>
      <c r="R151" s="5"/>
      <c r="S151" s="5"/>
      <c r="T151" s="5"/>
      <c r="U151" s="5"/>
      <c r="V151" s="557">
        <f t="shared" si="80"/>
        <v>0</v>
      </c>
      <c r="W151" s="22"/>
      <c r="X151" s="362"/>
      <c r="Y151" s="364"/>
      <c r="Z151" s="557"/>
      <c r="AA151" s="557"/>
      <c r="AB151" s="390"/>
      <c r="AC151" s="557"/>
      <c r="AD151" s="557"/>
      <c r="AE151" s="363"/>
      <c r="AF151" s="557" t="str">
        <f t="shared" si="74"/>
        <v/>
      </c>
      <c r="AG151" s="557" t="str">
        <f t="shared" si="81"/>
        <v/>
      </c>
      <c r="AH151" s="590"/>
      <c r="AI151" s="411"/>
      <c r="AJ151" s="411"/>
      <c r="AK151" s="107" t="s">
        <v>228</v>
      </c>
      <c r="AL151" s="387">
        <f t="shared" si="71"/>
        <v>0</v>
      </c>
      <c r="AM151" s="387">
        <f t="shared" si="72"/>
        <v>0</v>
      </c>
    </row>
    <row r="152" spans="1:39" s="391" customFormat="1" ht="35" hidden="1" customHeight="1" outlineLevel="2">
      <c r="A152" s="752"/>
      <c r="B152" s="814" t="s">
        <v>142</v>
      </c>
      <c r="C152" s="803" t="s">
        <v>143</v>
      </c>
      <c r="D152" s="817"/>
      <c r="E152" s="817"/>
      <c r="F152" s="817"/>
      <c r="G152" s="4"/>
      <c r="H152" s="365" t="str">
        <f t="shared" si="78"/>
        <v/>
      </c>
      <c r="I152" s="557"/>
      <c r="J152" s="557"/>
      <c r="K152" s="557"/>
      <c r="L152" s="367"/>
      <c r="M152" s="557"/>
      <c r="N152" s="557"/>
      <c r="O152" s="557"/>
      <c r="P152" s="368"/>
      <c r="Q152" s="557"/>
      <c r="R152" s="557"/>
      <c r="S152" s="557"/>
      <c r="T152" s="557"/>
      <c r="U152" s="557"/>
      <c r="V152" s="557"/>
      <c r="W152" s="557"/>
      <c r="X152" s="574"/>
      <c r="Y152" s="364"/>
      <c r="Z152" s="557"/>
      <c r="AA152" s="557"/>
      <c r="AB152" s="390"/>
      <c r="AC152" s="557"/>
      <c r="AD152" s="557"/>
      <c r="AE152" s="395"/>
      <c r="AF152" s="557"/>
      <c r="AG152" s="557"/>
      <c r="AH152" s="590"/>
      <c r="AI152" s="411"/>
      <c r="AJ152" s="411"/>
      <c r="AK152" s="411"/>
    </row>
    <row r="153" spans="1:39" s="391" customFormat="1" ht="30" hidden="1" customHeight="1" outlineLevel="2">
      <c r="A153" s="753"/>
      <c r="B153" s="815"/>
      <c r="C153" s="803" t="s">
        <v>144</v>
      </c>
      <c r="D153" s="817"/>
      <c r="E153" s="817"/>
      <c r="F153" s="817"/>
      <c r="G153" s="4"/>
      <c r="H153" s="365" t="str">
        <f t="shared" si="78"/>
        <v/>
      </c>
      <c r="I153" s="557"/>
      <c r="J153" s="557"/>
      <c r="K153" s="557"/>
      <c r="L153" s="367"/>
      <c r="M153" s="557"/>
      <c r="N153" s="557"/>
      <c r="O153" s="557"/>
      <c r="P153" s="368"/>
      <c r="Q153" s="557"/>
      <c r="R153" s="557"/>
      <c r="S153" s="557"/>
      <c r="T153" s="557"/>
      <c r="U153" s="557"/>
      <c r="V153" s="557"/>
      <c r="W153" s="557"/>
      <c r="X153" s="574"/>
      <c r="Y153" s="364"/>
      <c r="Z153" s="557"/>
      <c r="AA153" s="557"/>
      <c r="AB153" s="390"/>
      <c r="AC153" s="557"/>
      <c r="AD153" s="557"/>
      <c r="AE153" s="395"/>
      <c r="AF153" s="557"/>
      <c r="AG153" s="557"/>
      <c r="AH153" s="590"/>
      <c r="AI153" s="411"/>
      <c r="AJ153" s="411"/>
      <c r="AK153" s="411"/>
    </row>
    <row r="154" spans="1:39" s="391" customFormat="1" ht="40.25" hidden="1" customHeight="1" outlineLevel="2">
      <c r="A154" s="753"/>
      <c r="B154" s="815"/>
      <c r="C154" s="803" t="s">
        <v>145</v>
      </c>
      <c r="D154" s="817"/>
      <c r="E154" s="817"/>
      <c r="F154" s="817"/>
      <c r="G154" s="4"/>
      <c r="H154" s="365" t="str">
        <f t="shared" si="78"/>
        <v/>
      </c>
      <c r="I154" s="557"/>
      <c r="J154" s="557"/>
      <c r="K154" s="557"/>
      <c r="L154" s="367"/>
      <c r="M154" s="557"/>
      <c r="N154" s="557"/>
      <c r="O154" s="557"/>
      <c r="P154" s="368"/>
      <c r="Q154" s="557"/>
      <c r="R154" s="557"/>
      <c r="S154" s="557"/>
      <c r="T154" s="557"/>
      <c r="U154" s="557"/>
      <c r="V154" s="557"/>
      <c r="W154" s="557"/>
      <c r="X154" s="574"/>
      <c r="Y154" s="364"/>
      <c r="Z154" s="557"/>
      <c r="AA154" s="557"/>
      <c r="AB154" s="390"/>
      <c r="AC154" s="557"/>
      <c r="AD154" s="557"/>
      <c r="AE154" s="395"/>
      <c r="AF154" s="557"/>
      <c r="AG154" s="557"/>
      <c r="AH154" s="590"/>
      <c r="AI154" s="411"/>
      <c r="AJ154" s="411"/>
      <c r="AK154" s="411"/>
    </row>
    <row r="155" spans="1:39" s="391" customFormat="1" ht="30" hidden="1" customHeight="1" outlineLevel="2">
      <c r="A155" s="753"/>
      <c r="B155" s="815"/>
      <c r="C155" s="803" t="s">
        <v>146</v>
      </c>
      <c r="D155" s="817"/>
      <c r="E155" s="817"/>
      <c r="F155" s="817"/>
      <c r="G155" s="4"/>
      <c r="H155" s="365"/>
      <c r="I155" s="557"/>
      <c r="J155" s="557"/>
      <c r="K155" s="557"/>
      <c r="L155" s="367"/>
      <c r="M155" s="557"/>
      <c r="N155" s="557"/>
      <c r="O155" s="557"/>
      <c r="P155" s="368"/>
      <c r="Q155" s="557"/>
      <c r="R155" s="557"/>
      <c r="S155" s="557"/>
      <c r="T155" s="557"/>
      <c r="U155" s="557"/>
      <c r="V155" s="557"/>
      <c r="W155" s="557"/>
      <c r="X155" s="574"/>
      <c r="Y155" s="364"/>
      <c r="Z155" s="557"/>
      <c r="AA155" s="557"/>
      <c r="AB155" s="390"/>
      <c r="AC155" s="557"/>
      <c r="AD155" s="557"/>
      <c r="AE155" s="395"/>
      <c r="AF155" s="557"/>
      <c r="AG155" s="557"/>
      <c r="AH155" s="590"/>
      <c r="AI155" s="411"/>
      <c r="AJ155" s="411"/>
      <c r="AK155" s="411"/>
    </row>
    <row r="156" spans="1:39" s="391" customFormat="1" ht="30" hidden="1" customHeight="1" outlineLevel="2">
      <c r="A156" s="753"/>
      <c r="B156" s="816"/>
      <c r="C156" s="818" t="s">
        <v>147</v>
      </c>
      <c r="D156" s="819"/>
      <c r="E156" s="819"/>
      <c r="F156" s="819"/>
      <c r="G156" s="4"/>
      <c r="H156" s="365" t="str">
        <f t="shared" si="78"/>
        <v/>
      </c>
      <c r="I156" s="557"/>
      <c r="J156" s="557"/>
      <c r="K156" s="557"/>
      <c r="L156" s="367"/>
      <c r="M156" s="557"/>
      <c r="N156" s="557"/>
      <c r="O156" s="557"/>
      <c r="P156" s="368"/>
      <c r="Q156" s="557"/>
      <c r="R156" s="557"/>
      <c r="S156" s="557"/>
      <c r="T156" s="557"/>
      <c r="U156" s="557"/>
      <c r="V156" s="557"/>
      <c r="W156" s="557"/>
      <c r="X156" s="574"/>
      <c r="Y156" s="364"/>
      <c r="Z156" s="557"/>
      <c r="AA156" s="557"/>
      <c r="AB156" s="390"/>
      <c r="AC156" s="557"/>
      <c r="AD156" s="557"/>
      <c r="AE156" s="395"/>
      <c r="AF156" s="557"/>
      <c r="AG156" s="557"/>
      <c r="AH156" s="590"/>
      <c r="AI156" s="411"/>
      <c r="AJ156" s="411"/>
      <c r="AK156" s="411"/>
    </row>
    <row r="157" spans="1:39" s="391" customFormat="1" ht="16" hidden="1" outlineLevel="1">
      <c r="A157" s="575"/>
      <c r="B157" s="579"/>
      <c r="C157" s="579"/>
      <c r="D157" s="579"/>
      <c r="E157" s="579"/>
      <c r="F157" s="579"/>
      <c r="G157" s="579"/>
      <c r="H157" s="591"/>
      <c r="I157" s="591"/>
      <c r="J157" s="591"/>
      <c r="K157" s="591"/>
      <c r="L157" s="578"/>
      <c r="M157" s="579"/>
      <c r="N157" s="579"/>
      <c r="O157" s="579"/>
      <c r="P157" s="580"/>
      <c r="Q157" s="406"/>
      <c r="R157" s="373"/>
      <c r="S157" s="581"/>
      <c r="T157" s="372"/>
      <c r="U157" s="407"/>
      <c r="V157" s="407"/>
      <c r="W157" s="407"/>
      <c r="X157" s="582"/>
      <c r="Y157" s="583"/>
      <c r="Z157" s="592"/>
      <c r="AA157" s="592"/>
      <c r="AB157" s="582"/>
      <c r="AC157" s="593"/>
      <c r="AD157" s="593"/>
      <c r="AE157" s="594"/>
      <c r="AF157" s="594"/>
      <c r="AG157" s="594"/>
      <c r="AH157" s="595"/>
      <c r="AI157" s="411"/>
      <c r="AJ157" s="411"/>
      <c r="AK157" s="411"/>
    </row>
    <row r="158" spans="1:39" s="391" customFormat="1" ht="34" hidden="1" outlineLevel="1">
      <c r="A158" s="575"/>
      <c r="B158" s="370" t="s">
        <v>148</v>
      </c>
      <c r="C158" s="370"/>
      <c r="D158" s="370"/>
      <c r="E158" s="370"/>
      <c r="F158" s="370"/>
      <c r="G158" s="370" t="s">
        <v>149</v>
      </c>
      <c r="H158" s="370" t="s">
        <v>150</v>
      </c>
      <c r="I158" s="371"/>
      <c r="J158" s="371"/>
      <c r="K158" s="371"/>
      <c r="L158" s="583"/>
      <c r="M158" s="14"/>
      <c r="N158" s="14"/>
      <c r="O158" s="14"/>
      <c r="P158" s="14"/>
      <c r="Q158" s="372"/>
      <c r="R158" s="372"/>
      <c r="S158" s="581"/>
      <c r="T158" s="372"/>
      <c r="U158" s="372"/>
      <c r="V158" s="373"/>
      <c r="W158" s="373"/>
      <c r="X158" s="582"/>
      <c r="Y158" s="582"/>
      <c r="Z158" s="596"/>
      <c r="AA158" s="596"/>
      <c r="AB158" s="582"/>
      <c r="AC158" s="597"/>
      <c r="AD158" s="597"/>
      <c r="AE158" s="598"/>
      <c r="AF158" s="598"/>
      <c r="AG158" s="598"/>
      <c r="AH158" s="595"/>
      <c r="AI158" s="411"/>
      <c r="AJ158" s="411"/>
      <c r="AK158" s="411"/>
    </row>
    <row r="159" spans="1:39" s="391" customFormat="1" ht="37.25" hidden="1" customHeight="1" outlineLevel="1">
      <c r="A159" s="575"/>
      <c r="B159" s="812" t="s">
        <v>151</v>
      </c>
      <c r="C159" s="813"/>
      <c r="D159" s="813"/>
      <c r="E159" s="813"/>
      <c r="F159" s="813"/>
      <c r="G159" s="557">
        <f>IF(SUM(G75:G151)="","",SUM(G75:G151))</f>
        <v>0</v>
      </c>
      <c r="H159" s="365" t="str">
        <f>IF(G161=0,"",G159/$G$161)</f>
        <v/>
      </c>
      <c r="I159" s="374"/>
      <c r="J159" s="374"/>
      <c r="K159" s="374"/>
      <c r="L159" s="374"/>
      <c r="M159" s="14"/>
      <c r="N159" s="14"/>
      <c r="O159" s="14"/>
      <c r="P159" s="14"/>
      <c r="Q159" s="373"/>
      <c r="R159" s="373"/>
      <c r="S159" s="375"/>
      <c r="T159" s="373"/>
      <c r="U159" s="373"/>
      <c r="V159" s="373"/>
      <c r="W159" s="373"/>
      <c r="X159" s="582"/>
      <c r="Y159" s="582"/>
      <c r="Z159" s="596"/>
      <c r="AA159" s="596"/>
      <c r="AB159" s="582"/>
      <c r="AC159" s="597"/>
      <c r="AD159" s="597"/>
      <c r="AE159" s="598"/>
      <c r="AF159" s="598"/>
      <c r="AG159" s="598"/>
      <c r="AH159" s="595"/>
      <c r="AI159" s="411"/>
      <c r="AJ159" s="411"/>
      <c r="AK159" s="411"/>
    </row>
    <row r="160" spans="1:39" s="391" customFormat="1" ht="37.25" hidden="1" customHeight="1" outlineLevel="1">
      <c r="A160" s="575"/>
      <c r="B160" s="812" t="s">
        <v>152</v>
      </c>
      <c r="C160" s="813"/>
      <c r="D160" s="813"/>
      <c r="E160" s="813"/>
      <c r="F160" s="813"/>
      <c r="G160" s="557">
        <f>+SUM(G152:G156)</f>
        <v>0</v>
      </c>
      <c r="H160" s="365" t="str">
        <f>IF(G161=0,"",G160/$G$161)</f>
        <v/>
      </c>
      <c r="I160" s="374"/>
      <c r="J160" s="374"/>
      <c r="K160" s="374"/>
      <c r="L160" s="374"/>
      <c r="M160" s="14"/>
      <c r="N160" s="14"/>
      <c r="O160" s="14"/>
      <c r="P160" s="14"/>
      <c r="Q160" s="373"/>
      <c r="R160" s="373"/>
      <c r="S160" s="584"/>
      <c r="T160" s="373"/>
      <c r="U160" s="373"/>
      <c r="V160" s="373"/>
      <c r="W160" s="373"/>
      <c r="X160" s="582"/>
      <c r="Y160" s="582"/>
      <c r="Z160" s="596"/>
      <c r="AA160" s="596"/>
      <c r="AB160" s="582"/>
      <c r="AC160" s="597"/>
      <c r="AD160" s="597"/>
      <c r="AE160" s="598"/>
      <c r="AF160" s="598"/>
      <c r="AG160" s="598"/>
      <c r="AH160" s="595"/>
      <c r="AI160" s="411"/>
      <c r="AJ160" s="411"/>
      <c r="AK160" s="411"/>
    </row>
    <row r="161" spans="1:37" s="391" customFormat="1" ht="37.25" hidden="1" customHeight="1" outlineLevel="1">
      <c r="A161" s="575"/>
      <c r="B161" s="789" t="s">
        <v>153</v>
      </c>
      <c r="C161" s="790"/>
      <c r="D161" s="790"/>
      <c r="E161" s="790"/>
      <c r="F161" s="790"/>
      <c r="G161" s="376">
        <f>+G159+G160</f>
        <v>0</v>
      </c>
      <c r="H161" s="377"/>
      <c r="I161" s="827" t="str">
        <f>IF(G161="","",IF(G161&lt;&gt;'Financial activity types '!C12,"Error: The total must match the total in the Financial activity types tab","Exposure OK"))</f>
        <v>Exposure OK</v>
      </c>
      <c r="J161" s="827"/>
      <c r="K161" s="827"/>
      <c r="L161" s="374"/>
      <c r="M161" s="706" t="s">
        <v>154</v>
      </c>
      <c r="N161" s="706"/>
      <c r="O161" s="706"/>
      <c r="P161" s="14"/>
      <c r="Q161" s="373"/>
      <c r="R161" s="373"/>
      <c r="S161" s="584"/>
      <c r="T161" s="373"/>
      <c r="U161" s="373"/>
      <c r="V161" s="373"/>
      <c r="W161" s="373"/>
      <c r="X161" s="582"/>
      <c r="Y161" s="582"/>
      <c r="Z161" s="596"/>
      <c r="AA161" s="596"/>
      <c r="AB161" s="582"/>
      <c r="AC161" s="597"/>
      <c r="AD161" s="597"/>
      <c r="AE161" s="598"/>
      <c r="AF161" s="598"/>
      <c r="AG161" s="598"/>
      <c r="AH161" s="595"/>
      <c r="AI161" s="411"/>
      <c r="AJ161" s="411"/>
      <c r="AK161" s="411"/>
    </row>
    <row r="162" spans="1:37" s="411" customFormat="1" ht="37.25" hidden="1" customHeight="1" outlineLevel="1">
      <c r="A162" s="575"/>
      <c r="B162" s="791" t="s">
        <v>155</v>
      </c>
      <c r="C162" s="792"/>
      <c r="D162" s="792"/>
      <c r="E162" s="792"/>
      <c r="F162" s="792"/>
      <c r="G162" s="376">
        <f>(SUMIF(M75:M125,TRUE,V75:V125)+SUMIF(N75:N125,TRUE,Z75:Z125)-SUMIFS(AC75:AC125,M75:M125,TRUE,N75:N125,TRUE)-SUMIFS(AC92,M92,TRUE,N93,TRUE)-SUMIFS(AC94,M94,TRUE,N95,TRUE)-SUMIFS(AC96,M96,TRUE,N97,TRUE)-SUMIFS(AC98,M98,TRUE,N99,TRUE)-SUMIFS(AC100,M100,TRUE,N101,TRUE)-SUMIFS(AC102,M102,TRUE,N103,TRUE)-SUMIFS(AC110,M110,TRUE,N111,TRUE)-SUMIFS(AC112,M112,TRUE,N113,TRUE)-SUMIFS(AC114,M114,TRUE,N115,TRUE))</f>
        <v>0</v>
      </c>
      <c r="H162" s="377" t="e">
        <f>G162/SUM(G75:G125)</f>
        <v>#DIV/0!</v>
      </c>
      <c r="I162" s="828" t="e">
        <f>IF(G161="","",IF(H162&lt;&gt;100%,"Error: The FI must cover 100% of segments A, B, and C","Coverage OK"))</f>
        <v>#DIV/0!</v>
      </c>
      <c r="J162" s="828"/>
      <c r="K162" s="828"/>
      <c r="L162" s="590"/>
      <c r="M162" s="706"/>
      <c r="N162" s="706"/>
      <c r="O162" s="706"/>
      <c r="P162" s="14"/>
      <c r="Q162" s="373"/>
      <c r="R162" s="373"/>
      <c r="S162" s="378"/>
      <c r="T162" s="378"/>
      <c r="U162" s="379"/>
      <c r="V162" s="373"/>
      <c r="W162" s="373"/>
      <c r="X162" s="380"/>
      <c r="Y162" s="582"/>
      <c r="Z162" s="596"/>
      <c r="AA162" s="596"/>
      <c r="AB162" s="582"/>
      <c r="AC162" s="597"/>
      <c r="AD162" s="597"/>
      <c r="AE162" s="598"/>
      <c r="AF162" s="598"/>
      <c r="AG162" s="598"/>
      <c r="AH162" s="595"/>
    </row>
    <row r="163" spans="1:37" s="408" customFormat="1" ht="47.25" hidden="1" customHeight="1" outlineLevel="1">
      <c r="A163" s="575"/>
      <c r="B163" s="791" t="s">
        <v>156</v>
      </c>
      <c r="C163" s="792"/>
      <c r="D163" s="792"/>
      <c r="E163" s="792"/>
      <c r="F163" s="792"/>
      <c r="G163" s="376">
        <f>(SUMIF(M75:M151,TRUE,V75:V151)+SUMIF(N75:N151,TRUE,Z75:Z151)-SUMIFS(AC75:AC151,M75:M151,TRUE,N75:N151,TRUE)-SUMIFS(AC92,M92,TRUE,N93,TRUE)-SUMIFS(AC94,M94,TRUE,N95,TRUE)-SUMIFS(AC96,M96,TRUE,N97,TRUE)-SUMIFS(AC98,M98,TRUE,N99,TRUE)-SUMIFS(AC100,M100,TRUE,N101,TRUE)-SUMIFS(AC102,M102,TRUE,N103,TRUE)-SUMIFS(AC110,M110,TRUE,N111,TRUE)-SUMIFS(AC112,M112,TRUE,N113,TRUE)-SUMIFS(AC114,M114,TRUE,N115,TRUE)-SUMIFS(AC133,M133,TRUE,N134,TRUE)-SUMIFS(AC135,M135,TRUE,N136,TRUE)-SUMIFS(AC137,M137,TRUE,N138,TRUE)-SUMIFS(AC139,M139,TRUE,N140,TRUE)-SUMIFS(AC143,M143,TRUE,N144,TRUE))</f>
        <v>0</v>
      </c>
      <c r="H163" s="377" t="e">
        <f>G163/SUM(G75:G151)</f>
        <v>#DIV/0!</v>
      </c>
      <c r="I163" s="828" t="e">
        <f>IF(G161="","",IF(H163&lt;67%,"Error: The FI must cover 67% or more of segments A, B, C, and D","Coverage OK"))</f>
        <v>#DIV/0!</v>
      </c>
      <c r="J163" s="828"/>
      <c r="K163" s="828"/>
      <c r="L163" s="586"/>
      <c r="M163" s="706"/>
      <c r="N163" s="706"/>
      <c r="O163" s="706"/>
      <c r="P163" s="14"/>
      <c r="Q163" s="381"/>
      <c r="R163" s="381"/>
      <c r="S163" s="378"/>
      <c r="T163" s="378"/>
      <c r="U163" s="379"/>
      <c r="V163" s="381"/>
      <c r="W163" s="381"/>
      <c r="X163" s="382"/>
      <c r="Y163" s="582"/>
      <c r="Z163" s="596"/>
      <c r="AA163" s="596"/>
      <c r="AB163" s="582"/>
      <c r="AC163" s="597"/>
      <c r="AD163" s="597"/>
      <c r="AE163" s="598"/>
      <c r="AF163" s="598"/>
      <c r="AG163" s="598"/>
      <c r="AH163" s="599"/>
    </row>
    <row r="164" spans="1:37" s="408" customFormat="1" ht="37.25" hidden="1" customHeight="1" outlineLevel="1">
      <c r="A164" s="575"/>
      <c r="B164" s="754" t="s">
        <v>157</v>
      </c>
      <c r="C164" s="755"/>
      <c r="D164" s="755"/>
      <c r="E164" s="755"/>
      <c r="F164" s="755"/>
      <c r="G164" s="557">
        <f>SUMIF(M75:M151,TRUE,V75:V151)</f>
        <v>0</v>
      </c>
      <c r="H164" s="365" t="e">
        <f>G164/SUM(G75:G151)</f>
        <v>#DIV/0!</v>
      </c>
      <c r="I164" s="374"/>
      <c r="J164" s="422"/>
      <c r="K164" s="423"/>
      <c r="L164" s="599"/>
      <c r="M164" s="706"/>
      <c r="N164" s="706"/>
      <c r="O164" s="706"/>
      <c r="P164" s="14"/>
      <c r="Q164" s="424"/>
      <c r="R164" s="424"/>
      <c r="S164" s="424"/>
      <c r="T164" s="424"/>
      <c r="U164" s="424"/>
      <c r="V164" s="424"/>
      <c r="W164" s="424"/>
      <c r="X164" s="424"/>
      <c r="Y164" s="425"/>
      <c r="Z164" s="426"/>
      <c r="AA164" s="426"/>
      <c r="AB164" s="424"/>
      <c r="AC164" s="427"/>
      <c r="AD164" s="427"/>
      <c r="AE164" s="427"/>
      <c r="AF164" s="427"/>
      <c r="AG164" s="427"/>
      <c r="AH164" s="428"/>
      <c r="AI164" s="412"/>
      <c r="AJ164" s="412"/>
      <c r="AK164" s="412"/>
    </row>
    <row r="165" spans="1:37" s="386" customFormat="1" ht="37.25" hidden="1" customHeight="1" outlineLevel="1">
      <c r="A165" s="575"/>
      <c r="B165" s="754" t="s">
        <v>158</v>
      </c>
      <c r="C165" s="755"/>
      <c r="D165" s="755"/>
      <c r="E165" s="755"/>
      <c r="F165" s="755"/>
      <c r="G165" s="557">
        <f>SUMIF(N75:N151,TRUE,Z75:Z151)</f>
        <v>0</v>
      </c>
      <c r="H165" s="365" t="e">
        <f>G165/SUM(G75:G151)</f>
        <v>#DIV/0!</v>
      </c>
      <c r="I165" s="585"/>
      <c r="J165" s="585"/>
      <c r="K165" s="585"/>
      <c r="L165" s="600"/>
      <c r="M165" s="706"/>
      <c r="N165" s="706"/>
      <c r="O165" s="706"/>
      <c r="P165" s="14"/>
      <c r="Q165" s="429"/>
      <c r="R165" s="429"/>
      <c r="S165" s="429"/>
      <c r="T165" s="429"/>
      <c r="U165" s="429"/>
      <c r="V165" s="429"/>
      <c r="W165" s="429"/>
      <c r="X165" s="430"/>
      <c r="Y165" s="430"/>
      <c r="Z165" s="431"/>
      <c r="AA165" s="431"/>
      <c r="AB165" s="430"/>
      <c r="AC165" s="429"/>
      <c r="AD165" s="429"/>
      <c r="AE165" s="430"/>
      <c r="AF165" s="430"/>
      <c r="AG165" s="430"/>
      <c r="AH165" s="432"/>
      <c r="AI165" s="413"/>
      <c r="AJ165" s="413"/>
      <c r="AK165" s="413"/>
    </row>
    <row r="166" spans="1:37" s="386" customFormat="1" ht="37.25" hidden="1" customHeight="1" outlineLevel="1">
      <c r="A166" s="575"/>
      <c r="B166" s="754" t="s">
        <v>159</v>
      </c>
      <c r="C166" s="755"/>
      <c r="D166" s="755"/>
      <c r="E166" s="755"/>
      <c r="F166" s="755"/>
      <c r="G166" s="557">
        <f>SUMIFS(AC75:AC151,M75:M151,TRUE,N75:N151,TRUE)</f>
        <v>0</v>
      </c>
      <c r="H166" s="365" t="e">
        <f>G166/SUM(G75:G151)</f>
        <v>#DIV/0!</v>
      </c>
      <c r="I166" s="374"/>
      <c r="J166" s="374"/>
      <c r="K166" s="374"/>
      <c r="L166" s="601"/>
      <c r="M166" s="706"/>
      <c r="N166" s="706"/>
      <c r="O166" s="706"/>
      <c r="P166" s="14"/>
      <c r="Q166" s="602"/>
      <c r="R166" s="602"/>
      <c r="S166" s="602"/>
      <c r="T166" s="602"/>
      <c r="U166" s="602"/>
      <c r="V166" s="602"/>
      <c r="W166" s="602"/>
      <c r="X166" s="603"/>
      <c r="Y166" s="603"/>
      <c r="Z166" s="602"/>
      <c r="AA166" s="602"/>
      <c r="AB166" s="603"/>
      <c r="AC166" s="602"/>
      <c r="AD166" s="602"/>
      <c r="AE166" s="603"/>
      <c r="AF166" s="603"/>
      <c r="AG166" s="603"/>
      <c r="AH166" s="599"/>
      <c r="AI166" s="408"/>
      <c r="AJ166" s="408"/>
      <c r="AK166" s="408"/>
    </row>
    <row r="167" spans="1:37" ht="48.75" hidden="1" customHeight="1" outlineLevel="1">
      <c r="B167" s="791" t="s">
        <v>160</v>
      </c>
      <c r="C167" s="792"/>
      <c r="D167" s="792"/>
      <c r="E167" s="792"/>
      <c r="F167" s="792"/>
      <c r="G167" s="376">
        <f>(SUMIF(M75:M151,TRUE,W75:W151)+SUMIF(N75:N151,TRUE,AA75:AA151)-SUMIFS(AD75:AD151,M75:M151,TRUE,N75:N151,TRUE)-SUMIFS(AD92,M92,TRUE,N93,TRUE)-SUMIFS(AD94,M94,TRUE,N95,TRUE)-SUMIFS(AD96,M96,TRUE,N97,TRUE)-SUMIFS(AD98,M98,TRUE,N99,TRUE)-SUMIFS(AD100,M100,TRUE,N101,TRUE)-SUMIFS(AD102,M102,TRUE,N103,TRUE)-SUMIFS(AD110,M110,TRUE,N111,TRUE)-SUMIFS(AD112,M112,TRUE,N113,TRUE)-SUMIFS(AD114,M114,TRUE,N115,TRUE)-SUMIFS(AD133,M133,TRUE,N134,TRUE)-SUMIFS(AD135,M135,TRUE,N136,TRUE)-SUMIFS(AD137,M137,TRUE,N138,TRUE)-SUMIFS(AD139,M139,TRUE,N140,TRUE)-SUMIFS(AD143,M143,TRUE,N144,TRUE))</f>
        <v>0</v>
      </c>
      <c r="H167" s="377" t="e">
        <f>G167/SUM(K75:K151)</f>
        <v>#DIV/0!</v>
      </c>
      <c r="I167" s="829" t="e">
        <f>IF(G161="","",IF(H167&lt;67%,"Error: The FI must cover 67% or more of segments A, B, C, and D","Coverage OK"))</f>
        <v>#DIV/0!</v>
      </c>
      <c r="J167" s="829"/>
      <c r="K167" s="829"/>
      <c r="M167" s="706"/>
      <c r="N167" s="706"/>
      <c r="O167" s="706"/>
    </row>
  </sheetData>
  <sheetProtection algorithmName="SHA-512" hashValue="hVceTrXFIwyehXWoVDrFRCtaz7bxmP0o9rQOlzWmsXIkH0x+Wt3OqhiFCinot3vzqGVUjl+A3vrI5llHs//O6A==" saltValue="ET2Dty6EY+MJwzrkTREgjA==" spinCount="100000" sheet="1" objects="1" scenarios="1" formatCells="0" formatColumns="0" formatRows="0" selectLockedCells="1"/>
  <mergeCells count="574">
    <mergeCell ref="I163:K163"/>
    <mergeCell ref="I167:K167"/>
    <mergeCell ref="U75:U76"/>
    <mergeCell ref="U92:U93"/>
    <mergeCell ref="AF16:AG16"/>
    <mergeCell ref="AG18:AG19"/>
    <mergeCell ref="AG20:AG21"/>
    <mergeCell ref="AG22:AG23"/>
    <mergeCell ref="AG24:AG25"/>
    <mergeCell ref="I139:I140"/>
    <mergeCell ref="I143:I144"/>
    <mergeCell ref="J139:J140"/>
    <mergeCell ref="K112:K113"/>
    <mergeCell ref="K114:K115"/>
    <mergeCell ref="K133:K134"/>
    <mergeCell ref="K135:K136"/>
    <mergeCell ref="K137:K138"/>
    <mergeCell ref="U143:U144"/>
    <mergeCell ref="U137:U138"/>
    <mergeCell ref="V137:V138"/>
    <mergeCell ref="AC137:AC138"/>
    <mergeCell ref="AF137:AF138"/>
    <mergeCell ref="U139:U140"/>
    <mergeCell ref="V139:V140"/>
    <mergeCell ref="B167:F167"/>
    <mergeCell ref="Q16:W16"/>
    <mergeCell ref="Q18:W18"/>
    <mergeCell ref="Y18:AA18"/>
    <mergeCell ref="Y16:AA16"/>
    <mergeCell ref="AC16:AD16"/>
    <mergeCell ref="AC18:AD18"/>
    <mergeCell ref="AD20:AD21"/>
    <mergeCell ref="AD22:AD23"/>
    <mergeCell ref="AD24:AD25"/>
    <mergeCell ref="I52:K52"/>
    <mergeCell ref="I53:K53"/>
    <mergeCell ref="I54:K54"/>
    <mergeCell ref="I58:K58"/>
    <mergeCell ref="I161:K161"/>
    <mergeCell ref="I162:K162"/>
    <mergeCell ref="E141:F141"/>
    <mergeCell ref="E142:F142"/>
    <mergeCell ref="C16:K16"/>
    <mergeCell ref="M16:O16"/>
    <mergeCell ref="C46:F46"/>
    <mergeCell ref="C155:F155"/>
    <mergeCell ref="C71:K71"/>
    <mergeCell ref="M71:O71"/>
    <mergeCell ref="B58:F58"/>
    <mergeCell ref="K110:K111"/>
    <mergeCell ref="J96:J97"/>
    <mergeCell ref="J98:J99"/>
    <mergeCell ref="J100:J101"/>
    <mergeCell ref="J102:J103"/>
    <mergeCell ref="J110:J111"/>
    <mergeCell ref="M73:O73"/>
    <mergeCell ref="J75:J76"/>
    <mergeCell ref="J77:J78"/>
    <mergeCell ref="J79:J80"/>
    <mergeCell ref="J92:J93"/>
    <mergeCell ref="J94:J95"/>
    <mergeCell ref="A73:K73"/>
    <mergeCell ref="K75:K76"/>
    <mergeCell ref="C75:C83"/>
    <mergeCell ref="C74:F74"/>
    <mergeCell ref="D90:D91"/>
    <mergeCell ref="M79:M80"/>
    <mergeCell ref="D64:E64"/>
    <mergeCell ref="D65:E65"/>
    <mergeCell ref="D66:E66"/>
    <mergeCell ref="D77:D80"/>
    <mergeCell ref="D81:F81"/>
    <mergeCell ref="D82:D83"/>
    <mergeCell ref="I110:I111"/>
    <mergeCell ref="I112:I113"/>
    <mergeCell ref="I114:I115"/>
    <mergeCell ref="I133:I134"/>
    <mergeCell ref="I75:I76"/>
    <mergeCell ref="C84:F84"/>
    <mergeCell ref="E85:F85"/>
    <mergeCell ref="C89:C103"/>
    <mergeCell ref="G79:G80"/>
    <mergeCell ref="E77:F78"/>
    <mergeCell ref="E79:F80"/>
    <mergeCell ref="G77:G78"/>
    <mergeCell ref="H77:H78"/>
    <mergeCell ref="C132:C140"/>
    <mergeCell ref="E132:F132"/>
    <mergeCell ref="E137:F138"/>
    <mergeCell ref="E120:F120"/>
    <mergeCell ref="E121:F121"/>
    <mergeCell ref="E122:F122"/>
    <mergeCell ref="G100:G101"/>
    <mergeCell ref="G110:G111"/>
    <mergeCell ref="H110:H111"/>
    <mergeCell ref="I100:I101"/>
    <mergeCell ref="G9:M12"/>
    <mergeCell ref="G64:M67"/>
    <mergeCell ref="A18:K18"/>
    <mergeCell ref="I20:I21"/>
    <mergeCell ref="I22:I23"/>
    <mergeCell ref="I24:I25"/>
    <mergeCell ref="J20:J21"/>
    <mergeCell ref="J22:J23"/>
    <mergeCell ref="J24:J25"/>
    <mergeCell ref="K20:K21"/>
    <mergeCell ref="K22:K23"/>
    <mergeCell ref="K24:K25"/>
    <mergeCell ref="B64:C64"/>
    <mergeCell ref="B65:C65"/>
    <mergeCell ref="B66:C66"/>
    <mergeCell ref="B67:C67"/>
    <mergeCell ref="B43:B47"/>
    <mergeCell ref="C43:F43"/>
    <mergeCell ref="C44:F44"/>
    <mergeCell ref="C45:F45"/>
    <mergeCell ref="C47:F47"/>
    <mergeCell ref="B50:F50"/>
    <mergeCell ref="B51:F51"/>
    <mergeCell ref="B55:F55"/>
    <mergeCell ref="T112:T113"/>
    <mergeCell ref="V143:V144"/>
    <mergeCell ref="AC143:AC144"/>
    <mergeCell ref="AF143:AF144"/>
    <mergeCell ref="A20:A25"/>
    <mergeCell ref="C20:F21"/>
    <mergeCell ref="G20:G21"/>
    <mergeCell ref="H20:H21"/>
    <mergeCell ref="M20:M21"/>
    <mergeCell ref="Q20:Q21"/>
    <mergeCell ref="R20:R21"/>
    <mergeCell ref="S20:S21"/>
    <mergeCell ref="T20:T21"/>
    <mergeCell ref="U20:U21"/>
    <mergeCell ref="V20:V21"/>
    <mergeCell ref="AC20:AC21"/>
    <mergeCell ref="AF20:AF21"/>
    <mergeCell ref="C22:D25"/>
    <mergeCell ref="E24:F25"/>
    <mergeCell ref="E22:F23"/>
    <mergeCell ref="G22:G23"/>
    <mergeCell ref="G143:G144"/>
    <mergeCell ref="D75:F76"/>
    <mergeCell ref="H22:H23"/>
    <mergeCell ref="Q135:Q136"/>
    <mergeCell ref="Q143:Q144"/>
    <mergeCell ref="R143:R144"/>
    <mergeCell ref="S143:S144"/>
    <mergeCell ref="T143:T144"/>
    <mergeCell ref="J143:J144"/>
    <mergeCell ref="T137:T138"/>
    <mergeCell ref="K139:K140"/>
    <mergeCell ref="K143:K144"/>
    <mergeCell ref="Q139:Q140"/>
    <mergeCell ref="R139:R140"/>
    <mergeCell ref="S139:S140"/>
    <mergeCell ref="T139:T140"/>
    <mergeCell ref="J137:J138"/>
    <mergeCell ref="R135:R136"/>
    <mergeCell ref="S135:S136"/>
    <mergeCell ref="AD133:AD134"/>
    <mergeCell ref="AC139:AC140"/>
    <mergeCell ref="AF139:AF140"/>
    <mergeCell ref="Q137:Q138"/>
    <mergeCell ref="R137:R138"/>
    <mergeCell ref="S137:S138"/>
    <mergeCell ref="V133:V134"/>
    <mergeCell ref="AC133:AC134"/>
    <mergeCell ref="AF133:AF134"/>
    <mergeCell ref="T135:T136"/>
    <mergeCell ref="U135:U136"/>
    <mergeCell ref="V135:V136"/>
    <mergeCell ref="AC135:AC136"/>
    <mergeCell ref="AF135:AF136"/>
    <mergeCell ref="Q133:Q134"/>
    <mergeCell ref="R133:R134"/>
    <mergeCell ref="S133:S134"/>
    <mergeCell ref="T133:T134"/>
    <mergeCell ref="U133:U134"/>
    <mergeCell ref="AD135:AD136"/>
    <mergeCell ref="AD137:AD138"/>
    <mergeCell ref="AD139:AD140"/>
    <mergeCell ref="W137:W138"/>
    <mergeCell ref="W139:W140"/>
    <mergeCell ref="U112:U113"/>
    <mergeCell ref="V110:V111"/>
    <mergeCell ref="V112:V113"/>
    <mergeCell ref="AC112:AC113"/>
    <mergeCell ref="W110:W111"/>
    <mergeCell ref="W133:W134"/>
    <mergeCell ref="W135:W136"/>
    <mergeCell ref="AF112:AF113"/>
    <mergeCell ref="Q114:Q115"/>
    <mergeCell ref="R114:R115"/>
    <mergeCell ref="S114:S115"/>
    <mergeCell ref="T114:T115"/>
    <mergeCell ref="U114:U115"/>
    <mergeCell ref="V114:V115"/>
    <mergeCell ref="AC114:AC115"/>
    <mergeCell ref="AF114:AF115"/>
    <mergeCell ref="Q112:Q113"/>
    <mergeCell ref="R112:R113"/>
    <mergeCell ref="S112:S113"/>
    <mergeCell ref="W112:W113"/>
    <mergeCell ref="W114:W115"/>
    <mergeCell ref="AD112:AD113"/>
    <mergeCell ref="AD114:AD115"/>
    <mergeCell ref="AF110:AF111"/>
    <mergeCell ref="M110:M111"/>
    <mergeCell ref="Q110:Q111"/>
    <mergeCell ref="R110:R111"/>
    <mergeCell ref="S110:S111"/>
    <mergeCell ref="T110:T111"/>
    <mergeCell ref="U110:U111"/>
    <mergeCell ref="AC110:AC111"/>
    <mergeCell ref="M102:M103"/>
    <mergeCell ref="Q102:Q103"/>
    <mergeCell ref="R102:R103"/>
    <mergeCell ref="S102:S103"/>
    <mergeCell ref="T102:T103"/>
    <mergeCell ref="U102:U103"/>
    <mergeCell ref="V102:V103"/>
    <mergeCell ref="AC102:AC103"/>
    <mergeCell ref="I102:I103"/>
    <mergeCell ref="K100:K101"/>
    <mergeCell ref="K102:K103"/>
    <mergeCell ref="AF100:AF101"/>
    <mergeCell ref="AF102:AF103"/>
    <mergeCell ref="W100:W101"/>
    <mergeCell ref="W102:W103"/>
    <mergeCell ref="V100:V101"/>
    <mergeCell ref="Q100:Q101"/>
    <mergeCell ref="R100:R101"/>
    <mergeCell ref="S100:S101"/>
    <mergeCell ref="T100:T101"/>
    <mergeCell ref="U100:U101"/>
    <mergeCell ref="AC100:AC101"/>
    <mergeCell ref="Q98:Q99"/>
    <mergeCell ref="R98:R99"/>
    <mergeCell ref="S98:S99"/>
    <mergeCell ref="T98:T99"/>
    <mergeCell ref="U98:U99"/>
    <mergeCell ref="V98:V99"/>
    <mergeCell ref="AC98:AC99"/>
    <mergeCell ref="AF98:AF99"/>
    <mergeCell ref="I96:I97"/>
    <mergeCell ref="I98:I99"/>
    <mergeCell ref="K96:K97"/>
    <mergeCell ref="K98:K99"/>
    <mergeCell ref="W96:W97"/>
    <mergeCell ref="W98:W99"/>
    <mergeCell ref="U96:U97"/>
    <mergeCell ref="V96:V97"/>
    <mergeCell ref="A152:A156"/>
    <mergeCell ref="G75:G76"/>
    <mergeCell ref="H75:H76"/>
    <mergeCell ref="M75:M76"/>
    <mergeCell ref="Q75:Q76"/>
    <mergeCell ref="R75:R76"/>
    <mergeCell ref="S75:S76"/>
    <mergeCell ref="T75:T76"/>
    <mergeCell ref="G92:G93"/>
    <mergeCell ref="H92:H93"/>
    <mergeCell ref="M92:M93"/>
    <mergeCell ref="R92:R93"/>
    <mergeCell ref="S92:S93"/>
    <mergeCell ref="T92:T93"/>
    <mergeCell ref="G96:G97"/>
    <mergeCell ref="H96:H97"/>
    <mergeCell ref="M96:M97"/>
    <mergeCell ref="Q96:Q97"/>
    <mergeCell ref="R96:R97"/>
    <mergeCell ref="S96:S97"/>
    <mergeCell ref="T96:T97"/>
    <mergeCell ref="C141:C142"/>
    <mergeCell ref="G137:G138"/>
    <mergeCell ref="G139:G140"/>
    <mergeCell ref="B166:F166"/>
    <mergeCell ref="B159:F159"/>
    <mergeCell ref="B160:F160"/>
    <mergeCell ref="B161:F161"/>
    <mergeCell ref="B162:F162"/>
    <mergeCell ref="B163:F163"/>
    <mergeCell ref="B152:B156"/>
    <mergeCell ref="C152:F152"/>
    <mergeCell ref="C153:F153"/>
    <mergeCell ref="C154:F154"/>
    <mergeCell ref="C156:F156"/>
    <mergeCell ref="V79:V80"/>
    <mergeCell ref="G112:G113"/>
    <mergeCell ref="G114:G115"/>
    <mergeCell ref="H112:H113"/>
    <mergeCell ref="H114:H115"/>
    <mergeCell ref="M112:M113"/>
    <mergeCell ref="M114:M115"/>
    <mergeCell ref="B164:F164"/>
    <mergeCell ref="B165:F165"/>
    <mergeCell ref="M143:M144"/>
    <mergeCell ref="G133:G134"/>
    <mergeCell ref="H133:H134"/>
    <mergeCell ref="M133:M134"/>
    <mergeCell ref="G135:G136"/>
    <mergeCell ref="H135:H136"/>
    <mergeCell ref="M135:M136"/>
    <mergeCell ref="H143:H144"/>
    <mergeCell ref="I135:I136"/>
    <mergeCell ref="D120:D122"/>
    <mergeCell ref="E147:F147"/>
    <mergeCell ref="G102:G103"/>
    <mergeCell ref="H100:H101"/>
    <mergeCell ref="H102:H103"/>
    <mergeCell ref="M100:M101"/>
    <mergeCell ref="D135:F136"/>
    <mergeCell ref="Q77:Q78"/>
    <mergeCell ref="Q92:Q93"/>
    <mergeCell ref="T94:T95"/>
    <mergeCell ref="U94:U95"/>
    <mergeCell ref="V94:V95"/>
    <mergeCell ref="Q94:Q95"/>
    <mergeCell ref="R94:R95"/>
    <mergeCell ref="S94:S95"/>
    <mergeCell ref="H79:H80"/>
    <mergeCell ref="Q79:Q80"/>
    <mergeCell ref="R79:R80"/>
    <mergeCell ref="S79:S80"/>
    <mergeCell ref="I77:I78"/>
    <mergeCell ref="I79:I80"/>
    <mergeCell ref="I92:I93"/>
    <mergeCell ref="I94:I95"/>
    <mergeCell ref="K77:K78"/>
    <mergeCell ref="K79:K80"/>
    <mergeCell ref="K92:K93"/>
    <mergeCell ref="K94:K95"/>
    <mergeCell ref="M77:M78"/>
    <mergeCell ref="T79:T80"/>
    <mergeCell ref="U79:U80"/>
    <mergeCell ref="D117:D118"/>
    <mergeCell ref="E109:F109"/>
    <mergeCell ref="D94:D97"/>
    <mergeCell ref="E94:F95"/>
    <mergeCell ref="E96:F97"/>
    <mergeCell ref="E100:F101"/>
    <mergeCell ref="D92:F93"/>
    <mergeCell ref="D116:F116"/>
    <mergeCell ref="E118:F118"/>
    <mergeCell ref="D112:D115"/>
    <mergeCell ref="V92:V93"/>
    <mergeCell ref="C119:C122"/>
    <mergeCell ref="D119:F119"/>
    <mergeCell ref="A89:A122"/>
    <mergeCell ref="D143:D144"/>
    <mergeCell ref="E143:F144"/>
    <mergeCell ref="C145:D145"/>
    <mergeCell ref="E145:F145"/>
    <mergeCell ref="G94:G95"/>
    <mergeCell ref="H94:H95"/>
    <mergeCell ref="M94:M95"/>
    <mergeCell ref="M137:M138"/>
    <mergeCell ref="M139:M140"/>
    <mergeCell ref="J112:J113"/>
    <mergeCell ref="J114:J115"/>
    <mergeCell ref="J133:J134"/>
    <mergeCell ref="I137:I138"/>
    <mergeCell ref="G98:G99"/>
    <mergeCell ref="H98:H99"/>
    <mergeCell ref="M98:M99"/>
    <mergeCell ref="H137:H138"/>
    <mergeCell ref="H139:H140"/>
    <mergeCell ref="J135:J136"/>
    <mergeCell ref="A123:A125"/>
    <mergeCell ref="B57:F57"/>
    <mergeCell ref="B75:B83"/>
    <mergeCell ref="C151:D151"/>
    <mergeCell ref="E151:F151"/>
    <mergeCell ref="E131:F131"/>
    <mergeCell ref="E130:F130"/>
    <mergeCell ref="D100:D103"/>
    <mergeCell ref="E102:F103"/>
    <mergeCell ref="D105:D106"/>
    <mergeCell ref="D108:D109"/>
    <mergeCell ref="E105:F105"/>
    <mergeCell ref="E106:F106"/>
    <mergeCell ref="E108:F108"/>
    <mergeCell ref="C126:F126"/>
    <mergeCell ref="C123:F123"/>
    <mergeCell ref="D147:D150"/>
    <mergeCell ref="E82:F82"/>
    <mergeCell ref="E83:F83"/>
    <mergeCell ref="A74:B74"/>
    <mergeCell ref="C143:C144"/>
    <mergeCell ref="E148:F148"/>
    <mergeCell ref="E90:F90"/>
    <mergeCell ref="E91:F91"/>
    <mergeCell ref="E149:F149"/>
    <mergeCell ref="A2:AF2"/>
    <mergeCell ref="A7:AF7"/>
    <mergeCell ref="A62:AF62"/>
    <mergeCell ref="A75:A80"/>
    <mergeCell ref="A4:L4"/>
    <mergeCell ref="AF73:AF74"/>
    <mergeCell ref="AC22:AC23"/>
    <mergeCell ref="AF22:AF23"/>
    <mergeCell ref="Q24:Q25"/>
    <mergeCell ref="R24:R25"/>
    <mergeCell ref="S24:S25"/>
    <mergeCell ref="T24:T25"/>
    <mergeCell ref="U24:U25"/>
    <mergeCell ref="V24:V25"/>
    <mergeCell ref="AF24:AF25"/>
    <mergeCell ref="AC24:AC25"/>
    <mergeCell ref="S22:S23"/>
    <mergeCell ref="T22:T23"/>
    <mergeCell ref="U22:U23"/>
    <mergeCell ref="V22:V23"/>
    <mergeCell ref="AF18:AF19"/>
    <mergeCell ref="E28:F28"/>
    <mergeCell ref="A29:A33"/>
    <mergeCell ref="C29:F29"/>
    <mergeCell ref="Q22:Q23"/>
    <mergeCell ref="R22:R23"/>
    <mergeCell ref="A14:AF14"/>
    <mergeCell ref="C34:F34"/>
    <mergeCell ref="A3:H3"/>
    <mergeCell ref="E36:F36"/>
    <mergeCell ref="A37:A42"/>
    <mergeCell ref="C19:F19"/>
    <mergeCell ref="A26:A28"/>
    <mergeCell ref="C30:D33"/>
    <mergeCell ref="E30:F30"/>
    <mergeCell ref="E31:F31"/>
    <mergeCell ref="E32:F32"/>
    <mergeCell ref="E33:F33"/>
    <mergeCell ref="B20:B28"/>
    <mergeCell ref="B29:B33"/>
    <mergeCell ref="M22:M23"/>
    <mergeCell ref="M24:M25"/>
    <mergeCell ref="M18:O18"/>
    <mergeCell ref="A19:B19"/>
    <mergeCell ref="G24:G25"/>
    <mergeCell ref="H24:H25"/>
    <mergeCell ref="E38:F38"/>
    <mergeCell ref="E39:F39"/>
    <mergeCell ref="E40:F40"/>
    <mergeCell ref="E41:F41"/>
    <mergeCell ref="E42:F42"/>
    <mergeCell ref="B34:B36"/>
    <mergeCell ref="A34:A36"/>
    <mergeCell ref="A1:L1"/>
    <mergeCell ref="C85:D88"/>
    <mergeCell ref="B9:C9"/>
    <mergeCell ref="D9:E9"/>
    <mergeCell ref="B10:C10"/>
    <mergeCell ref="D10:E10"/>
    <mergeCell ref="B11:C11"/>
    <mergeCell ref="D11:E11"/>
    <mergeCell ref="B12:C12"/>
    <mergeCell ref="D12:E12"/>
    <mergeCell ref="B52:F52"/>
    <mergeCell ref="B53:F53"/>
    <mergeCell ref="B54:F54"/>
    <mergeCell ref="A6:AF6"/>
    <mergeCell ref="A61:AF61"/>
    <mergeCell ref="E27:F27"/>
    <mergeCell ref="B37:B42"/>
    <mergeCell ref="E86:F86"/>
    <mergeCell ref="E87:F87"/>
    <mergeCell ref="E88:F88"/>
    <mergeCell ref="A126:A131"/>
    <mergeCell ref="E112:F113"/>
    <mergeCell ref="E114:F115"/>
    <mergeCell ref="E117:F117"/>
    <mergeCell ref="B123:B125"/>
    <mergeCell ref="B126:B151"/>
    <mergeCell ref="E150:F150"/>
    <mergeCell ref="E124:F124"/>
    <mergeCell ref="C127:D131"/>
    <mergeCell ref="E127:F127"/>
    <mergeCell ref="E128:F128"/>
    <mergeCell ref="E129:F129"/>
    <mergeCell ref="C124:D125"/>
    <mergeCell ref="E125:F125"/>
    <mergeCell ref="E139:F140"/>
    <mergeCell ref="D133:D134"/>
    <mergeCell ref="E133:F134"/>
    <mergeCell ref="D137:D140"/>
    <mergeCell ref="C146:C150"/>
    <mergeCell ref="D146:F146"/>
    <mergeCell ref="A132:A151"/>
    <mergeCell ref="D89:F89"/>
    <mergeCell ref="C116:C118"/>
    <mergeCell ref="D67:E67"/>
    <mergeCell ref="A84:A88"/>
    <mergeCell ref="C26:F26"/>
    <mergeCell ref="C27:D28"/>
    <mergeCell ref="A69:AF69"/>
    <mergeCell ref="B84:B122"/>
    <mergeCell ref="A81:A83"/>
    <mergeCell ref="C104:C109"/>
    <mergeCell ref="D104:F104"/>
    <mergeCell ref="D107:F107"/>
    <mergeCell ref="C110:C115"/>
    <mergeCell ref="D110:F111"/>
    <mergeCell ref="D98:F99"/>
    <mergeCell ref="C35:D36"/>
    <mergeCell ref="E35:F35"/>
    <mergeCell ref="AD79:AD80"/>
    <mergeCell ref="AD94:AD95"/>
    <mergeCell ref="AD96:AD97"/>
    <mergeCell ref="AD98:AD99"/>
    <mergeCell ref="AF79:AF80"/>
    <mergeCell ref="A43:A47"/>
    <mergeCell ref="B56:F56"/>
    <mergeCell ref="C37:F37"/>
    <mergeCell ref="C38:D42"/>
    <mergeCell ref="AC94:AC95"/>
    <mergeCell ref="AF94:AF95"/>
    <mergeCell ref="AF96:AF97"/>
    <mergeCell ref="W20:W21"/>
    <mergeCell ref="W22:W23"/>
    <mergeCell ref="W24:W25"/>
    <mergeCell ref="AC75:AC76"/>
    <mergeCell ref="AD92:AD93"/>
    <mergeCell ref="AF75:AF76"/>
    <mergeCell ref="AC77:AC78"/>
    <mergeCell ref="AD75:AD76"/>
    <mergeCell ref="AD77:AD78"/>
    <mergeCell ref="AG75:AG76"/>
    <mergeCell ref="AG77:AG78"/>
    <mergeCell ref="AG79:AG80"/>
    <mergeCell ref="AG92:AG93"/>
    <mergeCell ref="AG94:AG95"/>
    <mergeCell ref="AG96:AG97"/>
    <mergeCell ref="Q73:W73"/>
    <mergeCell ref="W75:W76"/>
    <mergeCell ref="W77:W78"/>
    <mergeCell ref="Y73:AA73"/>
    <mergeCell ref="W79:W80"/>
    <mergeCell ref="W92:W93"/>
    <mergeCell ref="W94:W95"/>
    <mergeCell ref="R77:R78"/>
    <mergeCell ref="S77:S78"/>
    <mergeCell ref="T77:T78"/>
    <mergeCell ref="U77:U78"/>
    <mergeCell ref="V77:V78"/>
    <mergeCell ref="AF77:AF78"/>
    <mergeCell ref="V75:V76"/>
    <mergeCell ref="AC96:AC97"/>
    <mergeCell ref="AC92:AC93"/>
    <mergeCell ref="AF92:AF93"/>
    <mergeCell ref="AC79:AC80"/>
    <mergeCell ref="M52:O58"/>
    <mergeCell ref="M161:O167"/>
    <mergeCell ref="W143:W144"/>
    <mergeCell ref="Q71:W71"/>
    <mergeCell ref="Y71:AA71"/>
    <mergeCell ref="AC71:AD71"/>
    <mergeCell ref="AF71:AG71"/>
    <mergeCell ref="AD143:AD144"/>
    <mergeCell ref="AG98:AG99"/>
    <mergeCell ref="AG100:AG101"/>
    <mergeCell ref="AG102:AG103"/>
    <mergeCell ref="AG110:AG111"/>
    <mergeCell ref="AG112:AG113"/>
    <mergeCell ref="AG114:AG115"/>
    <mergeCell ref="AG133:AG134"/>
    <mergeCell ref="AG135:AG136"/>
    <mergeCell ref="AG137:AG138"/>
    <mergeCell ref="AG139:AG140"/>
    <mergeCell ref="AG143:AG144"/>
    <mergeCell ref="AD100:AD101"/>
    <mergeCell ref="AD102:AD103"/>
    <mergeCell ref="AD110:AD111"/>
    <mergeCell ref="AC73:AD73"/>
    <mergeCell ref="AG73:AG74"/>
  </mergeCells>
  <conditionalFormatting sqref="G20:G21 N20:N21 G26 M26:N26">
    <cfRule type="expression" dxfId="1623" priority="300">
      <formula>$D$9="By sector"</formula>
    </cfRule>
    <cfRule type="expression" dxfId="1622" priority="407">
      <formula>$D$9="By sub-asset class"</formula>
    </cfRule>
  </conditionalFormatting>
  <conditionalFormatting sqref="G20:G28 N20:N28 M26:M28">
    <cfRule type="expression" dxfId="1621" priority="410">
      <formula>$D$9="N/A"</formula>
    </cfRule>
  </conditionalFormatting>
  <conditionalFormatting sqref="G22:G25 N22:N25 G27:G28 M27:N28">
    <cfRule type="expression" dxfId="1620" priority="301">
      <formula>$D$9="By sector"</formula>
    </cfRule>
    <cfRule type="expression" dxfId="1619" priority="345">
      <formula>$D$9="By sub-asset class"</formula>
    </cfRule>
  </conditionalFormatting>
  <conditionalFormatting sqref="G29 M29">
    <cfRule type="expression" dxfId="1618" priority="404">
      <formula>$D$10="All of segment"</formula>
    </cfRule>
    <cfRule type="expression" dxfId="1617" priority="477">
      <formula>$D$10="By sub-asset class"</formula>
    </cfRule>
  </conditionalFormatting>
  <conditionalFormatting sqref="G29:G33 M29:M33">
    <cfRule type="expression" dxfId="1616" priority="478">
      <formula>$D$10="N/A"</formula>
    </cfRule>
  </conditionalFormatting>
  <conditionalFormatting sqref="G30:G33 M30:M33">
    <cfRule type="expression" dxfId="1615" priority="475">
      <formula>$D$10="All of segment"</formula>
    </cfRule>
    <cfRule type="expression" dxfId="1614" priority="476">
      <formula>$D$10="By sub-asset class"</formula>
    </cfRule>
  </conditionalFormatting>
  <conditionalFormatting sqref="G34 M34">
    <cfRule type="expression" dxfId="1613" priority="403">
      <formula>$D$11="All of segment"</formula>
    </cfRule>
    <cfRule type="expression" dxfId="1612" priority="469">
      <formula>$D$11="By sub-asset class"</formula>
    </cfRule>
  </conditionalFormatting>
  <conditionalFormatting sqref="G34:G36 M34:M36">
    <cfRule type="expression" dxfId="1611" priority="470">
      <formula>$D$11="N/A"</formula>
    </cfRule>
  </conditionalFormatting>
  <conditionalFormatting sqref="G35:G36 M35:M36">
    <cfRule type="expression" dxfId="1610" priority="467">
      <formula>$D$11="All of segment"</formula>
    </cfRule>
    <cfRule type="expression" dxfId="1609" priority="468">
      <formula>$D$11="By sub-asset class"</formula>
    </cfRule>
  </conditionalFormatting>
  <conditionalFormatting sqref="G37 M37">
    <cfRule type="expression" dxfId="1608" priority="402">
      <formula>$D$12="All of segment"</formula>
    </cfRule>
    <cfRule type="expression" dxfId="1607" priority="461">
      <formula>$D$12="By sub-asset class"</formula>
    </cfRule>
  </conditionalFormatting>
  <conditionalFormatting sqref="G37:G42 M37:M42">
    <cfRule type="expression" dxfId="1606" priority="462">
      <formula>$D$12="N/A"</formula>
    </cfRule>
  </conditionalFormatting>
  <conditionalFormatting sqref="G38:G42 M38:M42">
    <cfRule type="expression" dxfId="1605" priority="459">
      <formula>$D$12="All of segment"</formula>
    </cfRule>
    <cfRule type="expression" dxfId="1604" priority="460">
      <formula>$D$12="By sub-asset class"</formula>
    </cfRule>
  </conditionalFormatting>
  <conditionalFormatting sqref="G75:G76 I75:J76 N75:N76 G81 I81:J81 M81:N81">
    <cfRule type="expression" dxfId="1603" priority="20">
      <formula>$D$64="By sector"</formula>
    </cfRule>
    <cfRule type="expression" dxfId="1602" priority="21">
      <formula>$D$64="By sub-asset class"</formula>
    </cfRule>
  </conditionalFormatting>
  <conditionalFormatting sqref="G75:G80 N75:N83">
    <cfRule type="expression" dxfId="1601" priority="299">
      <formula>$D$64="Climate-alignment only"</formula>
    </cfRule>
  </conditionalFormatting>
  <conditionalFormatting sqref="G75:G83 I75:J83 N75:N83 M81:M83">
    <cfRule type="expression" dxfId="1600" priority="110">
      <formula>$D$64="N/A"</formula>
    </cfRule>
  </conditionalFormatting>
  <conditionalFormatting sqref="G75:G83 N75:N83">
    <cfRule type="expression" dxfId="1599" priority="361">
      <formula>$D$64="Sector only"</formula>
    </cfRule>
  </conditionalFormatting>
  <conditionalFormatting sqref="G77:G80 I77:J80 N77:N80 G82:G83 I82:J83 M82:N83">
    <cfRule type="expression" dxfId="1598" priority="18">
      <formula>$D$64="By sector"</formula>
    </cfRule>
    <cfRule type="expression" dxfId="1597" priority="19">
      <formula>$D$64="By sub-asset class"</formula>
    </cfRule>
  </conditionalFormatting>
  <conditionalFormatting sqref="G77:G80 N77:N80">
    <cfRule type="expression" dxfId="1596" priority="297">
      <formula>$G$75&gt;0</formula>
    </cfRule>
  </conditionalFormatting>
  <conditionalFormatting sqref="G81 I81:J81 M81:N81">
    <cfRule type="expression" dxfId="1595" priority="43">
      <formula>$G$82&gt;0</formula>
    </cfRule>
    <cfRule type="expression" dxfId="1594" priority="44">
      <formula>$G$83&gt;0</formula>
    </cfRule>
  </conditionalFormatting>
  <conditionalFormatting sqref="G81:G83 M81:M83">
    <cfRule type="expression" dxfId="1593" priority="296">
      <formula>$D$64="Climate-alignment only"</formula>
    </cfRule>
  </conditionalFormatting>
  <conditionalFormatting sqref="G82:G83 M82:N83">
    <cfRule type="expression" dxfId="1592" priority="111">
      <formula>$G$81&gt;0</formula>
    </cfRule>
  </conditionalFormatting>
  <conditionalFormatting sqref="G84 I84:J84 M84">
    <cfRule type="expression" dxfId="1591" priority="38">
      <formula>$D$65="All of segment"</formula>
    </cfRule>
    <cfRule type="expression" dxfId="1590" priority="39">
      <formula>$D$65="By sub-asset class"</formula>
    </cfRule>
    <cfRule type="expression" dxfId="1589" priority="40">
      <formula>$D$65="By sector"</formula>
    </cfRule>
  </conditionalFormatting>
  <conditionalFormatting sqref="G84 M84">
    <cfRule type="expression" dxfId="1588" priority="664">
      <formula>$D$65="Both climate-alignment and sector"</formula>
    </cfRule>
  </conditionalFormatting>
  <conditionalFormatting sqref="G84:G88 M84:M122">
    <cfRule type="expression" dxfId="1587" priority="344">
      <formula>$D$65="Sector only"</formula>
    </cfRule>
  </conditionalFormatting>
  <conditionalFormatting sqref="G84:G89 M84:M89 G92:G93 I92:J93 M92:M93 G98:G99 I98:J99 M98:M99 G104 I104:J104 M104 G107 I107:J107 M107 G110:G111 I110:J111 M110:M111 G116 I116:J116 M116 G119 I119:J119 M119">
    <cfRule type="expression" dxfId="1586" priority="342">
      <formula>$D$65="Climate-alignment only"</formula>
    </cfRule>
  </conditionalFormatting>
  <conditionalFormatting sqref="G84:G122 I84:J122 M84:M122 N89:N122">
    <cfRule type="expression" dxfId="1585" priority="335">
      <formula>$D$65="N/A"</formula>
    </cfRule>
  </conditionalFormatting>
  <conditionalFormatting sqref="G85:G88 I85:J88 M85:M88">
    <cfRule type="expression" dxfId="1584" priority="36">
      <formula>$D$65="By sub-asset class"</formula>
    </cfRule>
    <cfRule type="expression" dxfId="1583" priority="37">
      <formula>$D$65="By sector"</formula>
    </cfRule>
  </conditionalFormatting>
  <conditionalFormatting sqref="G85:G122 I85:J122 M85:N122">
    <cfRule type="expression" dxfId="1582" priority="336">
      <formula>$G$84&gt;0</formula>
    </cfRule>
  </conditionalFormatting>
  <conditionalFormatting sqref="G85:G122 M85:M122 N89:N122">
    <cfRule type="expression" dxfId="1581" priority="343">
      <formula>$D$65="Both climate-alignment and sector"</formula>
    </cfRule>
  </conditionalFormatting>
  <conditionalFormatting sqref="G89 I89:J89 M89:N89">
    <cfRule type="expression" dxfId="1580" priority="31">
      <formula>$G$90&gt;0</formula>
    </cfRule>
    <cfRule type="expression" dxfId="1579" priority="32">
      <formula>$G$91&gt;0</formula>
    </cfRule>
  </conditionalFormatting>
  <conditionalFormatting sqref="G89:G122 I89:J122 M89:N122">
    <cfRule type="expression" dxfId="1578" priority="333">
      <formula>$D$65="By sector"</formula>
    </cfRule>
  </conditionalFormatting>
  <conditionalFormatting sqref="G89:G122 N89:N122">
    <cfRule type="expression" dxfId="1577" priority="341">
      <formula>$D$65="Sector only"</formula>
    </cfRule>
  </conditionalFormatting>
  <conditionalFormatting sqref="G90:G91 I90:J91 M90:N91">
    <cfRule type="expression" dxfId="1576" priority="33">
      <formula>$G$89&gt;0</formula>
    </cfRule>
  </conditionalFormatting>
  <conditionalFormatting sqref="G92 I92:J92 M92 N92:N93">
    <cfRule type="expression" dxfId="1575" priority="42">
      <formula>$G$94&gt;0</formula>
    </cfRule>
    <cfRule type="expression" dxfId="1574" priority="106">
      <formula>$G$96&gt;0</formula>
    </cfRule>
  </conditionalFormatting>
  <conditionalFormatting sqref="G94:G97 I94:J97 M94:N97">
    <cfRule type="expression" dxfId="1573" priority="107">
      <formula>$G$92&gt;0</formula>
    </cfRule>
  </conditionalFormatting>
  <conditionalFormatting sqref="G98 I98:J98 M98 N98:N99">
    <cfRule type="expression" dxfId="1572" priority="104">
      <formula>$G$100&gt;0</formula>
    </cfRule>
    <cfRule type="expression" dxfId="1571" priority="105">
      <formula>$G$102&gt;0</formula>
    </cfRule>
  </conditionalFormatting>
  <conditionalFormatting sqref="G100:G103 I100:J103 M100:N103">
    <cfRule type="expression" dxfId="1570" priority="108">
      <formula>$G$98&gt;0</formula>
    </cfRule>
  </conditionalFormatting>
  <conditionalFormatting sqref="G104 I104:J104 M104:N104">
    <cfRule type="expression" dxfId="1569" priority="102">
      <formula>$G$105&gt;0</formula>
    </cfRule>
    <cfRule type="expression" dxfId="1568" priority="103">
      <formula>$G$106&gt;0</formula>
    </cfRule>
  </conditionalFormatting>
  <conditionalFormatting sqref="G105:G106 I105:J106 M105:N106">
    <cfRule type="expression" dxfId="1567" priority="109">
      <formula>$G$104&gt;0</formula>
    </cfRule>
  </conditionalFormatting>
  <conditionalFormatting sqref="G107 I107:J107 M107:N107">
    <cfRule type="expression" dxfId="1566" priority="100">
      <formula>$G$108&gt;0</formula>
    </cfRule>
    <cfRule type="expression" dxfId="1565" priority="101">
      <formula>$G$109&gt;0</formula>
    </cfRule>
  </conditionalFormatting>
  <conditionalFormatting sqref="G110 I110:J110 M110 N110:N111">
    <cfRule type="expression" dxfId="1564" priority="98">
      <formula>$G$112&gt;0</formula>
    </cfRule>
    <cfRule type="expression" dxfId="1563" priority="99">
      <formula>$G$114&gt;0</formula>
    </cfRule>
  </conditionalFormatting>
  <conditionalFormatting sqref="G116 I116:J116 M116:N116">
    <cfRule type="expression" dxfId="1562" priority="96">
      <formula>$G$117&gt;0</formula>
    </cfRule>
    <cfRule type="expression" dxfId="1561" priority="97">
      <formula>$G$118&gt;0</formula>
    </cfRule>
  </conditionalFormatting>
  <conditionalFormatting sqref="G119 I119:J119 M119:N119">
    <cfRule type="expression" dxfId="1560" priority="93">
      <formula>$G$120&gt;0</formula>
    </cfRule>
    <cfRule type="expression" dxfId="1559" priority="94">
      <formula>$G$121&gt;0</formula>
    </cfRule>
    <cfRule type="expression" dxfId="1558" priority="95">
      <formula>$G$122&gt;0</formula>
    </cfRule>
  </conditionalFormatting>
  <conditionalFormatting sqref="G123 I123:J123 M123">
    <cfRule type="expression" dxfId="1557" priority="323">
      <formula>$D$66="By sub-asset class"</formula>
    </cfRule>
  </conditionalFormatting>
  <conditionalFormatting sqref="G123:G125 I123:J125 M123:M125">
    <cfRule type="expression" dxfId="1556" priority="324">
      <formula>$D$66="N/A"</formula>
    </cfRule>
  </conditionalFormatting>
  <conditionalFormatting sqref="G124:G125 I124:J125 M124:M125">
    <cfRule type="expression" dxfId="1555" priority="322">
      <formula>$D$66="By sub-asset class"</formula>
    </cfRule>
  </conditionalFormatting>
  <conditionalFormatting sqref="G126 I126:J126 M126">
    <cfRule type="expression" dxfId="1554" priority="28">
      <formula>$D$67="All of segment"</formula>
    </cfRule>
    <cfRule type="expression" dxfId="1553" priority="29">
      <formula>$D$67="By sub-asset class"</formula>
    </cfRule>
    <cfRule type="expression" dxfId="1552" priority="30">
      <formula>$D$67="By sector"</formula>
    </cfRule>
  </conditionalFormatting>
  <conditionalFormatting sqref="G126 I126:J126">
    <cfRule type="expression" dxfId="1551" priority="27">
      <formula>$D$67="N/A"</formula>
    </cfRule>
  </conditionalFormatting>
  <conditionalFormatting sqref="G126 M126">
    <cfRule type="expression" dxfId="1550" priority="319">
      <formula>$D$67="Both climate-alignment and sector"</formula>
    </cfRule>
  </conditionalFormatting>
  <conditionalFormatting sqref="G126:G131 M126:M151 G151 I151:J151">
    <cfRule type="expression" dxfId="1549" priority="317">
      <formula>$D$67="Sector only"</formula>
    </cfRule>
  </conditionalFormatting>
  <conditionalFormatting sqref="G126:G136 M126:M136 G141:G146 M141:M146 G151 M151 I141:J146 I151:J151">
    <cfRule type="expression" dxfId="1548" priority="313">
      <formula>$D$67="Climate-alignment only"</formula>
    </cfRule>
  </conditionalFormatting>
  <conditionalFormatting sqref="G127:G131 I127:J131 M127:M131">
    <cfRule type="expression" dxfId="1547" priority="25">
      <formula>$D$67="By sub-asset class"</formula>
    </cfRule>
    <cfRule type="expression" dxfId="1546" priority="26">
      <formula>$D$67="By sector"</formula>
    </cfRule>
  </conditionalFormatting>
  <conditionalFormatting sqref="G127:G151 I127:J151 M127:M151">
    <cfRule type="expression" dxfId="1545" priority="17">
      <formula>$D$67="All of segment"</formula>
    </cfRule>
  </conditionalFormatting>
  <conditionalFormatting sqref="G127:G151 M127:M151 N132:N150">
    <cfRule type="expression" dxfId="1544" priority="315">
      <formula>$D$67="Both climate-alignment and sector"</formula>
    </cfRule>
  </conditionalFormatting>
  <conditionalFormatting sqref="G127:G151 M127:N151">
    <cfRule type="expression" dxfId="1543" priority="311">
      <formula>$G$126&gt;0</formula>
    </cfRule>
  </conditionalFormatting>
  <conditionalFormatting sqref="G132:G150 N132:N150">
    <cfRule type="expression" dxfId="1542" priority="314">
      <formula>$D$67="Sector only"</formula>
    </cfRule>
  </conditionalFormatting>
  <conditionalFormatting sqref="G135 I135:J135 M135 N135:N136">
    <cfRule type="expression" dxfId="1541" priority="22">
      <formula>$G$137&gt;0</formula>
    </cfRule>
    <cfRule type="expression" dxfId="1540" priority="23">
      <formula>$G$139&gt;0</formula>
    </cfRule>
  </conditionalFormatting>
  <conditionalFormatting sqref="G137:G140 I137:J140 M137:N140">
    <cfRule type="expression" dxfId="1539" priority="24">
      <formula>$G$135&gt;0</formula>
    </cfRule>
  </conditionalFormatting>
  <conditionalFormatting sqref="G146 I146:J146 M146:N146">
    <cfRule type="expression" dxfId="1538" priority="87">
      <formula>$G$147&gt;0</formula>
    </cfRule>
    <cfRule type="expression" dxfId="1537" priority="88">
      <formula>$G$148&gt;0</formula>
    </cfRule>
    <cfRule type="expression" dxfId="1536" priority="89">
      <formula>$G$149&gt;0</formula>
    </cfRule>
    <cfRule type="expression" dxfId="1535" priority="90">
      <formula>$G$150&gt;0</formula>
    </cfRule>
  </conditionalFormatting>
  <conditionalFormatting sqref="G147:G150 I147:J150 M147:N150">
    <cfRule type="expression" dxfId="1534" priority="91">
      <formula>$G$146&gt;0</formula>
    </cfRule>
  </conditionalFormatting>
  <conditionalFormatting sqref="I52:I54 I58 I161:I163 I167">
    <cfRule type="containsText" dxfId="1533" priority="785" operator="containsText" text="OK">
      <formula>NOT(ISERROR(SEARCH("OK",I52)))</formula>
    </cfRule>
    <cfRule type="containsText" dxfId="1532" priority="786" operator="containsText" text="Error">
      <formula>NOT(ISERROR(SEARCH("Error",I52)))</formula>
    </cfRule>
  </conditionalFormatting>
  <conditionalFormatting sqref="I20:J21 I26:J26">
    <cfRule type="expression" dxfId="1531" priority="255" stopIfTrue="1">
      <formula>$D$9="By sector"</formula>
    </cfRule>
    <cfRule type="expression" dxfId="1530" priority="261">
      <formula>$D$9="By sub-asset class"</formula>
    </cfRule>
  </conditionalFormatting>
  <conditionalFormatting sqref="I20:J28">
    <cfRule type="expression" dxfId="1529" priority="262">
      <formula>$D$9="N/A"</formula>
    </cfRule>
  </conditionalFormatting>
  <conditionalFormatting sqref="I22:J25 I27:J28">
    <cfRule type="expression" dxfId="1528" priority="256" stopIfTrue="1">
      <formula>$D$9="By sector"</formula>
    </cfRule>
    <cfRule type="expression" dxfId="1527" priority="257">
      <formula>$D$9="By sub-asset class"</formula>
    </cfRule>
  </conditionalFormatting>
  <conditionalFormatting sqref="I29:J29">
    <cfRule type="expression" dxfId="1526" priority="260">
      <formula>$D$10="All of segment"</formula>
    </cfRule>
    <cfRule type="expression" dxfId="1525" priority="273">
      <formula>$D$10="By sub-asset class"</formula>
    </cfRule>
  </conditionalFormatting>
  <conditionalFormatting sqref="I29:J33">
    <cfRule type="expression" dxfId="1524" priority="274">
      <formula>$D$10="N/A"</formula>
    </cfRule>
  </conditionalFormatting>
  <conditionalFormatting sqref="I30:J33">
    <cfRule type="expression" dxfId="1523" priority="271">
      <formula>$D$10="All of segment"</formula>
    </cfRule>
    <cfRule type="expression" dxfId="1522" priority="272">
      <formula>$D$10="By sub-asset class"</formula>
    </cfRule>
  </conditionalFormatting>
  <conditionalFormatting sqref="I34:J34">
    <cfRule type="expression" dxfId="1521" priority="259">
      <formula>$D$11="All of segment"</formula>
    </cfRule>
    <cfRule type="expression" dxfId="1520" priority="269">
      <formula>$D$11="By sub-asset class"</formula>
    </cfRule>
  </conditionalFormatting>
  <conditionalFormatting sqref="I34:J36">
    <cfRule type="expression" dxfId="1519" priority="270">
      <formula>$D$11="N/A"</formula>
    </cfRule>
  </conditionalFormatting>
  <conditionalFormatting sqref="I35:J36">
    <cfRule type="expression" dxfId="1518" priority="267">
      <formula>$D$11="All of segment"</formula>
    </cfRule>
    <cfRule type="expression" dxfId="1517" priority="268">
      <formula>$D$11="By sub-asset class"</formula>
    </cfRule>
  </conditionalFormatting>
  <conditionalFormatting sqref="I37:J37">
    <cfRule type="expression" dxfId="1516" priority="258">
      <formula>$D$12="All of segment"</formula>
    </cfRule>
    <cfRule type="expression" dxfId="1515" priority="265">
      <formula>$D$12="By sub-asset class"</formula>
    </cfRule>
  </conditionalFormatting>
  <conditionalFormatting sqref="I37:J42">
    <cfRule type="expression" dxfId="1514" priority="266">
      <formula>$D$12="N/A"</formula>
    </cfRule>
  </conditionalFormatting>
  <conditionalFormatting sqref="I38:J42">
    <cfRule type="expression" dxfId="1513" priority="263">
      <formula>$D$12="All of segment"</formula>
    </cfRule>
    <cfRule type="expression" dxfId="1512" priority="264">
      <formula>$D$12="By sub-asset class"</formula>
    </cfRule>
  </conditionalFormatting>
  <conditionalFormatting sqref="I75:J80">
    <cfRule type="expression" dxfId="1511" priority="183">
      <formula>$D$64="Climate-alignment only"</formula>
    </cfRule>
  </conditionalFormatting>
  <conditionalFormatting sqref="I75:J83">
    <cfRule type="expression" dxfId="1510" priority="208">
      <formula>$D$64="Sector only"</formula>
    </cfRule>
    <cfRule type="expression" dxfId="1509" priority="214">
      <formula>$D$64="Both climate-alignment and sector"</formula>
    </cfRule>
    <cfRule type="expression" dxfId="1508" priority="215">
      <formula>$D$64="N/A"</formula>
    </cfRule>
  </conditionalFormatting>
  <conditionalFormatting sqref="I77:J80">
    <cfRule type="expression" dxfId="1507" priority="180">
      <formula>$G$75&gt;0</formula>
    </cfRule>
  </conditionalFormatting>
  <conditionalFormatting sqref="I81:J83">
    <cfRule type="expression" dxfId="1506" priority="182">
      <formula>$D$64="Climate-alignment only"</formula>
    </cfRule>
  </conditionalFormatting>
  <conditionalFormatting sqref="I82:J83">
    <cfRule type="expression" dxfId="1505" priority="181">
      <formula>$G$81&gt;0</formula>
    </cfRule>
  </conditionalFormatting>
  <conditionalFormatting sqref="I84:J84">
    <cfRule type="expression" dxfId="1504" priority="213">
      <formula>$D$65="Both climate-alignment and sector"</formula>
    </cfRule>
  </conditionalFormatting>
  <conditionalFormatting sqref="I84:J88">
    <cfRule type="expression" dxfId="1503" priority="211">
      <formula>$D$65="Sector only"</formula>
    </cfRule>
  </conditionalFormatting>
  <conditionalFormatting sqref="I84:J89">
    <cfRule type="expression" dxfId="1502" priority="207">
      <formula>$D$65="Climate-alignment only"</formula>
    </cfRule>
  </conditionalFormatting>
  <conditionalFormatting sqref="I84:J122">
    <cfRule type="expression" dxfId="1501" priority="216">
      <formula>$D$65="N/A"</formula>
    </cfRule>
  </conditionalFormatting>
  <conditionalFormatting sqref="I85:J88 M85:M88 G85:G122">
    <cfRule type="expression" dxfId="1500" priority="34">
      <formula>$D$65="All of segment"</formula>
    </cfRule>
  </conditionalFormatting>
  <conditionalFormatting sqref="I85:J122">
    <cfRule type="expression" dxfId="1499" priority="212">
      <formula>$D$65="Both climate-alignment and sector"</formula>
    </cfRule>
  </conditionalFormatting>
  <conditionalFormatting sqref="I89:J122 G89:G122 M89:N122">
    <cfRule type="expression" dxfId="1498" priority="331">
      <formula>$D$65="By sub-asset class"</formula>
    </cfRule>
  </conditionalFormatting>
  <conditionalFormatting sqref="I89:J122 M89:N122">
    <cfRule type="expression" dxfId="1497" priority="330">
      <formula>$D$65="All of segment"</formula>
    </cfRule>
  </conditionalFormatting>
  <conditionalFormatting sqref="I89:J122">
    <cfRule type="expression" dxfId="1496" priority="210">
      <formula>$D$65="Sector only"</formula>
    </cfRule>
  </conditionalFormatting>
  <conditionalFormatting sqref="I90:J91">
    <cfRule type="expression" dxfId="1495" priority="209">
      <formula>$D$65="Climate-alignment only"</formula>
    </cfRule>
  </conditionalFormatting>
  <conditionalFormatting sqref="I108:J109 G108:G109 M108:N109">
    <cfRule type="expression" dxfId="1494" priority="325">
      <formula>$G$107&gt;0</formula>
    </cfRule>
  </conditionalFormatting>
  <conditionalFormatting sqref="I108:J109">
    <cfRule type="expression" dxfId="1493" priority="203">
      <formula>$G$107&gt;0</formula>
    </cfRule>
  </conditionalFormatting>
  <conditionalFormatting sqref="I112:J115 G112:G115 M112:N115">
    <cfRule type="expression" dxfId="1492" priority="326">
      <formula>$G$110&gt;0</formula>
    </cfRule>
  </conditionalFormatting>
  <conditionalFormatting sqref="I112:J115">
    <cfRule type="expression" dxfId="1491" priority="204">
      <formula>$G$110&gt;0</formula>
    </cfRule>
  </conditionalFormatting>
  <conditionalFormatting sqref="I117:J118 G117:G118 M117:N118">
    <cfRule type="expression" dxfId="1490" priority="327">
      <formula>$G$116&gt;0</formula>
    </cfRule>
  </conditionalFormatting>
  <conditionalFormatting sqref="I117:J118">
    <cfRule type="expression" dxfId="1489" priority="205">
      <formula>$G$116&gt;0</formula>
    </cfRule>
  </conditionalFormatting>
  <conditionalFormatting sqref="I120:J122 G120:G122 M120:N122">
    <cfRule type="expression" dxfId="1488" priority="329">
      <formula>$G$119&gt;0</formula>
    </cfRule>
  </conditionalFormatting>
  <conditionalFormatting sqref="I120:J122">
    <cfRule type="expression" dxfId="1487" priority="206">
      <formula>$G$119&gt;0</formula>
    </cfRule>
  </conditionalFormatting>
  <conditionalFormatting sqref="I123:J123 G123 M123">
    <cfRule type="expression" dxfId="1486" priority="320">
      <formula>$D$66="All of segment"</formula>
    </cfRule>
  </conditionalFormatting>
  <conditionalFormatting sqref="I123:J123">
    <cfRule type="expression" dxfId="1485" priority="194">
      <formula>$D$66="All of segment"</formula>
    </cfRule>
    <cfRule type="expression" dxfId="1484" priority="197">
      <formula>$D$66="By sub-asset class"</formula>
    </cfRule>
  </conditionalFormatting>
  <conditionalFormatting sqref="I123:J125">
    <cfRule type="expression" dxfId="1483" priority="198">
      <formula>$D$66="N/A"</formula>
    </cfRule>
  </conditionalFormatting>
  <conditionalFormatting sqref="I124:J125 G124:G125 M124:M125">
    <cfRule type="expression" dxfId="1482" priority="321">
      <formula>$D$66="All of segment"</formula>
    </cfRule>
  </conditionalFormatting>
  <conditionalFormatting sqref="I124:J125">
    <cfRule type="expression" dxfId="1481" priority="195">
      <formula>$D$66="All of segment"</formula>
    </cfRule>
    <cfRule type="expression" dxfId="1480" priority="196">
      <formula>$D$66="By sub-asset class"</formula>
    </cfRule>
  </conditionalFormatting>
  <conditionalFormatting sqref="I126:J126">
    <cfRule type="expression" dxfId="1479" priority="192">
      <formula>$D$67="Both climate-alignment and sector"</formula>
    </cfRule>
  </conditionalFormatting>
  <conditionalFormatting sqref="I126:J131">
    <cfRule type="expression" dxfId="1478" priority="190">
      <formula>$D$67="Sector only"</formula>
    </cfRule>
  </conditionalFormatting>
  <conditionalFormatting sqref="I126:J136">
    <cfRule type="expression" dxfId="1477" priority="189">
      <formula>$D$67="Climate-alignment only"</formula>
    </cfRule>
  </conditionalFormatting>
  <conditionalFormatting sqref="I126:J151">
    <cfRule type="expression" dxfId="1476" priority="306">
      <formula>$D$67="N/A"</formula>
    </cfRule>
  </conditionalFormatting>
  <conditionalFormatting sqref="I127:J151">
    <cfRule type="expression" dxfId="1475" priority="184">
      <formula>$G$126&gt;0</formula>
    </cfRule>
    <cfRule type="expression" dxfId="1474" priority="193">
      <formula>$D$67="Both climate-alignment and sector"</formula>
    </cfRule>
  </conditionalFormatting>
  <conditionalFormatting sqref="I132:J150">
    <cfRule type="expression" dxfId="1473" priority="191">
      <formula>$D$67="Sector only"</formula>
    </cfRule>
  </conditionalFormatting>
  <conditionalFormatting sqref="I132:J151 N132:N150 G132:G151 M132:M151">
    <cfRule type="expression" dxfId="1472" priority="307">
      <formula>$D$67="By sector"</formula>
    </cfRule>
  </conditionalFormatting>
  <conditionalFormatting sqref="I137:J140">
    <cfRule type="expression" dxfId="1471" priority="188">
      <formula>$D$67="Climate-alignment only"</formula>
    </cfRule>
  </conditionalFormatting>
  <conditionalFormatting sqref="M81:M83 G75:G83 N75:N83">
    <cfRule type="expression" dxfId="1470" priority="362">
      <formula>$D$64="Both climate-alignment and sector"</formula>
    </cfRule>
  </conditionalFormatting>
  <conditionalFormatting sqref="M81:M83">
    <cfRule type="expression" dxfId="1469" priority="338">
      <formula>$D$64="Sector only"</formula>
    </cfRule>
  </conditionalFormatting>
  <conditionalFormatting sqref="M126:M151 G127:G151 I127:J151 N132:N150">
    <cfRule type="expression" dxfId="1468" priority="309">
      <formula>$D$67="N/A"</formula>
    </cfRule>
  </conditionalFormatting>
  <conditionalFormatting sqref="N89:N122 G90:G91 M90:M91 G94:G97 I94:J97 M94:M97 G100:G103 I100:J103 M100:M103 G105:G106 I105:J106 M105:M106 G108:G109 I108:J109 M108:M109 G112:G115 I112:J115 M112:M115 G117:G118 I117:J118 M117:M118 G120:G122 I120:J122 M120:M122">
    <cfRule type="expression" dxfId="1467" priority="339">
      <formula>$D$65="Climate-alignment only"</formula>
    </cfRule>
  </conditionalFormatting>
  <conditionalFormatting sqref="N132:N150 G132:G151 I132:J151 M132:M151">
    <cfRule type="expression" dxfId="1466" priority="187">
      <formula>$D$67="By sub-asset class"</formula>
    </cfRule>
  </conditionalFormatting>
  <conditionalFormatting sqref="N132:N150 G137:G140 M137:M140 G147:G150 I147:J150 M147:M150">
    <cfRule type="expression" dxfId="1465" priority="312">
      <formula>$D$67="Climate-alignment only"</formula>
    </cfRule>
  </conditionalFormatting>
  <conditionalFormatting sqref="N132:N150">
    <cfRule type="expression" dxfId="1464" priority="92">
      <formula>$D$67="All of segment"</formula>
    </cfRule>
  </conditionalFormatting>
  <conditionalFormatting sqref="O20:O42 O75:O151">
    <cfRule type="expression" dxfId="1463" priority="83">
      <formula>M20=TRUE</formula>
    </cfRule>
    <cfRule type="expression" dxfId="1462" priority="84">
      <formula>N20=TRUE</formula>
    </cfRule>
  </conditionalFormatting>
  <conditionalFormatting sqref="O75:O151 O20:O42">
    <cfRule type="expression" dxfId="1461" priority="380">
      <formula>AND(M20=FALSE,N20=FALSE)</formula>
    </cfRule>
  </conditionalFormatting>
  <conditionalFormatting sqref="O92:O103 O110:O115 O133:O140 O143:O144">
    <cfRule type="expression" dxfId="1460" priority="379">
      <formula>N93=TRUE</formula>
    </cfRule>
  </conditionalFormatting>
  <conditionalFormatting sqref="Q34:Q42">
    <cfRule type="expression" dxfId="1459" priority="64">
      <formula>G34&gt;0</formula>
    </cfRule>
  </conditionalFormatting>
  <conditionalFormatting sqref="Q123:Q151">
    <cfRule type="expression" dxfId="1458" priority="54">
      <formula>G123&gt;0</formula>
    </cfRule>
  </conditionalFormatting>
  <conditionalFormatting sqref="R20:R42">
    <cfRule type="expression" dxfId="1457" priority="1">
      <formula>G20&gt;0</formula>
    </cfRule>
  </conditionalFormatting>
  <conditionalFormatting sqref="R75:R151">
    <cfRule type="expression" dxfId="1456" priority="13">
      <formula>G75&gt;0</formula>
    </cfRule>
  </conditionalFormatting>
  <conditionalFormatting sqref="S20:S42">
    <cfRule type="expression" dxfId="1455" priority="2">
      <formula>G20&gt;0</formula>
    </cfRule>
  </conditionalFormatting>
  <conditionalFormatting sqref="S75:S151">
    <cfRule type="expression" dxfId="1454" priority="14">
      <formula>G75&gt;0</formula>
    </cfRule>
  </conditionalFormatting>
  <conditionalFormatting sqref="T20:T42">
    <cfRule type="expression" dxfId="1453" priority="3">
      <formula>G20&gt;0</formula>
    </cfRule>
  </conditionalFormatting>
  <conditionalFormatting sqref="T75:T151">
    <cfRule type="expression" dxfId="1452" priority="15">
      <formula>G75&gt;0</formula>
    </cfRule>
  </conditionalFormatting>
  <conditionalFormatting sqref="U20:U42">
    <cfRule type="expression" dxfId="1451" priority="4">
      <formula>G20&gt;0</formula>
    </cfRule>
  </conditionalFormatting>
  <conditionalFormatting sqref="U75:U151">
    <cfRule type="expression" dxfId="1450" priority="16">
      <formula>G75&gt;0</formula>
    </cfRule>
  </conditionalFormatting>
  <conditionalFormatting sqref="W26:W42">
    <cfRule type="expression" dxfId="1449" priority="63">
      <formula>M26=TRUE</formula>
    </cfRule>
    <cfRule type="expression" dxfId="1448" priority="73">
      <formula>M26=FALSE</formula>
    </cfRule>
  </conditionalFormatting>
  <conditionalFormatting sqref="W81:W151">
    <cfRule type="expression" dxfId="1447" priority="46">
      <formula>M81=TRUE</formula>
    </cfRule>
    <cfRule type="expression" dxfId="1446" priority="47">
      <formula>M81=FALSE</formula>
    </cfRule>
  </conditionalFormatting>
  <conditionalFormatting sqref="Z20:Z28 Z75:Z83 Z89:Z122 Z132:Z150">
    <cfRule type="expression" dxfId="1445" priority="82">
      <formula>N20=TRUE</formula>
    </cfRule>
    <cfRule type="expression" dxfId="1444" priority="421">
      <formula>N20=FALSE</formula>
    </cfRule>
  </conditionalFormatting>
  <conditionalFormatting sqref="AA20:AA28">
    <cfRule type="expression" dxfId="1443" priority="81">
      <formula>N20=TRUE</formula>
    </cfRule>
    <cfRule type="expression" dxfId="1442" priority="420">
      <formula>N20=FALSE</formula>
    </cfRule>
  </conditionalFormatting>
  <conditionalFormatting sqref="AA75:AA83 AA89:AA122 AA132:AA150">
    <cfRule type="expression" dxfId="1441" priority="79">
      <formula>N75=TRUE</formula>
    </cfRule>
    <cfRule type="expression" dxfId="1440" priority="80">
      <formula>N75=FALSE</formula>
    </cfRule>
  </conditionalFormatting>
  <conditionalFormatting sqref="AC26:AC28 AC81:AC83 AC89:AC122 AC132:AC150">
    <cfRule type="expression" dxfId="1439" priority="78">
      <formula>AND(M26=TRUE,N26=TRUE)</formula>
    </cfRule>
  </conditionalFormatting>
  <conditionalFormatting sqref="AC89:AC122 AC132:AC150 AC26:AC28 AC81:AC83">
    <cfRule type="expression" dxfId="1438" priority="77">
      <formula>N26=FALSE</formula>
    </cfRule>
  </conditionalFormatting>
  <conditionalFormatting sqref="AC92:AC103 AC110:AC115 AC133:AC140 AC143:AC144">
    <cfRule type="expression" dxfId="1437" priority="45">
      <formula>AND(M92=TRUE,N93=TRUE)</formula>
    </cfRule>
  </conditionalFormatting>
  <conditionalFormatting sqref="AC89:AD122 AC132:AD150 AC26:AD28 AC81:AD83">
    <cfRule type="expression" dxfId="1436" priority="76">
      <formula>M26=FALSE</formula>
    </cfRule>
  </conditionalFormatting>
  <conditionalFormatting sqref="AD26:AD28 AD81:AD83 AD89:AD122 AD132:AD150">
    <cfRule type="expression" dxfId="1435" priority="419">
      <formula>AND(M26=TRUE,N26=TRUE)</formula>
    </cfRule>
  </conditionalFormatting>
  <conditionalFormatting sqref="AD89:AD122 AD132:AD150 AD26:AD28 AD81:AD83">
    <cfRule type="expression" dxfId="1434" priority="417">
      <formula>M26=FALSE</formula>
    </cfRule>
  </conditionalFormatting>
  <conditionalFormatting sqref="AD92:AD103 AD110:AD115 AD133:AD140 AD143:AD144">
    <cfRule type="expression" dxfId="1433" priority="50">
      <formula>AND(M92=TRUE,N93=TRUE)</formula>
    </cfRule>
  </conditionalFormatting>
  <conditionalFormatting sqref="AF20:AG36 AF75:AG125">
    <cfRule type="containsText" dxfId="1432" priority="424" operator="containsText" text="Review">
      <formula>NOT(ISERROR(SEARCH("Review",AF20)))</formula>
    </cfRule>
    <cfRule type="expression" dxfId="1431" priority="425" stopIfTrue="1">
      <formula>AF20="OK"</formula>
    </cfRule>
  </conditionalFormatting>
  <dataValidations count="6">
    <dataValidation type="list" allowBlank="1" showInputMessage="1" showErrorMessage="1" sqref="Y113 Y111 Y144 Y115" xr:uid="{00000000-0002-0000-0300-000000000000}">
      <formula1>"tCO2e/ MWh,% zero carbon generation"</formula1>
    </dataValidation>
    <dataValidation type="list" allowBlank="1" showInputMessage="1" showErrorMessage="1" sqref="D68" xr:uid="{00000000-0002-0000-0300-000001000000}">
      <formula1>"Climate-alignment only,Sector only, Both climate-alignment and sector,N/A"</formula1>
    </dataValidation>
    <dataValidation type="list" allowBlank="1" showInputMessage="1" showErrorMessage="1" sqref="D66:E66 D10:E12" xr:uid="{00000000-0002-0000-0300-000002000000}">
      <formula1>"All of segment, By sub-asset class, N/A"</formula1>
    </dataValidation>
    <dataValidation type="list" allowBlank="1" showInputMessage="1" showErrorMessage="1" sqref="D9:E9" xr:uid="{00000000-0002-0000-0300-000003000000}">
      <formula1>"By sector, By sub-asset class, N/A"</formula1>
    </dataValidation>
    <dataValidation type="list" allowBlank="1" showInputMessage="1" showErrorMessage="1" sqref="D64:E64" xr:uid="{00000000-0002-0000-0300-000004000000}">
      <formula1>"By sector,By sub-asset class,N/A"</formula1>
    </dataValidation>
    <dataValidation type="list" allowBlank="1" showInputMessage="1" showErrorMessage="1" sqref="D65:E65 D67:E67" xr:uid="{00000000-0002-0000-0300-000005000000}">
      <formula1>"All of segment,By sub-asset class,By sector,N/A"</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3289B7"/>
    <outlinePr summaryBelow="0" summaryRight="0"/>
  </sheetPr>
  <dimension ref="A1:AV244"/>
  <sheetViews>
    <sheetView zoomScale="80" zoomScaleNormal="80" workbookViewId="0">
      <selection activeCell="D9" sqref="D9:E9"/>
    </sheetView>
  </sheetViews>
  <sheetFormatPr baseColWidth="10" defaultColWidth="0" defaultRowHeight="14" zeroHeight="1" outlineLevelRow="3"/>
  <cols>
    <col min="1" max="1" width="15.5" style="12" customWidth="1"/>
    <col min="2" max="5" width="15.5" style="399" customWidth="1"/>
    <col min="6" max="6" width="21.5" style="399" customWidth="1"/>
    <col min="7" max="7" width="22.6640625" style="399" customWidth="1"/>
    <col min="8" max="11" width="15.5" style="399" customWidth="1"/>
    <col min="12" max="12" width="4.6640625" style="347" customWidth="1"/>
    <col min="13" max="15" width="15.5" style="399" customWidth="1"/>
    <col min="16" max="16" width="4.6640625" style="347" customWidth="1"/>
    <col min="17" max="17" width="15.5" style="399" customWidth="1"/>
    <col min="18" max="18" width="17.33203125" style="399" customWidth="1"/>
    <col min="19" max="21" width="15.5" style="399" customWidth="1"/>
    <col min="22" max="22" width="18" style="399" customWidth="1"/>
    <col min="23" max="23" width="15.5" style="399" customWidth="1"/>
    <col min="24" max="24" width="4.1640625" style="347" customWidth="1"/>
    <col min="25" max="25" width="19" style="347" customWidth="1"/>
    <col min="26" max="26" width="18.1640625" style="399" customWidth="1"/>
    <col min="27" max="27" width="15.5" style="399" customWidth="1"/>
    <col min="28" max="28" width="5.1640625" style="400" customWidth="1"/>
    <col min="29" max="30" width="15.5" style="399" customWidth="1"/>
    <col min="31" max="31" width="5" style="347" customWidth="1"/>
    <col min="32" max="33" width="20.5" style="347" customWidth="1"/>
    <col min="34" max="34" width="24.5" style="347" customWidth="1"/>
    <col min="35" max="35" width="18" style="348" hidden="1" customWidth="1"/>
    <col min="36" max="36" width="23.5" style="348" hidden="1" customWidth="1"/>
    <col min="37" max="37" width="24.5" style="348" hidden="1" customWidth="1"/>
    <col min="38" max="38" width="37.83203125" style="348" hidden="1" customWidth="1"/>
    <col min="39" max="41" width="14.5" style="348" hidden="1" customWidth="1"/>
    <col min="42" max="42" width="17.5" style="348" hidden="1" customWidth="1"/>
    <col min="43" max="43" width="18.33203125" style="348" hidden="1" customWidth="1"/>
    <col min="44" max="44" width="21.5" style="348" hidden="1" customWidth="1"/>
    <col min="45" max="47" width="14.5" style="348" hidden="1" customWidth="1"/>
    <col min="48" max="48" width="10.6640625" style="348" hidden="1" customWidth="1"/>
    <col min="49" max="16384" width="14.5" style="348" hidden="1"/>
  </cols>
  <sheetData>
    <row r="1" spans="1:35" s="404" customFormat="1" ht="34.25" customHeight="1">
      <c r="A1" s="692" t="s">
        <v>78</v>
      </c>
      <c r="B1" s="692"/>
      <c r="C1" s="692"/>
      <c r="D1" s="692"/>
      <c r="E1" s="692"/>
      <c r="F1" s="692"/>
      <c r="G1" s="692"/>
      <c r="H1" s="692"/>
      <c r="I1" s="692"/>
      <c r="J1" s="692"/>
      <c r="K1" s="692"/>
      <c r="L1" s="692"/>
      <c r="M1" s="344"/>
      <c r="N1" s="345"/>
      <c r="O1" s="345"/>
      <c r="P1" s="344"/>
      <c r="Q1" s="345"/>
      <c r="R1" s="345"/>
      <c r="S1" s="345"/>
      <c r="T1" s="345"/>
      <c r="U1" s="345"/>
      <c r="V1" s="345"/>
      <c r="W1" s="345"/>
      <c r="X1" s="344"/>
      <c r="Y1" s="344"/>
      <c r="Z1" s="345"/>
      <c r="AA1" s="345"/>
      <c r="AB1" s="344"/>
      <c r="AC1" s="345"/>
      <c r="AD1" s="345"/>
      <c r="AE1" s="344"/>
      <c r="AF1" s="344"/>
      <c r="AG1" s="344"/>
      <c r="AH1" s="346"/>
      <c r="AI1" s="403"/>
    </row>
    <row r="2" spans="1:35" ht="82.25" customHeight="1">
      <c r="A2" s="731" t="s">
        <v>790</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547"/>
    </row>
    <row r="3" spans="1:35" ht="34.25" customHeight="1">
      <c r="A3" s="795" t="s">
        <v>229</v>
      </c>
      <c r="B3" s="795"/>
      <c r="C3" s="795"/>
      <c r="D3" s="795"/>
      <c r="E3" s="795"/>
      <c r="F3" s="795"/>
      <c r="G3" s="795"/>
      <c r="H3" s="795"/>
      <c r="I3" s="549"/>
      <c r="J3" s="549"/>
      <c r="K3" s="549"/>
      <c r="L3" s="349"/>
      <c r="M3" s="349"/>
      <c r="N3" s="349"/>
      <c r="O3" s="349"/>
      <c r="P3" s="349"/>
      <c r="Q3" s="349"/>
      <c r="R3" s="349"/>
      <c r="S3" s="349"/>
      <c r="T3" s="349"/>
      <c r="U3" s="349"/>
      <c r="V3" s="349"/>
      <c r="W3" s="349"/>
      <c r="X3" s="349"/>
      <c r="Y3" s="349"/>
      <c r="Z3" s="350"/>
      <c r="AA3" s="350"/>
      <c r="AB3" s="351"/>
      <c r="AC3" s="350"/>
      <c r="AD3" s="350"/>
      <c r="AE3" s="351"/>
      <c r="AF3" s="351"/>
      <c r="AG3" s="351"/>
    </row>
    <row r="4" spans="1:35" ht="34.25" customHeight="1">
      <c r="A4" s="793" t="str">
        <f>"Based on Table 1.2 in the Financial Institutions Net-Zero Standard.     Financial metric: "&amp;'Financial activity types '!D11&amp;" in "&amp;'Financial activity types '!C13&amp;"     Base year: "&amp;'Financial activity types '!C7</f>
        <v xml:space="preserve">Based on Table 1.2 in the Financial Institutions Net-Zero Standard.     Financial metric:  in      Base year: </v>
      </c>
      <c r="B4" s="793"/>
      <c r="C4" s="793"/>
      <c r="D4" s="793"/>
      <c r="E4" s="793"/>
      <c r="F4" s="793"/>
      <c r="G4" s="793"/>
      <c r="H4" s="793"/>
      <c r="I4" s="793"/>
      <c r="J4" s="793"/>
      <c r="K4" s="793"/>
      <c r="L4" s="793"/>
      <c r="M4" s="552"/>
      <c r="N4" s="552"/>
      <c r="O4" s="552"/>
      <c r="P4" s="552"/>
      <c r="Q4" s="352"/>
      <c r="R4" s="352"/>
      <c r="S4" s="352"/>
      <c r="T4" s="352"/>
      <c r="U4" s="352"/>
      <c r="V4" s="352"/>
      <c r="W4" s="352"/>
      <c r="X4" s="552"/>
      <c r="Y4" s="552"/>
      <c r="Z4" s="350"/>
      <c r="AA4" s="350"/>
      <c r="AB4" s="351"/>
      <c r="AC4" s="350"/>
      <c r="AD4" s="350"/>
      <c r="AE4" s="351"/>
      <c r="AF4" s="351"/>
      <c r="AG4" s="351"/>
    </row>
    <row r="5" spans="1:35" s="356" customFormat="1">
      <c r="A5" s="12"/>
      <c r="B5" s="12"/>
      <c r="C5" s="12"/>
      <c r="D5" s="12"/>
      <c r="E5" s="12"/>
      <c r="F5" s="12"/>
      <c r="G5" s="12"/>
      <c r="H5" s="12"/>
      <c r="I5" s="12"/>
      <c r="J5" s="12"/>
      <c r="K5" s="12"/>
      <c r="L5" s="353"/>
      <c r="M5" s="12"/>
      <c r="N5" s="12"/>
      <c r="O5" s="12"/>
      <c r="P5" s="353"/>
      <c r="Q5" s="354"/>
      <c r="R5" s="354"/>
      <c r="S5" s="12"/>
      <c r="T5" s="354"/>
      <c r="U5" s="354"/>
      <c r="V5" s="354"/>
      <c r="W5" s="354"/>
      <c r="X5" s="353"/>
      <c r="Y5" s="353"/>
      <c r="Z5" s="12"/>
      <c r="AA5" s="12"/>
      <c r="AB5" s="353"/>
      <c r="AC5" s="12"/>
      <c r="AD5" s="12"/>
      <c r="AE5" s="353"/>
      <c r="AF5" s="353"/>
      <c r="AG5" s="353"/>
      <c r="AH5" s="355"/>
    </row>
    <row r="6" spans="1:35" s="356" customFormat="1" ht="20.25" customHeight="1" collapsed="1">
      <c r="A6" s="793" t="s">
        <v>80</v>
      </c>
      <c r="B6" s="793"/>
      <c r="C6" s="793"/>
      <c r="D6" s="793"/>
      <c r="E6" s="793"/>
      <c r="F6" s="793"/>
      <c r="G6" s="793"/>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548"/>
      <c r="AH6" s="355"/>
    </row>
    <row r="7" spans="1:35" s="356" customFormat="1" ht="46.25" hidden="1" customHeight="1" outlineLevel="2" collapsed="1">
      <c r="A7" s="731" t="s">
        <v>81</v>
      </c>
      <c r="B7" s="731"/>
      <c r="C7" s="731"/>
      <c r="D7" s="731"/>
      <c r="E7" s="731"/>
      <c r="F7" s="731"/>
      <c r="G7" s="731"/>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547"/>
      <c r="AH7" s="355"/>
    </row>
    <row r="8" spans="1:35" s="356" customFormat="1" ht="18" hidden="1" outlineLevel="3">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12"/>
      <c r="AA8" s="12"/>
      <c r="AB8" s="358"/>
      <c r="AC8" s="12"/>
      <c r="AD8" s="12"/>
      <c r="AE8" s="358"/>
      <c r="AF8" s="353"/>
      <c r="AG8" s="353"/>
      <c r="AH8" s="355"/>
    </row>
    <row r="9" spans="1:35" s="356" customFormat="1" ht="53.25" hidden="1" customHeight="1" outlineLevel="3">
      <c r="A9" s="357"/>
      <c r="B9" s="714" t="s">
        <v>82</v>
      </c>
      <c r="C9" s="715"/>
      <c r="D9" s="719"/>
      <c r="E9" s="720"/>
      <c r="F9" s="357"/>
      <c r="G9" s="824" t="s">
        <v>230</v>
      </c>
      <c r="H9" s="825"/>
      <c r="I9" s="825"/>
      <c r="J9" s="825"/>
      <c r="K9" s="825"/>
      <c r="L9" s="825"/>
      <c r="M9" s="825"/>
      <c r="N9" s="357"/>
      <c r="O9" s="357"/>
      <c r="P9" s="357"/>
      <c r="Q9" s="357"/>
      <c r="R9" s="357"/>
      <c r="S9" s="357"/>
      <c r="T9" s="357"/>
      <c r="U9" s="357"/>
      <c r="V9" s="357"/>
      <c r="W9" s="357"/>
      <c r="X9" s="357"/>
      <c r="Y9" s="357"/>
      <c r="Z9" s="12"/>
      <c r="AA9" s="12"/>
      <c r="AB9" s="358"/>
      <c r="AC9" s="12"/>
      <c r="AD9" s="12"/>
      <c r="AE9" s="358"/>
      <c r="AF9" s="353"/>
      <c r="AG9" s="353"/>
      <c r="AH9" s="355"/>
    </row>
    <row r="10" spans="1:35" s="356" customFormat="1" ht="53.25" hidden="1" customHeight="1" outlineLevel="3">
      <c r="A10" s="357"/>
      <c r="B10" s="714" t="s">
        <v>84</v>
      </c>
      <c r="C10" s="715"/>
      <c r="D10" s="719"/>
      <c r="E10" s="720"/>
      <c r="F10" s="357"/>
      <c r="G10" s="825"/>
      <c r="H10" s="825"/>
      <c r="I10" s="825"/>
      <c r="J10" s="825"/>
      <c r="K10" s="825"/>
      <c r="L10" s="825"/>
      <c r="M10" s="825"/>
      <c r="N10" s="357"/>
      <c r="O10" s="357"/>
      <c r="P10" s="357"/>
      <c r="Q10" s="357"/>
      <c r="R10" s="357"/>
      <c r="S10" s="357"/>
      <c r="T10" s="357"/>
      <c r="U10" s="357"/>
      <c r="V10" s="357"/>
      <c r="W10" s="357"/>
      <c r="X10" s="357"/>
      <c r="Y10" s="357"/>
      <c r="Z10" s="12"/>
      <c r="AA10" s="12"/>
      <c r="AB10" s="358"/>
      <c r="AC10" s="12"/>
      <c r="AD10" s="12"/>
      <c r="AE10" s="358"/>
      <c r="AF10" s="353"/>
      <c r="AG10" s="353"/>
      <c r="AH10" s="355"/>
    </row>
    <row r="11" spans="1:35" s="356" customFormat="1" ht="53.25" hidden="1" customHeight="1" outlineLevel="3">
      <c r="A11" s="357"/>
      <c r="B11" s="714" t="s">
        <v>85</v>
      </c>
      <c r="C11" s="715"/>
      <c r="D11" s="719"/>
      <c r="E11" s="720"/>
      <c r="F11" s="357"/>
      <c r="G11" s="825"/>
      <c r="H11" s="825"/>
      <c r="I11" s="825"/>
      <c r="J11" s="825"/>
      <c r="K11" s="825"/>
      <c r="L11" s="825"/>
      <c r="M11" s="825"/>
      <c r="N11" s="357"/>
      <c r="O11" s="357"/>
      <c r="P11" s="357"/>
      <c r="Q11" s="357"/>
      <c r="R11" s="357"/>
      <c r="S11" s="357"/>
      <c r="T11" s="357"/>
      <c r="U11" s="357"/>
      <c r="V11" s="357"/>
      <c r="W11" s="357"/>
      <c r="X11" s="357"/>
      <c r="Y11" s="357"/>
      <c r="Z11" s="12"/>
      <c r="AA11" s="12"/>
      <c r="AB11" s="358"/>
      <c r="AC11" s="12"/>
      <c r="AD11" s="12"/>
      <c r="AE11" s="358"/>
      <c r="AF11" s="353"/>
      <c r="AG11" s="353"/>
      <c r="AH11" s="355"/>
    </row>
    <row r="12" spans="1:35" s="356" customFormat="1" ht="53.25" hidden="1" customHeight="1" outlineLevel="3">
      <c r="A12" s="357"/>
      <c r="B12" s="714" t="s">
        <v>86</v>
      </c>
      <c r="C12" s="715"/>
      <c r="D12" s="719"/>
      <c r="E12" s="720"/>
      <c r="F12" s="357"/>
      <c r="G12" s="825"/>
      <c r="H12" s="825"/>
      <c r="I12" s="825"/>
      <c r="J12" s="825"/>
      <c r="K12" s="825"/>
      <c r="L12" s="825"/>
      <c r="M12" s="825"/>
      <c r="N12" s="357"/>
      <c r="O12" s="357"/>
      <c r="P12" s="357"/>
      <c r="Q12" s="357"/>
      <c r="R12" s="357"/>
      <c r="S12" s="357"/>
      <c r="T12" s="357"/>
      <c r="U12" s="357"/>
      <c r="V12" s="357"/>
      <c r="W12" s="357"/>
      <c r="X12" s="357"/>
      <c r="Y12" s="357"/>
      <c r="Z12" s="12"/>
      <c r="AA12" s="12"/>
      <c r="AB12" s="358"/>
      <c r="AC12" s="12"/>
      <c r="AD12" s="12"/>
      <c r="AE12" s="358"/>
      <c r="AF12" s="353"/>
      <c r="AG12" s="353"/>
      <c r="AH12" s="355"/>
    </row>
    <row r="13" spans="1:35" s="356" customFormat="1" ht="53.25" hidden="1" customHeight="1" outlineLevel="3">
      <c r="A13" s="357"/>
      <c r="B13" s="13"/>
      <c r="C13" s="13"/>
      <c r="D13" s="13"/>
      <c r="E13" s="13"/>
      <c r="F13" s="357"/>
      <c r="G13" s="357"/>
      <c r="H13" s="357"/>
      <c r="I13" s="357"/>
      <c r="J13" s="357"/>
      <c r="K13" s="357"/>
      <c r="L13" s="357"/>
      <c r="M13" s="357"/>
      <c r="N13" s="357"/>
      <c r="O13" s="357"/>
      <c r="P13" s="357"/>
      <c r="Q13" s="357"/>
      <c r="R13" s="357"/>
      <c r="S13" s="357"/>
      <c r="T13" s="357"/>
      <c r="U13" s="357"/>
      <c r="V13" s="357"/>
      <c r="W13" s="357"/>
      <c r="X13" s="357"/>
      <c r="Y13" s="357"/>
      <c r="Z13" s="12"/>
      <c r="AA13" s="12"/>
      <c r="AB13" s="358"/>
      <c r="AC13" s="12"/>
      <c r="AD13" s="12"/>
      <c r="AE13" s="358"/>
      <c r="AF13" s="353"/>
      <c r="AG13" s="353"/>
      <c r="AH13" s="355"/>
    </row>
    <row r="14" spans="1:35" s="356" customFormat="1" ht="27" hidden="1" customHeight="1" outlineLevel="3">
      <c r="A14" s="794" t="s">
        <v>87</v>
      </c>
      <c r="B14" s="731"/>
      <c r="C14" s="731"/>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547"/>
      <c r="AH14" s="355"/>
    </row>
    <row r="15" spans="1:35" s="356" customFormat="1" ht="22.25" hidden="1" customHeight="1" outlineLevel="3">
      <c r="A15" s="359"/>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5"/>
    </row>
    <row r="16" spans="1:35" s="356" customFormat="1" ht="408" hidden="1" customHeight="1" outlineLevel="3">
      <c r="A16" s="355"/>
      <c r="B16" s="360"/>
      <c r="C16" s="706" t="s">
        <v>88</v>
      </c>
      <c r="D16" s="706"/>
      <c r="E16" s="706"/>
      <c r="F16" s="706"/>
      <c r="G16" s="706"/>
      <c r="H16" s="706"/>
      <c r="I16" s="706"/>
      <c r="J16" s="706"/>
      <c r="K16" s="706"/>
      <c r="L16" s="17"/>
      <c r="M16" s="706" t="s">
        <v>89</v>
      </c>
      <c r="N16" s="706"/>
      <c r="O16" s="706"/>
      <c r="P16" s="17"/>
      <c r="Q16" s="706" t="s">
        <v>90</v>
      </c>
      <c r="R16" s="706"/>
      <c r="S16" s="706"/>
      <c r="T16" s="706"/>
      <c r="U16" s="706"/>
      <c r="V16" s="706"/>
      <c r="W16" s="706"/>
      <c r="X16" s="17"/>
      <c r="Y16" s="706" t="s">
        <v>91</v>
      </c>
      <c r="Z16" s="706"/>
      <c r="AA16" s="706"/>
      <c r="AB16" s="17"/>
      <c r="AC16" s="706" t="s">
        <v>92</v>
      </c>
      <c r="AD16" s="706"/>
      <c r="AE16" s="17"/>
      <c r="AF16" s="709" t="s">
        <v>93</v>
      </c>
      <c r="AG16" s="706"/>
      <c r="AH16" s="355"/>
    </row>
    <row r="17" spans="1:37" s="356" customFormat="1" hidden="1" outlineLevel="3">
      <c r="A17" s="355"/>
      <c r="B17" s="355"/>
      <c r="C17" s="355"/>
      <c r="D17" s="355"/>
      <c r="E17" s="355"/>
      <c r="F17" s="355"/>
      <c r="G17" s="355"/>
      <c r="H17" s="355"/>
      <c r="I17" s="355"/>
      <c r="J17" s="355"/>
      <c r="K17" s="355"/>
      <c r="L17" s="355"/>
      <c r="M17" s="355"/>
      <c r="N17" s="355"/>
      <c r="O17" s="355"/>
      <c r="P17" s="355"/>
      <c r="Q17" s="355"/>
      <c r="R17" s="355"/>
      <c r="S17" s="355"/>
      <c r="T17" s="355"/>
      <c r="U17" s="355"/>
      <c r="V17" s="355"/>
      <c r="W17" s="355"/>
      <c r="X17" s="355"/>
      <c r="Y17" s="353"/>
      <c r="Z17" s="12"/>
      <c r="AA17" s="12"/>
      <c r="AB17" s="355"/>
      <c r="AC17" s="355"/>
      <c r="AD17" s="355"/>
      <c r="AE17" s="355"/>
      <c r="AF17" s="355"/>
      <c r="AG17" s="355"/>
      <c r="AH17" s="355"/>
    </row>
    <row r="18" spans="1:37" s="356" customFormat="1" ht="16.25" hidden="1" customHeight="1" outlineLevel="3">
      <c r="A18" s="714" t="s">
        <v>94</v>
      </c>
      <c r="B18" s="718"/>
      <c r="C18" s="718"/>
      <c r="D18" s="718"/>
      <c r="E18" s="718"/>
      <c r="F18" s="718"/>
      <c r="G18" s="718"/>
      <c r="H18" s="718"/>
      <c r="I18" s="718"/>
      <c r="J18" s="718"/>
      <c r="K18" s="715"/>
      <c r="L18" s="361"/>
      <c r="M18" s="714" t="s">
        <v>95</v>
      </c>
      <c r="N18" s="718"/>
      <c r="O18" s="715"/>
      <c r="P18" s="13"/>
      <c r="Q18" s="714" t="s">
        <v>96</v>
      </c>
      <c r="R18" s="718"/>
      <c r="S18" s="718"/>
      <c r="T18" s="718"/>
      <c r="U18" s="718"/>
      <c r="V18" s="718"/>
      <c r="W18" s="715"/>
      <c r="X18" s="572"/>
      <c r="Y18" s="714" t="s">
        <v>97</v>
      </c>
      <c r="Z18" s="718"/>
      <c r="AA18" s="715"/>
      <c r="AB18" s="358"/>
      <c r="AC18" s="714" t="s">
        <v>98</v>
      </c>
      <c r="AD18" s="715"/>
      <c r="AE18" s="358"/>
      <c r="AF18" s="716" t="s">
        <v>785</v>
      </c>
      <c r="AG18" s="716" t="s">
        <v>786</v>
      </c>
      <c r="AH18" s="355"/>
    </row>
    <row r="19" spans="1:37" s="356" customFormat="1" ht="320" hidden="1" customHeight="1" outlineLevel="3">
      <c r="A19" s="798" t="s">
        <v>99</v>
      </c>
      <c r="B19" s="798"/>
      <c r="C19" s="714" t="s">
        <v>100</v>
      </c>
      <c r="D19" s="718"/>
      <c r="E19" s="718"/>
      <c r="F19" s="715"/>
      <c r="G19" s="546" t="s">
        <v>763</v>
      </c>
      <c r="H19" s="546" t="s">
        <v>778</v>
      </c>
      <c r="I19" s="554" t="s">
        <v>764</v>
      </c>
      <c r="J19" s="554" t="s">
        <v>765</v>
      </c>
      <c r="K19" s="554" t="s">
        <v>779</v>
      </c>
      <c r="L19" s="361"/>
      <c r="M19" s="546" t="s">
        <v>768</v>
      </c>
      <c r="N19" s="546" t="s">
        <v>769</v>
      </c>
      <c r="O19" s="554" t="s">
        <v>770</v>
      </c>
      <c r="P19" s="13"/>
      <c r="Q19" s="554" t="s">
        <v>101</v>
      </c>
      <c r="R19" s="554" t="s">
        <v>102</v>
      </c>
      <c r="S19" s="558" t="s">
        <v>103</v>
      </c>
      <c r="T19" s="558" t="s">
        <v>104</v>
      </c>
      <c r="U19" s="554" t="s">
        <v>105</v>
      </c>
      <c r="V19" s="546" t="s">
        <v>106</v>
      </c>
      <c r="W19" s="554" t="s">
        <v>771</v>
      </c>
      <c r="X19" s="573"/>
      <c r="Y19" s="546" t="s">
        <v>107</v>
      </c>
      <c r="Z19" s="546" t="s">
        <v>772</v>
      </c>
      <c r="AA19" s="546" t="s">
        <v>773</v>
      </c>
      <c r="AB19" s="358"/>
      <c r="AC19" s="546" t="s">
        <v>774</v>
      </c>
      <c r="AD19" s="546" t="s">
        <v>775</v>
      </c>
      <c r="AE19" s="358"/>
      <c r="AF19" s="717"/>
      <c r="AG19" s="717"/>
      <c r="AH19" s="355"/>
    </row>
    <row r="20" spans="1:37" s="356" customFormat="1" ht="19.25" hidden="1" customHeight="1" outlineLevel="3">
      <c r="A20" s="721" t="s">
        <v>109</v>
      </c>
      <c r="B20" s="733" t="s">
        <v>110</v>
      </c>
      <c r="C20" s="756" t="s">
        <v>111</v>
      </c>
      <c r="D20" s="820"/>
      <c r="E20" s="820"/>
      <c r="F20" s="757"/>
      <c r="G20" s="710"/>
      <c r="H20" s="799" t="str">
        <f>IF(G20="","",G20/$G$66)</f>
        <v/>
      </c>
      <c r="I20" s="710"/>
      <c r="J20" s="710"/>
      <c r="K20" s="712" t="str">
        <f>IF(SUM(I20:J21)=0,"",SUM(I20:J21))</f>
        <v/>
      </c>
      <c r="L20" s="362"/>
      <c r="M20" s="796"/>
      <c r="N20" s="401" t="b">
        <v>0</v>
      </c>
      <c r="O20" s="5"/>
      <c r="P20" s="363"/>
      <c r="Q20" s="712"/>
      <c r="R20" s="710"/>
      <c r="S20" s="710"/>
      <c r="T20" s="710"/>
      <c r="U20" s="710"/>
      <c r="V20" s="712">
        <f t="shared" ref="V20:V29" si="0">IF(M20=TRUE,SUM(Q20:U20),0)</f>
        <v>0</v>
      </c>
      <c r="W20" s="712"/>
      <c r="X20" s="362"/>
      <c r="Y20" s="364" t="s">
        <v>112</v>
      </c>
      <c r="Z20" s="5"/>
      <c r="AA20" s="5"/>
      <c r="AB20" s="358"/>
      <c r="AC20" s="712"/>
      <c r="AD20" s="712"/>
      <c r="AE20" s="358"/>
      <c r="AF20" s="712" t="str">
        <f t="shared" ref="AF20:AF28" si="1">IF(G20="","",IF(AND(V20="",Z20="",Z21="",AC20=""),"Missing Info",IF(G20-V20-Z20-Z21+AC20=0,"OK","Review financial exposure")))</f>
        <v/>
      </c>
      <c r="AG20" s="712" t="str">
        <f>IF(K20="","",IF(AND(W20="",AA20="",AA21="",AD20=""),"Missing Info",IF(K20-W20-AA20-AA21+AD20=0,"OK","Review emissions")))</f>
        <v/>
      </c>
      <c r="AH20" s="355"/>
      <c r="AK20" s="107" t="s">
        <v>113</v>
      </c>
    </row>
    <row r="21" spans="1:37" s="356" customFormat="1" ht="34" hidden="1" outlineLevel="3">
      <c r="A21" s="722"/>
      <c r="B21" s="733"/>
      <c r="C21" s="760"/>
      <c r="D21" s="821"/>
      <c r="E21" s="821"/>
      <c r="F21" s="761"/>
      <c r="G21" s="711"/>
      <c r="H21" s="800"/>
      <c r="I21" s="711"/>
      <c r="J21" s="711"/>
      <c r="K21" s="713"/>
      <c r="L21" s="362"/>
      <c r="M21" s="797"/>
      <c r="N21" s="401" t="b">
        <v>0</v>
      </c>
      <c r="O21" s="5"/>
      <c r="P21" s="363"/>
      <c r="Q21" s="713"/>
      <c r="R21" s="711"/>
      <c r="S21" s="711"/>
      <c r="T21" s="711"/>
      <c r="U21" s="711"/>
      <c r="V21" s="713">
        <f t="shared" si="0"/>
        <v>0</v>
      </c>
      <c r="W21" s="713"/>
      <c r="X21" s="362"/>
      <c r="Y21" s="364" t="s">
        <v>114</v>
      </c>
      <c r="Z21" s="5"/>
      <c r="AA21" s="5"/>
      <c r="AB21" s="358"/>
      <c r="AC21" s="713"/>
      <c r="AD21" s="713"/>
      <c r="AE21" s="358"/>
      <c r="AF21" s="713"/>
      <c r="AG21" s="713"/>
      <c r="AH21" s="355"/>
      <c r="AK21" s="107" t="s">
        <v>113</v>
      </c>
    </row>
    <row r="22" spans="1:37" s="356" customFormat="1" ht="52.25" hidden="1" customHeight="1" outlineLevel="3">
      <c r="A22" s="722"/>
      <c r="B22" s="733"/>
      <c r="C22" s="727" t="s">
        <v>115</v>
      </c>
      <c r="D22" s="728"/>
      <c r="E22" s="784" t="s">
        <v>231</v>
      </c>
      <c r="F22" s="784" t="s">
        <v>232</v>
      </c>
      <c r="G22" s="710"/>
      <c r="H22" s="799" t="str">
        <f>IF(G22="","",G22/$G$66)</f>
        <v/>
      </c>
      <c r="I22" s="710"/>
      <c r="J22" s="710"/>
      <c r="K22" s="712" t="str">
        <f t="shared" ref="K22" si="2">IF(SUM(I22:J23)=0,"",SUM(I22:J23))</f>
        <v/>
      </c>
      <c r="L22" s="362"/>
      <c r="M22" s="796"/>
      <c r="N22" s="401" t="b">
        <v>0</v>
      </c>
      <c r="O22" s="5"/>
      <c r="P22" s="363"/>
      <c r="Q22" s="712"/>
      <c r="R22" s="710"/>
      <c r="S22" s="710"/>
      <c r="T22" s="710"/>
      <c r="U22" s="710"/>
      <c r="V22" s="712">
        <f t="shared" si="0"/>
        <v>0</v>
      </c>
      <c r="W22" s="712"/>
      <c r="X22" s="362"/>
      <c r="Y22" s="364" t="s">
        <v>112</v>
      </c>
      <c r="Z22" s="5"/>
      <c r="AA22" s="5"/>
      <c r="AB22" s="358"/>
      <c r="AC22" s="712"/>
      <c r="AD22" s="712"/>
      <c r="AE22" s="358"/>
      <c r="AF22" s="712" t="str">
        <f t="shared" si="1"/>
        <v/>
      </c>
      <c r="AG22" s="712" t="str">
        <f>IF(K22="","",IF(AND(W22="",AA22="",AA23="",AD22=""),"Missing Info",IF(K22-W22-AA22-AA23+AD22=0,"OK","Review emissions")))</f>
        <v/>
      </c>
      <c r="AH22" s="355"/>
      <c r="AK22" s="107" t="s">
        <v>113</v>
      </c>
    </row>
    <row r="23" spans="1:37" s="356" customFormat="1" ht="52.25" hidden="1" customHeight="1" outlineLevel="3">
      <c r="A23" s="722"/>
      <c r="B23" s="733"/>
      <c r="C23" s="822"/>
      <c r="D23" s="823"/>
      <c r="E23" s="785"/>
      <c r="F23" s="786"/>
      <c r="G23" s="711"/>
      <c r="H23" s="800"/>
      <c r="I23" s="711"/>
      <c r="J23" s="711"/>
      <c r="K23" s="713"/>
      <c r="L23" s="362"/>
      <c r="M23" s="797"/>
      <c r="N23" s="401" t="b">
        <v>0</v>
      </c>
      <c r="O23" s="5"/>
      <c r="P23" s="363"/>
      <c r="Q23" s="713"/>
      <c r="R23" s="711"/>
      <c r="S23" s="711"/>
      <c r="T23" s="711"/>
      <c r="U23" s="711"/>
      <c r="V23" s="713">
        <f t="shared" si="0"/>
        <v>0</v>
      </c>
      <c r="W23" s="713"/>
      <c r="X23" s="362"/>
      <c r="Y23" s="364" t="s">
        <v>114</v>
      </c>
      <c r="Z23" s="5"/>
      <c r="AA23" s="5"/>
      <c r="AB23" s="358"/>
      <c r="AC23" s="713"/>
      <c r="AD23" s="713"/>
      <c r="AE23" s="358"/>
      <c r="AF23" s="713"/>
      <c r="AG23" s="713"/>
      <c r="AH23" s="355"/>
      <c r="AK23" s="107" t="s">
        <v>113</v>
      </c>
    </row>
    <row r="24" spans="1:37" s="356" customFormat="1" ht="52.25" hidden="1" customHeight="1" outlineLevel="3">
      <c r="A24" s="722"/>
      <c r="B24" s="733"/>
      <c r="C24" s="822"/>
      <c r="D24" s="823"/>
      <c r="E24" s="785"/>
      <c r="F24" s="784" t="s">
        <v>233</v>
      </c>
      <c r="G24" s="710"/>
      <c r="H24" s="799" t="str">
        <f>IF(G24="","",G24/$G$66)</f>
        <v/>
      </c>
      <c r="I24" s="710"/>
      <c r="J24" s="710"/>
      <c r="K24" s="712" t="str">
        <f t="shared" ref="K24" si="3">IF(SUM(I24:J25)=0,"",SUM(I24:J25))</f>
        <v/>
      </c>
      <c r="L24" s="362"/>
      <c r="M24" s="796"/>
      <c r="N24" s="401" t="b">
        <v>0</v>
      </c>
      <c r="O24" s="5"/>
      <c r="P24" s="363"/>
      <c r="Q24" s="712"/>
      <c r="R24" s="710"/>
      <c r="S24" s="710"/>
      <c r="T24" s="710"/>
      <c r="U24" s="710"/>
      <c r="V24" s="712">
        <f t="shared" si="0"/>
        <v>0</v>
      </c>
      <c r="W24" s="712"/>
      <c r="X24" s="362"/>
      <c r="Y24" s="364" t="s">
        <v>112</v>
      </c>
      <c r="Z24" s="5"/>
      <c r="AA24" s="5"/>
      <c r="AB24" s="358"/>
      <c r="AC24" s="712"/>
      <c r="AD24" s="712"/>
      <c r="AE24" s="358"/>
      <c r="AF24" s="712" t="str">
        <f t="shared" si="1"/>
        <v/>
      </c>
      <c r="AG24" s="712" t="str">
        <f>IF(K24="","",IF(AND(W24="",AA24="",AA25="",AD24=""),"Missing Info",IF(K24-W24-AA24-AA25+AD24=0,"OK","Review emissions")))</f>
        <v/>
      </c>
      <c r="AH24" s="355"/>
      <c r="AK24" s="107" t="s">
        <v>113</v>
      </c>
    </row>
    <row r="25" spans="1:37" s="356" customFormat="1" ht="52.25" hidden="1" customHeight="1" outlineLevel="3">
      <c r="A25" s="722"/>
      <c r="B25" s="733"/>
      <c r="C25" s="822"/>
      <c r="D25" s="823"/>
      <c r="E25" s="785"/>
      <c r="F25" s="786"/>
      <c r="G25" s="711"/>
      <c r="H25" s="800"/>
      <c r="I25" s="711"/>
      <c r="J25" s="711"/>
      <c r="K25" s="713"/>
      <c r="L25" s="362"/>
      <c r="M25" s="797"/>
      <c r="N25" s="401" t="b">
        <v>0</v>
      </c>
      <c r="O25" s="5"/>
      <c r="P25" s="363"/>
      <c r="Q25" s="713"/>
      <c r="R25" s="711"/>
      <c r="S25" s="711"/>
      <c r="T25" s="711"/>
      <c r="U25" s="711"/>
      <c r="V25" s="713">
        <f t="shared" si="0"/>
        <v>0</v>
      </c>
      <c r="W25" s="713"/>
      <c r="X25" s="362"/>
      <c r="Y25" s="364" t="s">
        <v>114</v>
      </c>
      <c r="Z25" s="5"/>
      <c r="AA25" s="5"/>
      <c r="AB25" s="358"/>
      <c r="AC25" s="713"/>
      <c r="AD25" s="713"/>
      <c r="AE25" s="358"/>
      <c r="AF25" s="713"/>
      <c r="AG25" s="713"/>
      <c r="AH25" s="355"/>
      <c r="AK25" s="107" t="s">
        <v>113</v>
      </c>
    </row>
    <row r="26" spans="1:37" s="356" customFormat="1" ht="52.25" hidden="1" customHeight="1" outlineLevel="3">
      <c r="A26" s="722"/>
      <c r="B26" s="733"/>
      <c r="C26" s="822"/>
      <c r="D26" s="823"/>
      <c r="E26" s="785"/>
      <c r="F26" s="784" t="s">
        <v>234</v>
      </c>
      <c r="G26" s="710"/>
      <c r="H26" s="799" t="str">
        <f>IF(G26="","",G26/$G$66)</f>
        <v/>
      </c>
      <c r="I26" s="710"/>
      <c r="J26" s="710"/>
      <c r="K26" s="712" t="str">
        <f t="shared" ref="K26" si="4">IF(SUM(I26:J27)=0,"",SUM(I26:J27))</f>
        <v/>
      </c>
      <c r="L26" s="362"/>
      <c r="M26" s="796"/>
      <c r="N26" s="401" t="b">
        <v>0</v>
      </c>
      <c r="O26" s="5"/>
      <c r="P26" s="363"/>
      <c r="Q26" s="712"/>
      <c r="R26" s="710"/>
      <c r="S26" s="710"/>
      <c r="T26" s="710"/>
      <c r="U26" s="710"/>
      <c r="V26" s="712">
        <f t="shared" si="0"/>
        <v>0</v>
      </c>
      <c r="W26" s="712"/>
      <c r="X26" s="362"/>
      <c r="Y26" s="364" t="s">
        <v>112</v>
      </c>
      <c r="Z26" s="5"/>
      <c r="AA26" s="5"/>
      <c r="AB26" s="358"/>
      <c r="AC26" s="712"/>
      <c r="AD26" s="712"/>
      <c r="AE26" s="358"/>
      <c r="AF26" s="712" t="str">
        <f t="shared" si="1"/>
        <v/>
      </c>
      <c r="AG26" s="712" t="str">
        <f>IF(K26="","",IF(AND(W26="",AA26="",AA27="",AD26=""),"Missing Info",IF(K26-W26-AA26-AA27+AD26=0,"OK","Review emissions")))</f>
        <v/>
      </c>
      <c r="AH26" s="355"/>
      <c r="AK26" s="107" t="s">
        <v>113</v>
      </c>
    </row>
    <row r="27" spans="1:37" s="356" customFormat="1" ht="63" hidden="1" customHeight="1" outlineLevel="3">
      <c r="A27" s="722"/>
      <c r="B27" s="733"/>
      <c r="C27" s="822"/>
      <c r="D27" s="823"/>
      <c r="E27" s="785"/>
      <c r="F27" s="786"/>
      <c r="G27" s="711"/>
      <c r="H27" s="800"/>
      <c r="I27" s="711"/>
      <c r="J27" s="711"/>
      <c r="K27" s="713"/>
      <c r="L27" s="362"/>
      <c r="M27" s="797"/>
      <c r="N27" s="401" t="b">
        <v>0</v>
      </c>
      <c r="O27" s="5"/>
      <c r="P27" s="363"/>
      <c r="Q27" s="713"/>
      <c r="R27" s="711"/>
      <c r="S27" s="711"/>
      <c r="T27" s="711"/>
      <c r="U27" s="711"/>
      <c r="V27" s="713">
        <f t="shared" si="0"/>
        <v>0</v>
      </c>
      <c r="W27" s="713"/>
      <c r="X27" s="362"/>
      <c r="Y27" s="364" t="s">
        <v>114</v>
      </c>
      <c r="Z27" s="5"/>
      <c r="AA27" s="5"/>
      <c r="AB27" s="358"/>
      <c r="AC27" s="713"/>
      <c r="AD27" s="713"/>
      <c r="AE27" s="358"/>
      <c r="AF27" s="713"/>
      <c r="AG27" s="713"/>
      <c r="AH27" s="355"/>
      <c r="AK27" s="107" t="s">
        <v>113</v>
      </c>
    </row>
    <row r="28" spans="1:37" s="356" customFormat="1" ht="33" hidden="1" customHeight="1" outlineLevel="3">
      <c r="A28" s="722"/>
      <c r="B28" s="733"/>
      <c r="C28" s="822"/>
      <c r="D28" s="823"/>
      <c r="E28" s="785"/>
      <c r="F28" s="784" t="s">
        <v>117</v>
      </c>
      <c r="G28" s="710"/>
      <c r="H28" s="799" t="str">
        <f>IF(G28="","",G28/$G$66)</f>
        <v/>
      </c>
      <c r="I28" s="710"/>
      <c r="J28" s="710"/>
      <c r="K28" s="712" t="str">
        <f t="shared" ref="K28" si="5">IF(SUM(I28:J29)=0,"",SUM(I28:J29))</f>
        <v/>
      </c>
      <c r="L28" s="362"/>
      <c r="M28" s="796"/>
      <c r="N28" s="401" t="b">
        <v>0</v>
      </c>
      <c r="O28" s="5"/>
      <c r="P28" s="363"/>
      <c r="Q28" s="712"/>
      <c r="R28" s="710"/>
      <c r="S28" s="710"/>
      <c r="T28" s="710"/>
      <c r="U28" s="710"/>
      <c r="V28" s="712">
        <f t="shared" si="0"/>
        <v>0</v>
      </c>
      <c r="W28" s="712"/>
      <c r="X28" s="362"/>
      <c r="Y28" s="364" t="s">
        <v>112</v>
      </c>
      <c r="Z28" s="5"/>
      <c r="AA28" s="5"/>
      <c r="AB28" s="358"/>
      <c r="AC28" s="712"/>
      <c r="AD28" s="712"/>
      <c r="AE28" s="358"/>
      <c r="AF28" s="712" t="str">
        <f t="shared" si="1"/>
        <v/>
      </c>
      <c r="AG28" s="712" t="str">
        <f>IF(K28="","",IF(AND(W28="",AA28="",AA29="",AD28=""),"Missing Info",IF(K28-W28-AA28-AA29+AD28=0,"OK","Review emissions")))</f>
        <v/>
      </c>
      <c r="AH28" s="355"/>
      <c r="AK28" s="107" t="s">
        <v>113</v>
      </c>
    </row>
    <row r="29" spans="1:37" s="356" customFormat="1" ht="33" hidden="1" customHeight="1" outlineLevel="3">
      <c r="A29" s="723"/>
      <c r="B29" s="733"/>
      <c r="C29" s="729"/>
      <c r="D29" s="730"/>
      <c r="E29" s="786"/>
      <c r="F29" s="786"/>
      <c r="G29" s="711"/>
      <c r="H29" s="800"/>
      <c r="I29" s="711"/>
      <c r="J29" s="711"/>
      <c r="K29" s="713"/>
      <c r="L29" s="362"/>
      <c r="M29" s="797"/>
      <c r="N29" s="401" t="b">
        <v>0</v>
      </c>
      <c r="O29" s="5"/>
      <c r="P29" s="363"/>
      <c r="Q29" s="713"/>
      <c r="R29" s="711"/>
      <c r="S29" s="711"/>
      <c r="T29" s="711"/>
      <c r="U29" s="711"/>
      <c r="V29" s="713">
        <f t="shared" si="0"/>
        <v>0</v>
      </c>
      <c r="W29" s="713"/>
      <c r="X29" s="362"/>
      <c r="Y29" s="364" t="s">
        <v>114</v>
      </c>
      <c r="Z29" s="5"/>
      <c r="AA29" s="5"/>
      <c r="AB29" s="358"/>
      <c r="AC29" s="713"/>
      <c r="AD29" s="713"/>
      <c r="AE29" s="358"/>
      <c r="AF29" s="713"/>
      <c r="AG29" s="713"/>
      <c r="AH29" s="355"/>
      <c r="AK29" s="107" t="s">
        <v>113</v>
      </c>
    </row>
    <row r="30" spans="1:37" s="356" customFormat="1" ht="33" hidden="1" customHeight="1" outlineLevel="3">
      <c r="A30" s="721" t="s">
        <v>759</v>
      </c>
      <c r="B30" s="733"/>
      <c r="C30" s="724" t="s">
        <v>762</v>
      </c>
      <c r="D30" s="725"/>
      <c r="E30" s="725"/>
      <c r="F30" s="726"/>
      <c r="G30" s="5"/>
      <c r="H30" s="365" t="str">
        <f t="shared" ref="H30:H59" si="6">IF(G30="","",G30/$G$66)</f>
        <v/>
      </c>
      <c r="I30" s="5"/>
      <c r="J30" s="5"/>
      <c r="K30" s="557" t="str">
        <f t="shared" ref="K30:K51" si="7">IF(SUM(I30:J30)=0,"",SUM(I30:J30))</f>
        <v/>
      </c>
      <c r="L30" s="362"/>
      <c r="M30" s="401" t="b">
        <v>0</v>
      </c>
      <c r="N30" s="401" t="b">
        <v>0</v>
      </c>
      <c r="O30" s="5"/>
      <c r="P30" s="363"/>
      <c r="Q30" s="557"/>
      <c r="R30" s="5"/>
      <c r="S30" s="5"/>
      <c r="T30" s="5"/>
      <c r="U30" s="5"/>
      <c r="V30" s="557">
        <f t="shared" ref="V30:V51" si="8">IF(M30=TRUE,SUM(Q30:U30),0)</f>
        <v>0</v>
      </c>
      <c r="W30" s="5"/>
      <c r="X30" s="362"/>
      <c r="Y30" s="364" t="s">
        <v>112</v>
      </c>
      <c r="Z30" s="5"/>
      <c r="AA30" s="5"/>
      <c r="AB30" s="358"/>
      <c r="AC30" s="5"/>
      <c r="AD30" s="5"/>
      <c r="AE30" s="358"/>
      <c r="AF30" s="557" t="str">
        <f t="shared" ref="AF30:AF51" si="9">IF(G30="","",IF(AND(V30="",Z30="",AC30=""),"Missing Info",IF(G30-V30-Z30+AC30=0,"OK","Review financial exposure")))</f>
        <v/>
      </c>
      <c r="AG30" s="557" t="str">
        <f t="shared" ref="AG30:AG51" si="10">IF(K30="","",IF(AND(W30="",AA30="",AD30=""),"Missing Info",IF(K30-W30-AA30+AD30=0,"OK","Review emissions")))</f>
        <v/>
      </c>
      <c r="AH30" s="355"/>
      <c r="AK30" s="107" t="s">
        <v>113</v>
      </c>
    </row>
    <row r="31" spans="1:37" s="356" customFormat="1" ht="111" hidden="1" customHeight="1" outlineLevel="3">
      <c r="A31" s="722"/>
      <c r="B31" s="733"/>
      <c r="C31" s="727" t="s">
        <v>761</v>
      </c>
      <c r="D31" s="728"/>
      <c r="E31" s="784" t="s">
        <v>231</v>
      </c>
      <c r="F31" s="545" t="s">
        <v>232</v>
      </c>
      <c r="G31" s="5"/>
      <c r="H31" s="365" t="str">
        <f t="shared" si="6"/>
        <v/>
      </c>
      <c r="I31" s="5"/>
      <c r="J31" s="5"/>
      <c r="K31" s="557" t="str">
        <f t="shared" si="7"/>
        <v/>
      </c>
      <c r="L31" s="362"/>
      <c r="M31" s="401" t="b">
        <v>0</v>
      </c>
      <c r="N31" s="401" t="b">
        <v>0</v>
      </c>
      <c r="O31" s="5"/>
      <c r="P31" s="363"/>
      <c r="Q31" s="557"/>
      <c r="R31" s="5"/>
      <c r="S31" s="5"/>
      <c r="T31" s="5"/>
      <c r="U31" s="5"/>
      <c r="V31" s="557">
        <f t="shared" si="8"/>
        <v>0</v>
      </c>
      <c r="W31" s="5"/>
      <c r="X31" s="362"/>
      <c r="Y31" s="364" t="s">
        <v>112</v>
      </c>
      <c r="Z31" s="5"/>
      <c r="AA31" s="5"/>
      <c r="AB31" s="358"/>
      <c r="AC31" s="5"/>
      <c r="AD31" s="5"/>
      <c r="AE31" s="358"/>
      <c r="AF31" s="557" t="str">
        <f t="shared" si="9"/>
        <v/>
      </c>
      <c r="AG31" s="557" t="str">
        <f t="shared" si="10"/>
        <v/>
      </c>
      <c r="AH31" s="355"/>
      <c r="AK31" s="107" t="s">
        <v>113</v>
      </c>
    </row>
    <row r="32" spans="1:37" s="356" customFormat="1" ht="98" hidden="1" customHeight="1" outlineLevel="3">
      <c r="A32" s="722"/>
      <c r="B32" s="733"/>
      <c r="C32" s="822"/>
      <c r="D32" s="823"/>
      <c r="E32" s="785"/>
      <c r="F32" s="545" t="s">
        <v>233</v>
      </c>
      <c r="G32" s="5"/>
      <c r="H32" s="365" t="str">
        <f t="shared" si="6"/>
        <v/>
      </c>
      <c r="I32" s="5"/>
      <c r="J32" s="5"/>
      <c r="K32" s="557" t="str">
        <f t="shared" si="7"/>
        <v/>
      </c>
      <c r="L32" s="362"/>
      <c r="M32" s="401" t="b">
        <v>0</v>
      </c>
      <c r="N32" s="401" t="b">
        <v>0</v>
      </c>
      <c r="O32" s="5"/>
      <c r="P32" s="363"/>
      <c r="Q32" s="557"/>
      <c r="R32" s="5"/>
      <c r="S32" s="5"/>
      <c r="T32" s="5"/>
      <c r="U32" s="5"/>
      <c r="V32" s="557">
        <f t="shared" si="8"/>
        <v>0</v>
      </c>
      <c r="W32" s="5"/>
      <c r="X32" s="362"/>
      <c r="Y32" s="364" t="s">
        <v>112</v>
      </c>
      <c r="Z32" s="5"/>
      <c r="AA32" s="5"/>
      <c r="AB32" s="358"/>
      <c r="AC32" s="5"/>
      <c r="AD32" s="5"/>
      <c r="AE32" s="358"/>
      <c r="AF32" s="557" t="str">
        <f t="shared" si="9"/>
        <v/>
      </c>
      <c r="AG32" s="557" t="str">
        <f t="shared" si="10"/>
        <v/>
      </c>
      <c r="AH32" s="355"/>
      <c r="AK32" s="107" t="s">
        <v>113</v>
      </c>
    </row>
    <row r="33" spans="1:37" s="356" customFormat="1" ht="124.25" hidden="1" customHeight="1" outlineLevel="3">
      <c r="A33" s="722"/>
      <c r="B33" s="733"/>
      <c r="C33" s="822"/>
      <c r="D33" s="823"/>
      <c r="E33" s="785"/>
      <c r="F33" s="545" t="s">
        <v>234</v>
      </c>
      <c r="G33" s="5"/>
      <c r="H33" s="365" t="str">
        <f t="shared" si="6"/>
        <v/>
      </c>
      <c r="I33" s="5"/>
      <c r="J33" s="5"/>
      <c r="K33" s="557" t="str">
        <f t="shared" si="7"/>
        <v/>
      </c>
      <c r="L33" s="362"/>
      <c r="M33" s="401" t="b">
        <v>0</v>
      </c>
      <c r="N33" s="401" t="b">
        <v>0</v>
      </c>
      <c r="O33" s="5"/>
      <c r="P33" s="363"/>
      <c r="Q33" s="557"/>
      <c r="R33" s="5"/>
      <c r="S33" s="5"/>
      <c r="T33" s="5"/>
      <c r="U33" s="5"/>
      <c r="V33" s="557">
        <f t="shared" si="8"/>
        <v>0</v>
      </c>
      <c r="W33" s="5"/>
      <c r="X33" s="362"/>
      <c r="Y33" s="364" t="s">
        <v>112</v>
      </c>
      <c r="Z33" s="5"/>
      <c r="AA33" s="5"/>
      <c r="AB33" s="358"/>
      <c r="AC33" s="5"/>
      <c r="AD33" s="5"/>
      <c r="AE33" s="358"/>
      <c r="AF33" s="557" t="str">
        <f t="shared" si="9"/>
        <v/>
      </c>
      <c r="AG33" s="557" t="str">
        <f t="shared" si="10"/>
        <v/>
      </c>
      <c r="AH33" s="355"/>
      <c r="AK33" s="107" t="s">
        <v>113</v>
      </c>
    </row>
    <row r="34" spans="1:37" s="356" customFormat="1" ht="33" hidden="1" customHeight="1" outlineLevel="3">
      <c r="A34" s="723"/>
      <c r="B34" s="788"/>
      <c r="C34" s="729"/>
      <c r="D34" s="730"/>
      <c r="E34" s="786"/>
      <c r="F34" s="545" t="s">
        <v>117</v>
      </c>
      <c r="G34" s="5"/>
      <c r="H34" s="365" t="str">
        <f t="shared" si="6"/>
        <v/>
      </c>
      <c r="I34" s="5"/>
      <c r="J34" s="5"/>
      <c r="K34" s="557" t="str">
        <f t="shared" si="7"/>
        <v/>
      </c>
      <c r="L34" s="362"/>
      <c r="M34" s="401" t="b">
        <v>0</v>
      </c>
      <c r="N34" s="401" t="b">
        <v>0</v>
      </c>
      <c r="O34" s="5"/>
      <c r="P34" s="363"/>
      <c r="Q34" s="557"/>
      <c r="R34" s="5"/>
      <c r="S34" s="5"/>
      <c r="T34" s="5"/>
      <c r="U34" s="5"/>
      <c r="V34" s="557">
        <f t="shared" si="8"/>
        <v>0</v>
      </c>
      <c r="W34" s="5"/>
      <c r="X34" s="362"/>
      <c r="Y34" s="364" t="s">
        <v>112</v>
      </c>
      <c r="Z34" s="5"/>
      <c r="AA34" s="5"/>
      <c r="AB34" s="358"/>
      <c r="AC34" s="5"/>
      <c r="AD34" s="5"/>
      <c r="AE34" s="358"/>
      <c r="AF34" s="557" t="str">
        <f t="shared" si="9"/>
        <v/>
      </c>
      <c r="AG34" s="557" t="str">
        <f t="shared" si="10"/>
        <v/>
      </c>
      <c r="AH34" s="355"/>
      <c r="AK34" s="107" t="s">
        <v>113</v>
      </c>
    </row>
    <row r="35" spans="1:37" s="356" customFormat="1" ht="33" hidden="1" customHeight="1" outlineLevel="3">
      <c r="A35" s="721" t="s">
        <v>118</v>
      </c>
      <c r="B35" s="732" t="s">
        <v>119</v>
      </c>
      <c r="C35" s="724" t="s">
        <v>120</v>
      </c>
      <c r="D35" s="725"/>
      <c r="E35" s="725"/>
      <c r="F35" s="726"/>
      <c r="G35" s="5"/>
      <c r="H35" s="365" t="str">
        <f t="shared" si="6"/>
        <v/>
      </c>
      <c r="I35" s="5"/>
      <c r="J35" s="5"/>
      <c r="K35" s="557" t="str">
        <f t="shared" si="7"/>
        <v/>
      </c>
      <c r="L35" s="362"/>
      <c r="M35" s="401"/>
      <c r="N35" s="366"/>
      <c r="O35" s="5"/>
      <c r="P35" s="363"/>
      <c r="Q35" s="557"/>
      <c r="R35" s="5"/>
      <c r="S35" s="5"/>
      <c r="T35" s="5"/>
      <c r="U35" s="5"/>
      <c r="V35" s="557">
        <f t="shared" si="8"/>
        <v>0</v>
      </c>
      <c r="W35" s="5"/>
      <c r="X35" s="362"/>
      <c r="Y35" s="557"/>
      <c r="Z35" s="557"/>
      <c r="AA35" s="557"/>
      <c r="AB35" s="358"/>
      <c r="AC35" s="557"/>
      <c r="AD35" s="557"/>
      <c r="AE35" s="358"/>
      <c r="AF35" s="557" t="str">
        <f t="shared" si="9"/>
        <v/>
      </c>
      <c r="AG35" s="557" t="str">
        <f t="shared" si="10"/>
        <v/>
      </c>
      <c r="AH35" s="355"/>
      <c r="AK35" s="107" t="s">
        <v>121</v>
      </c>
    </row>
    <row r="36" spans="1:37" s="356" customFormat="1" ht="128" hidden="1" customHeight="1" outlineLevel="3">
      <c r="A36" s="722"/>
      <c r="B36" s="733"/>
      <c r="C36" s="756" t="s">
        <v>122</v>
      </c>
      <c r="D36" s="757"/>
      <c r="E36" s="784" t="s">
        <v>231</v>
      </c>
      <c r="F36" s="545" t="s">
        <v>235</v>
      </c>
      <c r="G36" s="5"/>
      <c r="H36" s="365" t="str">
        <f t="shared" si="6"/>
        <v/>
      </c>
      <c r="I36" s="5"/>
      <c r="J36" s="5"/>
      <c r="K36" s="557" t="str">
        <f t="shared" si="7"/>
        <v/>
      </c>
      <c r="L36" s="362"/>
      <c r="M36" s="401" t="b">
        <v>0</v>
      </c>
      <c r="N36" s="366"/>
      <c r="O36" s="5"/>
      <c r="P36" s="363"/>
      <c r="Q36" s="557"/>
      <c r="R36" s="5"/>
      <c r="S36" s="5"/>
      <c r="T36" s="5"/>
      <c r="U36" s="5"/>
      <c r="V36" s="557">
        <f t="shared" si="8"/>
        <v>0</v>
      </c>
      <c r="W36" s="5"/>
      <c r="X36" s="362"/>
      <c r="Y36" s="557"/>
      <c r="Z36" s="557"/>
      <c r="AA36" s="557"/>
      <c r="AB36" s="358"/>
      <c r="AC36" s="557"/>
      <c r="AD36" s="557"/>
      <c r="AE36" s="358"/>
      <c r="AF36" s="557" t="str">
        <f t="shared" si="9"/>
        <v/>
      </c>
      <c r="AG36" s="557" t="str">
        <f t="shared" si="10"/>
        <v/>
      </c>
      <c r="AH36" s="355"/>
      <c r="AK36" s="107" t="s">
        <v>121</v>
      </c>
    </row>
    <row r="37" spans="1:37" s="356" customFormat="1" ht="94.25" hidden="1" customHeight="1" outlineLevel="3">
      <c r="A37" s="722"/>
      <c r="B37" s="733"/>
      <c r="C37" s="758"/>
      <c r="D37" s="759"/>
      <c r="E37" s="785"/>
      <c r="F37" s="545" t="s">
        <v>236</v>
      </c>
      <c r="G37" s="5"/>
      <c r="H37" s="365" t="str">
        <f t="shared" si="6"/>
        <v/>
      </c>
      <c r="I37" s="5"/>
      <c r="J37" s="5"/>
      <c r="K37" s="557" t="str">
        <f t="shared" si="7"/>
        <v/>
      </c>
      <c r="L37" s="362"/>
      <c r="M37" s="401" t="b">
        <v>0</v>
      </c>
      <c r="N37" s="366"/>
      <c r="O37" s="5"/>
      <c r="P37" s="363"/>
      <c r="Q37" s="557"/>
      <c r="R37" s="5"/>
      <c r="S37" s="5"/>
      <c r="T37" s="5"/>
      <c r="U37" s="5"/>
      <c r="V37" s="557">
        <f t="shared" si="8"/>
        <v>0</v>
      </c>
      <c r="W37" s="5"/>
      <c r="X37" s="362"/>
      <c r="Y37" s="557"/>
      <c r="Z37" s="557"/>
      <c r="AA37" s="557"/>
      <c r="AB37" s="358"/>
      <c r="AC37" s="557"/>
      <c r="AD37" s="557"/>
      <c r="AE37" s="358"/>
      <c r="AF37" s="557" t="str">
        <f t="shared" si="9"/>
        <v/>
      </c>
      <c r="AG37" s="557" t="str">
        <f t="shared" si="10"/>
        <v/>
      </c>
      <c r="AH37" s="355"/>
      <c r="AK37" s="107" t="s">
        <v>121</v>
      </c>
    </row>
    <row r="38" spans="1:37" s="356" customFormat="1" ht="189" hidden="1" customHeight="1" outlineLevel="3">
      <c r="A38" s="722"/>
      <c r="B38" s="733"/>
      <c r="C38" s="758"/>
      <c r="D38" s="759"/>
      <c r="E38" s="785"/>
      <c r="F38" s="545" t="s">
        <v>237</v>
      </c>
      <c r="G38" s="5"/>
      <c r="H38" s="365" t="str">
        <f t="shared" si="6"/>
        <v/>
      </c>
      <c r="I38" s="5"/>
      <c r="J38" s="5"/>
      <c r="K38" s="557" t="str">
        <f t="shared" si="7"/>
        <v/>
      </c>
      <c r="L38" s="362"/>
      <c r="M38" s="401" t="b">
        <v>0</v>
      </c>
      <c r="N38" s="366"/>
      <c r="O38" s="5"/>
      <c r="P38" s="363"/>
      <c r="Q38" s="557"/>
      <c r="R38" s="5"/>
      <c r="S38" s="5"/>
      <c r="T38" s="5"/>
      <c r="U38" s="5"/>
      <c r="V38" s="557">
        <f t="shared" si="8"/>
        <v>0</v>
      </c>
      <c r="W38" s="5"/>
      <c r="X38" s="362"/>
      <c r="Y38" s="557"/>
      <c r="Z38" s="557"/>
      <c r="AA38" s="557"/>
      <c r="AB38" s="358"/>
      <c r="AC38" s="557"/>
      <c r="AD38" s="557"/>
      <c r="AE38" s="358"/>
      <c r="AF38" s="557" t="str">
        <f t="shared" si="9"/>
        <v/>
      </c>
      <c r="AG38" s="557" t="str">
        <f t="shared" si="10"/>
        <v/>
      </c>
      <c r="AH38" s="355"/>
      <c r="AK38" s="107" t="s">
        <v>121</v>
      </c>
    </row>
    <row r="39" spans="1:37" s="356" customFormat="1" ht="78" hidden="1" customHeight="1" outlineLevel="3">
      <c r="A39" s="722"/>
      <c r="B39" s="733"/>
      <c r="C39" s="758"/>
      <c r="D39" s="759"/>
      <c r="E39" s="785"/>
      <c r="F39" s="545" t="s">
        <v>124</v>
      </c>
      <c r="G39" s="5"/>
      <c r="H39" s="365" t="str">
        <f t="shared" si="6"/>
        <v/>
      </c>
      <c r="I39" s="5"/>
      <c r="J39" s="5"/>
      <c r="K39" s="557" t="str">
        <f t="shared" si="7"/>
        <v/>
      </c>
      <c r="L39" s="362"/>
      <c r="M39" s="401" t="b">
        <v>0</v>
      </c>
      <c r="N39" s="366"/>
      <c r="O39" s="5"/>
      <c r="P39" s="363"/>
      <c r="Q39" s="557"/>
      <c r="R39" s="5"/>
      <c r="S39" s="5"/>
      <c r="T39" s="5"/>
      <c r="U39" s="5"/>
      <c r="V39" s="557">
        <f t="shared" si="8"/>
        <v>0</v>
      </c>
      <c r="W39" s="5"/>
      <c r="X39" s="362"/>
      <c r="Y39" s="557"/>
      <c r="Z39" s="557"/>
      <c r="AA39" s="557"/>
      <c r="AB39" s="358"/>
      <c r="AC39" s="557"/>
      <c r="AD39" s="557"/>
      <c r="AE39" s="358"/>
      <c r="AF39" s="557" t="str">
        <f t="shared" si="9"/>
        <v/>
      </c>
      <c r="AG39" s="557" t="str">
        <f t="shared" si="10"/>
        <v/>
      </c>
      <c r="AH39" s="355"/>
      <c r="AK39" s="107" t="s">
        <v>121</v>
      </c>
    </row>
    <row r="40" spans="1:37" s="356" customFormat="1" ht="78" hidden="1" customHeight="1" outlineLevel="3">
      <c r="A40" s="722"/>
      <c r="B40" s="733"/>
      <c r="C40" s="758"/>
      <c r="D40" s="759"/>
      <c r="E40" s="785"/>
      <c r="F40" s="545" t="s">
        <v>125</v>
      </c>
      <c r="G40" s="5"/>
      <c r="H40" s="365" t="str">
        <f t="shared" si="6"/>
        <v/>
      </c>
      <c r="I40" s="5"/>
      <c r="J40" s="5"/>
      <c r="K40" s="557" t="str">
        <f t="shared" si="7"/>
        <v/>
      </c>
      <c r="L40" s="362"/>
      <c r="M40" s="401" t="b">
        <v>0</v>
      </c>
      <c r="N40" s="366"/>
      <c r="O40" s="5"/>
      <c r="P40" s="363"/>
      <c r="Q40" s="557"/>
      <c r="R40" s="5"/>
      <c r="S40" s="5"/>
      <c r="T40" s="5"/>
      <c r="U40" s="5"/>
      <c r="V40" s="557">
        <f t="shared" si="8"/>
        <v>0</v>
      </c>
      <c r="W40" s="5"/>
      <c r="X40" s="362"/>
      <c r="Y40" s="557"/>
      <c r="Z40" s="557"/>
      <c r="AA40" s="557"/>
      <c r="AB40" s="358"/>
      <c r="AC40" s="557"/>
      <c r="AD40" s="557"/>
      <c r="AE40" s="358"/>
      <c r="AF40" s="557" t="str">
        <f t="shared" si="9"/>
        <v/>
      </c>
      <c r="AG40" s="557" t="str">
        <f t="shared" si="10"/>
        <v/>
      </c>
      <c r="AH40" s="355"/>
      <c r="AK40" s="107" t="s">
        <v>121</v>
      </c>
    </row>
    <row r="41" spans="1:37" s="356" customFormat="1" ht="75" hidden="1" customHeight="1" outlineLevel="3">
      <c r="A41" s="723"/>
      <c r="B41" s="788"/>
      <c r="C41" s="760"/>
      <c r="D41" s="761"/>
      <c r="E41" s="786"/>
      <c r="F41" s="545" t="s">
        <v>238</v>
      </c>
      <c r="G41" s="5"/>
      <c r="H41" s="365" t="str">
        <f t="shared" si="6"/>
        <v/>
      </c>
      <c r="I41" s="5"/>
      <c r="J41" s="5"/>
      <c r="K41" s="557" t="str">
        <f t="shared" si="7"/>
        <v/>
      </c>
      <c r="L41" s="362"/>
      <c r="M41" s="401" t="b">
        <v>0</v>
      </c>
      <c r="N41" s="366"/>
      <c r="O41" s="5"/>
      <c r="P41" s="363"/>
      <c r="Q41" s="557"/>
      <c r="R41" s="5"/>
      <c r="S41" s="5"/>
      <c r="T41" s="5"/>
      <c r="U41" s="5"/>
      <c r="V41" s="557">
        <f t="shared" si="8"/>
        <v>0</v>
      </c>
      <c r="W41" s="5"/>
      <c r="X41" s="362"/>
      <c r="Y41" s="557"/>
      <c r="Z41" s="557"/>
      <c r="AA41" s="557"/>
      <c r="AB41" s="358"/>
      <c r="AC41" s="557"/>
      <c r="AD41" s="557"/>
      <c r="AE41" s="358"/>
      <c r="AF41" s="557" t="str">
        <f t="shared" si="9"/>
        <v/>
      </c>
      <c r="AG41" s="557" t="str">
        <f t="shared" si="10"/>
        <v/>
      </c>
      <c r="AH41" s="355"/>
      <c r="AK41" s="107" t="s">
        <v>121</v>
      </c>
    </row>
    <row r="42" spans="1:37" s="356" customFormat="1" ht="33" hidden="1" customHeight="1" outlineLevel="3">
      <c r="A42" s="721" t="s">
        <v>127</v>
      </c>
      <c r="B42" s="732" t="s">
        <v>128</v>
      </c>
      <c r="C42" s="724" t="s">
        <v>129</v>
      </c>
      <c r="D42" s="725"/>
      <c r="E42" s="725"/>
      <c r="F42" s="726"/>
      <c r="G42" s="5"/>
      <c r="H42" s="365" t="str">
        <f t="shared" si="6"/>
        <v/>
      </c>
      <c r="I42" s="5"/>
      <c r="J42" s="5"/>
      <c r="K42" s="557" t="str">
        <f t="shared" si="7"/>
        <v/>
      </c>
      <c r="L42" s="362"/>
      <c r="M42" s="401" t="b">
        <v>0</v>
      </c>
      <c r="N42" s="366"/>
      <c r="O42" s="5"/>
      <c r="P42" s="363"/>
      <c r="Q42" s="5"/>
      <c r="R42" s="5"/>
      <c r="S42" s="5"/>
      <c r="T42" s="5"/>
      <c r="U42" s="5"/>
      <c r="V42" s="557">
        <f t="shared" si="8"/>
        <v>0</v>
      </c>
      <c r="W42" s="5"/>
      <c r="X42" s="362"/>
      <c r="Y42" s="557"/>
      <c r="Z42" s="557"/>
      <c r="AA42" s="557"/>
      <c r="AB42" s="358"/>
      <c r="AC42" s="557"/>
      <c r="AD42" s="557"/>
      <c r="AE42" s="358"/>
      <c r="AF42" s="557" t="str">
        <f t="shared" si="9"/>
        <v/>
      </c>
      <c r="AG42" s="557" t="str">
        <f t="shared" si="10"/>
        <v/>
      </c>
      <c r="AH42" s="355"/>
      <c r="AK42" s="107" t="s">
        <v>130</v>
      </c>
    </row>
    <row r="43" spans="1:37" s="356" customFormat="1" ht="113" hidden="1" customHeight="1" outlineLevel="3">
      <c r="A43" s="722"/>
      <c r="B43" s="733"/>
      <c r="C43" s="746" t="s">
        <v>122</v>
      </c>
      <c r="D43" s="747"/>
      <c r="E43" s="784" t="s">
        <v>231</v>
      </c>
      <c r="F43" s="545" t="s">
        <v>239</v>
      </c>
      <c r="G43" s="5"/>
      <c r="H43" s="365" t="str">
        <f t="shared" si="6"/>
        <v/>
      </c>
      <c r="I43" s="5"/>
      <c r="J43" s="5"/>
      <c r="K43" s="557" t="str">
        <f t="shared" si="7"/>
        <v/>
      </c>
      <c r="L43" s="362"/>
      <c r="M43" s="401" t="b">
        <v>0</v>
      </c>
      <c r="N43" s="366"/>
      <c r="O43" s="5"/>
      <c r="P43" s="363"/>
      <c r="Q43" s="5"/>
      <c r="R43" s="5"/>
      <c r="S43" s="5"/>
      <c r="T43" s="5"/>
      <c r="U43" s="5"/>
      <c r="V43" s="557">
        <f t="shared" si="8"/>
        <v>0</v>
      </c>
      <c r="W43" s="5"/>
      <c r="X43" s="362"/>
      <c r="Y43" s="557"/>
      <c r="Z43" s="557"/>
      <c r="AA43" s="557"/>
      <c r="AB43" s="358"/>
      <c r="AC43" s="557"/>
      <c r="AD43" s="557"/>
      <c r="AE43" s="358"/>
      <c r="AF43" s="557" t="str">
        <f t="shared" si="9"/>
        <v/>
      </c>
      <c r="AG43" s="557" t="str">
        <f t="shared" si="10"/>
        <v/>
      </c>
      <c r="AH43" s="355"/>
      <c r="AK43" s="107" t="s">
        <v>130</v>
      </c>
    </row>
    <row r="44" spans="1:37" s="356" customFormat="1" ht="113" hidden="1" customHeight="1" outlineLevel="3">
      <c r="A44" s="722"/>
      <c r="B44" s="733"/>
      <c r="C44" s="830"/>
      <c r="D44" s="831"/>
      <c r="E44" s="785"/>
      <c r="F44" s="545" t="s">
        <v>240</v>
      </c>
      <c r="G44" s="5"/>
      <c r="H44" s="365" t="str">
        <f t="shared" si="6"/>
        <v/>
      </c>
      <c r="I44" s="5"/>
      <c r="J44" s="5"/>
      <c r="K44" s="557" t="str">
        <f t="shared" si="7"/>
        <v/>
      </c>
      <c r="L44" s="362"/>
      <c r="M44" s="401" t="b">
        <v>0</v>
      </c>
      <c r="N44" s="366"/>
      <c r="O44" s="5"/>
      <c r="P44" s="363"/>
      <c r="Q44" s="5"/>
      <c r="R44" s="5"/>
      <c r="S44" s="5"/>
      <c r="T44" s="5"/>
      <c r="U44" s="5"/>
      <c r="V44" s="557">
        <f t="shared" si="8"/>
        <v>0</v>
      </c>
      <c r="W44" s="5"/>
      <c r="X44" s="362"/>
      <c r="Y44" s="557"/>
      <c r="Z44" s="557"/>
      <c r="AA44" s="557"/>
      <c r="AB44" s="358"/>
      <c r="AC44" s="557"/>
      <c r="AD44" s="557"/>
      <c r="AE44" s="358"/>
      <c r="AF44" s="557" t="str">
        <f t="shared" si="9"/>
        <v/>
      </c>
      <c r="AG44" s="557" t="str">
        <f t="shared" si="10"/>
        <v/>
      </c>
      <c r="AH44" s="355"/>
      <c r="AK44" s="107" t="s">
        <v>130</v>
      </c>
    </row>
    <row r="45" spans="1:37" s="356" customFormat="1" ht="113" hidden="1" customHeight="1" outlineLevel="3">
      <c r="A45" s="722"/>
      <c r="B45" s="733"/>
      <c r="C45" s="830"/>
      <c r="D45" s="831"/>
      <c r="E45" s="785"/>
      <c r="F45" s="545" t="s">
        <v>241</v>
      </c>
      <c r="G45" s="5"/>
      <c r="H45" s="365" t="str">
        <f t="shared" si="6"/>
        <v/>
      </c>
      <c r="I45" s="5"/>
      <c r="J45" s="5"/>
      <c r="K45" s="557" t="str">
        <f t="shared" si="7"/>
        <v/>
      </c>
      <c r="L45" s="362"/>
      <c r="M45" s="401" t="b">
        <v>0</v>
      </c>
      <c r="N45" s="366"/>
      <c r="O45" s="5"/>
      <c r="P45" s="363"/>
      <c r="Q45" s="5"/>
      <c r="R45" s="5"/>
      <c r="S45" s="5"/>
      <c r="T45" s="5"/>
      <c r="U45" s="5"/>
      <c r="V45" s="557">
        <f t="shared" si="8"/>
        <v>0</v>
      </c>
      <c r="W45" s="5"/>
      <c r="X45" s="362"/>
      <c r="Y45" s="557"/>
      <c r="Z45" s="557"/>
      <c r="AA45" s="557"/>
      <c r="AB45" s="358"/>
      <c r="AC45" s="557"/>
      <c r="AD45" s="557"/>
      <c r="AE45" s="358"/>
      <c r="AF45" s="557" t="str">
        <f t="shared" si="9"/>
        <v/>
      </c>
      <c r="AG45" s="557" t="str">
        <f t="shared" si="10"/>
        <v/>
      </c>
      <c r="AH45" s="355"/>
      <c r="AK45" s="107" t="s">
        <v>136</v>
      </c>
    </row>
    <row r="46" spans="1:37" s="356" customFormat="1" ht="113" hidden="1" customHeight="1" outlineLevel="3">
      <c r="A46" s="723"/>
      <c r="B46" s="788"/>
      <c r="C46" s="748"/>
      <c r="D46" s="749"/>
      <c r="E46" s="786"/>
      <c r="F46" s="545" t="s">
        <v>132</v>
      </c>
      <c r="G46" s="5"/>
      <c r="H46" s="365" t="str">
        <f t="shared" si="6"/>
        <v/>
      </c>
      <c r="I46" s="5"/>
      <c r="J46" s="5"/>
      <c r="K46" s="557" t="str">
        <f t="shared" si="7"/>
        <v/>
      </c>
      <c r="L46" s="362"/>
      <c r="M46" s="401" t="b">
        <v>0</v>
      </c>
      <c r="N46" s="366"/>
      <c r="O46" s="5"/>
      <c r="P46" s="363"/>
      <c r="Q46" s="5"/>
      <c r="R46" s="5"/>
      <c r="S46" s="5"/>
      <c r="T46" s="5"/>
      <c r="U46" s="5"/>
      <c r="V46" s="557">
        <f t="shared" si="8"/>
        <v>0</v>
      </c>
      <c r="W46" s="5"/>
      <c r="X46" s="362"/>
      <c r="Y46" s="557"/>
      <c r="Z46" s="557"/>
      <c r="AA46" s="557"/>
      <c r="AB46" s="358"/>
      <c r="AC46" s="557"/>
      <c r="AD46" s="557"/>
      <c r="AE46" s="358"/>
      <c r="AF46" s="557" t="str">
        <f t="shared" si="9"/>
        <v/>
      </c>
      <c r="AG46" s="557" t="str">
        <f t="shared" si="10"/>
        <v/>
      </c>
      <c r="AH46" s="355"/>
      <c r="AK46" s="107" t="s">
        <v>136</v>
      </c>
    </row>
    <row r="47" spans="1:37" s="356" customFormat="1" ht="33" hidden="1" customHeight="1" outlineLevel="3">
      <c r="A47" s="721" t="s">
        <v>133</v>
      </c>
      <c r="B47" s="732" t="s">
        <v>134</v>
      </c>
      <c r="C47" s="724" t="s">
        <v>135</v>
      </c>
      <c r="D47" s="725"/>
      <c r="E47" s="725"/>
      <c r="F47" s="726"/>
      <c r="G47" s="5"/>
      <c r="H47" s="365" t="str">
        <f t="shared" si="6"/>
        <v/>
      </c>
      <c r="I47" s="5"/>
      <c r="J47" s="5"/>
      <c r="K47" s="557" t="str">
        <f t="shared" si="7"/>
        <v/>
      </c>
      <c r="L47" s="362"/>
      <c r="M47" s="401" t="b">
        <v>0</v>
      </c>
      <c r="N47" s="366"/>
      <c r="O47" s="5"/>
      <c r="P47" s="363"/>
      <c r="Q47" s="5"/>
      <c r="R47" s="5"/>
      <c r="S47" s="5"/>
      <c r="T47" s="5"/>
      <c r="U47" s="5"/>
      <c r="V47" s="557">
        <f t="shared" si="8"/>
        <v>0</v>
      </c>
      <c r="W47" s="5"/>
      <c r="X47" s="362"/>
      <c r="Y47" s="557"/>
      <c r="Z47" s="557"/>
      <c r="AA47" s="557"/>
      <c r="AB47" s="358"/>
      <c r="AC47" s="557"/>
      <c r="AD47" s="557"/>
      <c r="AE47" s="358"/>
      <c r="AF47" s="557" t="str">
        <f t="shared" si="9"/>
        <v/>
      </c>
      <c r="AG47" s="557" t="str">
        <f t="shared" si="10"/>
        <v/>
      </c>
      <c r="AH47" s="355"/>
      <c r="AK47" s="107" t="s">
        <v>136</v>
      </c>
    </row>
    <row r="48" spans="1:37" s="356" customFormat="1" ht="132" hidden="1" customHeight="1" outlineLevel="3">
      <c r="A48" s="722"/>
      <c r="B48" s="733"/>
      <c r="C48" s="756" t="s">
        <v>122</v>
      </c>
      <c r="D48" s="757"/>
      <c r="E48" s="784" t="s">
        <v>231</v>
      </c>
      <c r="F48" s="545" t="s">
        <v>242</v>
      </c>
      <c r="G48" s="5"/>
      <c r="H48" s="365" t="str">
        <f t="shared" si="6"/>
        <v/>
      </c>
      <c r="I48" s="5"/>
      <c r="J48" s="5"/>
      <c r="K48" s="557" t="str">
        <f t="shared" si="7"/>
        <v/>
      </c>
      <c r="L48" s="362"/>
      <c r="M48" s="401" t="b">
        <v>0</v>
      </c>
      <c r="N48" s="366"/>
      <c r="O48" s="5"/>
      <c r="P48" s="363"/>
      <c r="Q48" s="5"/>
      <c r="R48" s="5"/>
      <c r="S48" s="5"/>
      <c r="T48" s="5"/>
      <c r="U48" s="5"/>
      <c r="V48" s="557">
        <f t="shared" si="8"/>
        <v>0</v>
      </c>
      <c r="W48" s="5"/>
      <c r="X48" s="362"/>
      <c r="Y48" s="557"/>
      <c r="Z48" s="557"/>
      <c r="AA48" s="557"/>
      <c r="AB48" s="358"/>
      <c r="AC48" s="557"/>
      <c r="AD48" s="557"/>
      <c r="AE48" s="358"/>
      <c r="AF48" s="557" t="str">
        <f t="shared" si="9"/>
        <v/>
      </c>
      <c r="AG48" s="557" t="str">
        <f t="shared" si="10"/>
        <v/>
      </c>
      <c r="AH48" s="355"/>
      <c r="AK48" s="107" t="s">
        <v>136</v>
      </c>
    </row>
    <row r="49" spans="1:37" s="356" customFormat="1" ht="132" hidden="1" customHeight="1" outlineLevel="3">
      <c r="A49" s="722"/>
      <c r="B49" s="733"/>
      <c r="C49" s="758"/>
      <c r="D49" s="759"/>
      <c r="E49" s="785"/>
      <c r="F49" s="545" t="s">
        <v>243</v>
      </c>
      <c r="G49" s="5"/>
      <c r="H49" s="365" t="str">
        <f t="shared" si="6"/>
        <v/>
      </c>
      <c r="I49" s="5"/>
      <c r="J49" s="5"/>
      <c r="K49" s="557" t="str">
        <f t="shared" si="7"/>
        <v/>
      </c>
      <c r="L49" s="362"/>
      <c r="M49" s="401" t="b">
        <v>0</v>
      </c>
      <c r="N49" s="366"/>
      <c r="O49" s="5"/>
      <c r="P49" s="363"/>
      <c r="Q49" s="5"/>
      <c r="R49" s="5"/>
      <c r="S49" s="5"/>
      <c r="T49" s="5"/>
      <c r="U49" s="5"/>
      <c r="V49" s="557">
        <f t="shared" si="8"/>
        <v>0</v>
      </c>
      <c r="W49" s="5"/>
      <c r="X49" s="362"/>
      <c r="Y49" s="557"/>
      <c r="Z49" s="557"/>
      <c r="AA49" s="557"/>
      <c r="AB49" s="358"/>
      <c r="AC49" s="557"/>
      <c r="AD49" s="557"/>
      <c r="AE49" s="358"/>
      <c r="AF49" s="557" t="str">
        <f t="shared" si="9"/>
        <v/>
      </c>
      <c r="AG49" s="557" t="str">
        <f t="shared" si="10"/>
        <v/>
      </c>
      <c r="AH49" s="355"/>
      <c r="AK49" s="107" t="s">
        <v>136</v>
      </c>
    </row>
    <row r="50" spans="1:37" s="356" customFormat="1" ht="132" hidden="1" customHeight="1" outlineLevel="3">
      <c r="A50" s="722"/>
      <c r="B50" s="733"/>
      <c r="C50" s="758"/>
      <c r="D50" s="759"/>
      <c r="E50" s="786"/>
      <c r="F50" s="545" t="s">
        <v>140</v>
      </c>
      <c r="G50" s="5"/>
      <c r="H50" s="365" t="str">
        <f t="shared" si="6"/>
        <v/>
      </c>
      <c r="I50" s="5"/>
      <c r="J50" s="5"/>
      <c r="K50" s="557" t="str">
        <f t="shared" si="7"/>
        <v/>
      </c>
      <c r="L50" s="362"/>
      <c r="M50" s="401" t="b">
        <v>0</v>
      </c>
      <c r="N50" s="366"/>
      <c r="O50" s="5"/>
      <c r="P50" s="363"/>
      <c r="Q50" s="5"/>
      <c r="R50" s="5"/>
      <c r="S50" s="5"/>
      <c r="T50" s="5"/>
      <c r="U50" s="5"/>
      <c r="V50" s="557">
        <f t="shared" si="8"/>
        <v>0</v>
      </c>
      <c r="W50" s="5"/>
      <c r="X50" s="362"/>
      <c r="Y50" s="557"/>
      <c r="Z50" s="557"/>
      <c r="AA50" s="557"/>
      <c r="AB50" s="358"/>
      <c r="AC50" s="557"/>
      <c r="AD50" s="557"/>
      <c r="AE50" s="358"/>
      <c r="AF50" s="557" t="str">
        <f t="shared" si="9"/>
        <v/>
      </c>
      <c r="AG50" s="557" t="str">
        <f t="shared" si="10"/>
        <v/>
      </c>
      <c r="AH50" s="355"/>
      <c r="AK50" s="107" t="s">
        <v>136</v>
      </c>
    </row>
    <row r="51" spans="1:37" s="356" customFormat="1" ht="33" hidden="1" customHeight="1" outlineLevel="3">
      <c r="A51" s="723"/>
      <c r="B51" s="788"/>
      <c r="C51" s="760"/>
      <c r="D51" s="761"/>
      <c r="E51" s="762" t="s">
        <v>244</v>
      </c>
      <c r="F51" s="763"/>
      <c r="G51" s="5"/>
      <c r="H51" s="365" t="str">
        <f t="shared" si="6"/>
        <v/>
      </c>
      <c r="I51" s="5"/>
      <c r="J51" s="5"/>
      <c r="K51" s="557" t="str">
        <f t="shared" si="7"/>
        <v/>
      </c>
      <c r="L51" s="362"/>
      <c r="M51" s="401" t="b">
        <v>0</v>
      </c>
      <c r="N51" s="366"/>
      <c r="O51" s="5"/>
      <c r="P51" s="363"/>
      <c r="Q51" s="5"/>
      <c r="R51" s="5"/>
      <c r="S51" s="5"/>
      <c r="T51" s="5"/>
      <c r="U51" s="5"/>
      <c r="V51" s="557">
        <f t="shared" si="8"/>
        <v>0</v>
      </c>
      <c r="W51" s="5"/>
      <c r="X51" s="362"/>
      <c r="Y51" s="557"/>
      <c r="Z51" s="557"/>
      <c r="AA51" s="557"/>
      <c r="AB51" s="358"/>
      <c r="AC51" s="557"/>
      <c r="AD51" s="557"/>
      <c r="AE51" s="358"/>
      <c r="AF51" s="557" t="str">
        <f t="shared" si="9"/>
        <v/>
      </c>
      <c r="AG51" s="557" t="str">
        <f t="shared" si="10"/>
        <v/>
      </c>
      <c r="AH51" s="355"/>
      <c r="AK51" s="107" t="s">
        <v>136</v>
      </c>
    </row>
    <row r="52" spans="1:37" s="356" customFormat="1" ht="33" hidden="1" customHeight="1" outlineLevel="3">
      <c r="A52" s="752"/>
      <c r="B52" s="732" t="s">
        <v>142</v>
      </c>
      <c r="C52" s="762" t="s">
        <v>245</v>
      </c>
      <c r="D52" s="832"/>
      <c r="E52" s="832"/>
      <c r="F52" s="832"/>
      <c r="G52" s="4"/>
      <c r="H52" s="365" t="str">
        <f t="shared" si="6"/>
        <v/>
      </c>
      <c r="I52" s="557"/>
      <c r="J52" s="557"/>
      <c r="K52" s="557"/>
      <c r="L52" s="367"/>
      <c r="M52" s="557"/>
      <c r="N52" s="557"/>
      <c r="O52" s="557"/>
      <c r="P52" s="368"/>
      <c r="Q52" s="557"/>
      <c r="R52" s="557"/>
      <c r="S52" s="557"/>
      <c r="T52" s="557"/>
      <c r="U52" s="557"/>
      <c r="V52" s="557"/>
      <c r="W52" s="557"/>
      <c r="X52" s="574"/>
      <c r="Y52" s="557"/>
      <c r="Z52" s="557"/>
      <c r="AA52" s="557"/>
      <c r="AB52" s="358"/>
      <c r="AC52" s="557"/>
      <c r="AD52" s="557"/>
      <c r="AE52" s="358"/>
      <c r="AF52" s="557"/>
      <c r="AG52" s="557"/>
      <c r="AH52" s="355"/>
      <c r="AK52" s="107"/>
    </row>
    <row r="53" spans="1:37" s="356" customFormat="1" ht="33" hidden="1" customHeight="1" outlineLevel="3">
      <c r="A53" s="753"/>
      <c r="B53" s="733"/>
      <c r="C53" s="762" t="s">
        <v>246</v>
      </c>
      <c r="D53" s="832"/>
      <c r="E53" s="832"/>
      <c r="F53" s="832"/>
      <c r="G53" s="4"/>
      <c r="H53" s="365" t="str">
        <f t="shared" si="6"/>
        <v/>
      </c>
      <c r="I53" s="557"/>
      <c r="J53" s="557"/>
      <c r="K53" s="557"/>
      <c r="L53" s="367"/>
      <c r="M53" s="557"/>
      <c r="N53" s="557"/>
      <c r="O53" s="557"/>
      <c r="P53" s="355"/>
      <c r="Q53" s="557"/>
      <c r="R53" s="557"/>
      <c r="S53" s="557"/>
      <c r="T53" s="557"/>
      <c r="U53" s="557"/>
      <c r="V53" s="557"/>
      <c r="W53" s="557"/>
      <c r="X53" s="355"/>
      <c r="Y53" s="557"/>
      <c r="Z53" s="557"/>
      <c r="AA53" s="557"/>
      <c r="AB53" s="355"/>
      <c r="AC53" s="557"/>
      <c r="AD53" s="557"/>
      <c r="AE53" s="355"/>
      <c r="AF53" s="557"/>
      <c r="AG53" s="557"/>
      <c r="AH53" s="355"/>
      <c r="AK53" s="107"/>
    </row>
    <row r="54" spans="1:37" s="356" customFormat="1" ht="33" hidden="1" customHeight="1" outlineLevel="3">
      <c r="A54" s="753"/>
      <c r="B54" s="733"/>
      <c r="C54" s="762" t="s">
        <v>247</v>
      </c>
      <c r="D54" s="832"/>
      <c r="E54" s="832"/>
      <c r="F54" s="832"/>
      <c r="G54" s="4"/>
      <c r="H54" s="365" t="str">
        <f t="shared" si="6"/>
        <v/>
      </c>
      <c r="I54" s="557"/>
      <c r="J54" s="557"/>
      <c r="K54" s="557"/>
      <c r="L54" s="367"/>
      <c r="M54" s="557"/>
      <c r="N54" s="557"/>
      <c r="O54" s="557"/>
      <c r="P54" s="355"/>
      <c r="Q54" s="557"/>
      <c r="R54" s="557"/>
      <c r="S54" s="557"/>
      <c r="T54" s="557"/>
      <c r="U54" s="557"/>
      <c r="V54" s="557"/>
      <c r="W54" s="557"/>
      <c r="X54" s="355"/>
      <c r="Y54" s="557"/>
      <c r="Z54" s="557"/>
      <c r="AA54" s="557"/>
      <c r="AB54" s="355"/>
      <c r="AC54" s="557"/>
      <c r="AD54" s="557"/>
      <c r="AE54" s="355"/>
      <c r="AF54" s="557"/>
      <c r="AG54" s="557"/>
      <c r="AH54" s="355"/>
    </row>
    <row r="55" spans="1:37" s="356" customFormat="1" ht="33" hidden="1" customHeight="1" outlineLevel="3">
      <c r="A55" s="753"/>
      <c r="B55" s="733"/>
      <c r="C55" s="762" t="s">
        <v>248</v>
      </c>
      <c r="D55" s="832"/>
      <c r="E55" s="832"/>
      <c r="F55" s="763"/>
      <c r="G55" s="4"/>
      <c r="H55" s="365" t="str">
        <f t="shared" si="6"/>
        <v/>
      </c>
      <c r="I55" s="557"/>
      <c r="J55" s="557"/>
      <c r="K55" s="557"/>
      <c r="L55" s="367"/>
      <c r="M55" s="557"/>
      <c r="N55" s="557"/>
      <c r="O55" s="557"/>
      <c r="P55" s="355"/>
      <c r="Q55" s="557"/>
      <c r="R55" s="557"/>
      <c r="S55" s="557"/>
      <c r="T55" s="557"/>
      <c r="U55" s="557"/>
      <c r="V55" s="557"/>
      <c r="W55" s="557"/>
      <c r="X55" s="355"/>
      <c r="Y55" s="557"/>
      <c r="Z55" s="557"/>
      <c r="AA55" s="557"/>
      <c r="AB55" s="355"/>
      <c r="AC55" s="557"/>
      <c r="AD55" s="557"/>
      <c r="AE55" s="355"/>
      <c r="AF55" s="557"/>
      <c r="AG55" s="557"/>
      <c r="AH55" s="355"/>
    </row>
    <row r="56" spans="1:37" s="356" customFormat="1" ht="33" hidden="1" customHeight="1" outlineLevel="3">
      <c r="A56" s="753"/>
      <c r="B56" s="733"/>
      <c r="C56" s="762" t="s">
        <v>249</v>
      </c>
      <c r="D56" s="832"/>
      <c r="E56" s="832"/>
      <c r="F56" s="763"/>
      <c r="G56" s="4"/>
      <c r="H56" s="365" t="str">
        <f t="shared" si="6"/>
        <v/>
      </c>
      <c r="I56" s="557"/>
      <c r="J56" s="557"/>
      <c r="K56" s="557"/>
      <c r="L56" s="367"/>
      <c r="M56" s="557"/>
      <c r="N56" s="557"/>
      <c r="O56" s="557"/>
      <c r="P56" s="355"/>
      <c r="Q56" s="557"/>
      <c r="R56" s="557"/>
      <c r="S56" s="557"/>
      <c r="T56" s="557"/>
      <c r="U56" s="557"/>
      <c r="V56" s="557"/>
      <c r="W56" s="557"/>
      <c r="X56" s="355"/>
      <c r="Y56" s="557"/>
      <c r="Z56" s="557"/>
      <c r="AA56" s="557"/>
      <c r="AB56" s="355"/>
      <c r="AC56" s="557"/>
      <c r="AD56" s="557"/>
      <c r="AE56" s="355"/>
      <c r="AF56" s="557"/>
      <c r="AG56" s="557"/>
      <c r="AH56" s="355"/>
    </row>
    <row r="57" spans="1:37" s="356" customFormat="1" ht="33" hidden="1" customHeight="1" outlineLevel="3">
      <c r="A57" s="753"/>
      <c r="B57" s="733"/>
      <c r="C57" s="762" t="s">
        <v>250</v>
      </c>
      <c r="D57" s="832"/>
      <c r="E57" s="832"/>
      <c r="F57" s="763"/>
      <c r="G57" s="4"/>
      <c r="H57" s="365" t="str">
        <f t="shared" si="6"/>
        <v/>
      </c>
      <c r="I57" s="557"/>
      <c r="J57" s="557"/>
      <c r="K57" s="557"/>
      <c r="L57" s="367"/>
      <c r="M57" s="557"/>
      <c r="N57" s="557"/>
      <c r="O57" s="557"/>
      <c r="P57" s="355"/>
      <c r="Q57" s="557"/>
      <c r="R57" s="557"/>
      <c r="S57" s="557"/>
      <c r="T57" s="557"/>
      <c r="U57" s="557"/>
      <c r="V57" s="557"/>
      <c r="W57" s="557"/>
      <c r="X57" s="355"/>
      <c r="Y57" s="557"/>
      <c r="Z57" s="557"/>
      <c r="AA57" s="557"/>
      <c r="AB57" s="355"/>
      <c r="AC57" s="557"/>
      <c r="AD57" s="557"/>
      <c r="AE57" s="355"/>
      <c r="AF57" s="557"/>
      <c r="AG57" s="557"/>
      <c r="AH57" s="355"/>
    </row>
    <row r="58" spans="1:37" s="356" customFormat="1" ht="33" hidden="1" customHeight="1" outlineLevel="3">
      <c r="A58" s="753"/>
      <c r="B58" s="733"/>
      <c r="C58" s="762" t="s">
        <v>251</v>
      </c>
      <c r="D58" s="832"/>
      <c r="E58" s="832"/>
      <c r="F58" s="763"/>
      <c r="G58" s="4"/>
      <c r="H58" s="365" t="str">
        <f t="shared" si="6"/>
        <v/>
      </c>
      <c r="I58" s="557"/>
      <c r="J58" s="557"/>
      <c r="K58" s="557"/>
      <c r="L58" s="367"/>
      <c r="M58" s="557"/>
      <c r="N58" s="557"/>
      <c r="O58" s="557"/>
      <c r="P58" s="355"/>
      <c r="Q58" s="557"/>
      <c r="R58" s="557"/>
      <c r="S58" s="557"/>
      <c r="T58" s="557"/>
      <c r="U58" s="557"/>
      <c r="V58" s="557"/>
      <c r="W58" s="557"/>
      <c r="X58" s="355"/>
      <c r="Y58" s="557"/>
      <c r="Z58" s="557"/>
      <c r="AA58" s="557"/>
      <c r="AB58" s="355"/>
      <c r="AC58" s="557"/>
      <c r="AD58" s="557"/>
      <c r="AE58" s="355"/>
      <c r="AF58" s="557"/>
      <c r="AG58" s="557"/>
      <c r="AH58" s="355"/>
    </row>
    <row r="59" spans="1:37" s="356" customFormat="1" ht="33" hidden="1" customHeight="1" outlineLevel="3">
      <c r="A59" s="753"/>
      <c r="B59" s="733"/>
      <c r="C59" s="762" t="s">
        <v>252</v>
      </c>
      <c r="D59" s="832"/>
      <c r="E59" s="832"/>
      <c r="F59" s="763"/>
      <c r="G59" s="4"/>
      <c r="H59" s="365" t="str">
        <f t="shared" si="6"/>
        <v/>
      </c>
      <c r="I59" s="557"/>
      <c r="J59" s="557"/>
      <c r="K59" s="557"/>
      <c r="L59" s="367"/>
      <c r="M59" s="557"/>
      <c r="N59" s="557"/>
      <c r="O59" s="557"/>
      <c r="P59" s="355"/>
      <c r="Q59" s="557"/>
      <c r="R59" s="557"/>
      <c r="S59" s="557"/>
      <c r="T59" s="557"/>
      <c r="U59" s="557"/>
      <c r="V59" s="557"/>
      <c r="W59" s="557"/>
      <c r="X59" s="355"/>
      <c r="Y59" s="557"/>
      <c r="Z59" s="557"/>
      <c r="AA59" s="557"/>
      <c r="AB59" s="355"/>
      <c r="AC59" s="557"/>
      <c r="AD59" s="557"/>
      <c r="AE59" s="355"/>
      <c r="AF59" s="557"/>
      <c r="AG59" s="557"/>
      <c r="AH59" s="355"/>
    </row>
    <row r="60" spans="1:37" s="356" customFormat="1" ht="33" hidden="1" customHeight="1" outlineLevel="3">
      <c r="A60" s="753"/>
      <c r="B60" s="733"/>
      <c r="C60" s="762" t="s">
        <v>253</v>
      </c>
      <c r="D60" s="832"/>
      <c r="E60" s="832"/>
      <c r="F60" s="832"/>
      <c r="G60" s="4"/>
      <c r="H60" s="365"/>
      <c r="I60" s="557"/>
      <c r="J60" s="557"/>
      <c r="K60" s="557"/>
      <c r="L60" s="367"/>
      <c r="M60" s="557"/>
      <c r="N60" s="557"/>
      <c r="O60" s="557"/>
      <c r="P60" s="355"/>
      <c r="Q60" s="557"/>
      <c r="R60" s="557"/>
      <c r="S60" s="557"/>
      <c r="T60" s="557"/>
      <c r="U60" s="557"/>
      <c r="V60" s="557"/>
      <c r="W60" s="557"/>
      <c r="X60" s="355"/>
      <c r="Y60" s="557"/>
      <c r="Z60" s="557"/>
      <c r="AA60" s="557"/>
      <c r="AB60" s="355"/>
      <c r="AC60" s="557"/>
      <c r="AD60" s="557"/>
      <c r="AE60" s="355"/>
      <c r="AF60" s="557"/>
      <c r="AG60" s="557"/>
      <c r="AH60" s="355"/>
    </row>
    <row r="61" spans="1:37" s="356" customFormat="1" ht="33" hidden="1" customHeight="1" outlineLevel="3">
      <c r="A61" s="753"/>
      <c r="B61" s="788"/>
      <c r="C61" s="818" t="s">
        <v>147</v>
      </c>
      <c r="D61" s="819"/>
      <c r="E61" s="819"/>
      <c r="F61" s="819"/>
      <c r="G61" s="4"/>
      <c r="H61" s="365" t="str">
        <f>IF(G61="","",G61/$G$66)</f>
        <v/>
      </c>
      <c r="I61" s="557"/>
      <c r="J61" s="557"/>
      <c r="K61" s="557"/>
      <c r="L61" s="367"/>
      <c r="M61" s="557"/>
      <c r="N61" s="557"/>
      <c r="O61" s="557"/>
      <c r="P61" s="355"/>
      <c r="Q61" s="557"/>
      <c r="R61" s="557"/>
      <c r="S61" s="557"/>
      <c r="T61" s="557"/>
      <c r="U61" s="557"/>
      <c r="V61" s="557"/>
      <c r="W61" s="557"/>
      <c r="X61" s="355"/>
      <c r="Y61" s="557"/>
      <c r="Z61" s="557"/>
      <c r="AA61" s="557"/>
      <c r="AB61" s="355"/>
      <c r="AC61" s="557"/>
      <c r="AD61" s="557"/>
      <c r="AE61" s="355"/>
      <c r="AF61" s="557"/>
      <c r="AG61" s="557"/>
      <c r="AH61" s="355"/>
    </row>
    <row r="62" spans="1:37" s="356" customFormat="1" ht="16" hidden="1" outlineLevel="1">
      <c r="A62" s="575"/>
      <c r="B62" s="579"/>
      <c r="C62" s="579"/>
      <c r="D62" s="579"/>
      <c r="E62" s="579"/>
      <c r="F62" s="579"/>
      <c r="G62" s="579"/>
      <c r="H62" s="591"/>
      <c r="I62" s="591"/>
      <c r="J62" s="591"/>
      <c r="K62" s="591"/>
      <c r="L62" s="578"/>
      <c r="M62" s="579"/>
      <c r="N62" s="355"/>
      <c r="O62" s="355"/>
      <c r="P62" s="355"/>
      <c r="Q62" s="355"/>
      <c r="R62" s="355"/>
      <c r="S62" s="355"/>
      <c r="T62" s="355"/>
      <c r="U62" s="355"/>
      <c r="V62" s="355"/>
      <c r="W62" s="355"/>
      <c r="X62" s="355"/>
      <c r="Y62" s="355"/>
      <c r="Z62" s="355"/>
      <c r="AA62" s="355"/>
      <c r="AB62" s="355"/>
      <c r="AC62" s="355"/>
      <c r="AD62" s="355"/>
      <c r="AE62" s="355"/>
      <c r="AF62" s="355"/>
      <c r="AG62" s="355"/>
      <c r="AH62" s="355"/>
    </row>
    <row r="63" spans="1:37" s="356" customFormat="1" ht="34" hidden="1" outlineLevel="1">
      <c r="A63" s="575"/>
      <c r="B63" s="370" t="s">
        <v>148</v>
      </c>
      <c r="C63" s="370"/>
      <c r="D63" s="370"/>
      <c r="E63" s="370"/>
      <c r="F63" s="370"/>
      <c r="G63" s="370" t="s">
        <v>149</v>
      </c>
      <c r="H63" s="370" t="s">
        <v>150</v>
      </c>
      <c r="I63" s="371"/>
      <c r="J63" s="371"/>
      <c r="K63" s="371"/>
      <c r="L63" s="583"/>
      <c r="M63" s="14"/>
      <c r="N63" s="355"/>
      <c r="O63" s="355"/>
      <c r="P63" s="355"/>
      <c r="Q63" s="355"/>
      <c r="R63" s="355"/>
      <c r="S63" s="355"/>
      <c r="T63" s="355"/>
      <c r="U63" s="355"/>
      <c r="V63" s="355"/>
      <c r="W63" s="355"/>
      <c r="X63" s="355"/>
      <c r="Y63" s="355"/>
      <c r="Z63" s="355"/>
      <c r="AA63" s="355"/>
      <c r="AB63" s="355"/>
      <c r="AC63" s="355"/>
      <c r="AD63" s="355"/>
      <c r="AE63" s="355"/>
      <c r="AF63" s="355"/>
      <c r="AG63" s="355"/>
      <c r="AH63" s="355"/>
    </row>
    <row r="64" spans="1:37" s="356" customFormat="1" ht="35" hidden="1" customHeight="1" outlineLevel="1">
      <c r="A64" s="575"/>
      <c r="B64" s="812" t="s">
        <v>254</v>
      </c>
      <c r="C64" s="813"/>
      <c r="D64" s="813"/>
      <c r="E64" s="813"/>
      <c r="F64" s="813"/>
      <c r="G64" s="557">
        <f>IF(SUM(G20:G51)="","",SUM(G20:G51))</f>
        <v>0</v>
      </c>
      <c r="H64" s="365" t="str">
        <f>IF(G66=0,"",G64/$G$66)</f>
        <v/>
      </c>
      <c r="I64" s="374"/>
      <c r="J64" s="374"/>
      <c r="K64" s="374"/>
      <c r="L64" s="374"/>
      <c r="M64" s="14"/>
      <c r="N64" s="355"/>
      <c r="O64" s="355"/>
      <c r="P64" s="355"/>
      <c r="Q64" s="355"/>
      <c r="R64" s="355"/>
      <c r="S64" s="355"/>
      <c r="T64" s="355"/>
      <c r="U64" s="355"/>
      <c r="V64" s="355"/>
      <c r="W64" s="355"/>
      <c r="X64" s="355"/>
      <c r="Y64" s="355"/>
      <c r="Z64" s="355"/>
      <c r="AA64" s="355"/>
      <c r="AB64" s="355"/>
      <c r="AC64" s="355"/>
      <c r="AD64" s="355"/>
      <c r="AE64" s="355"/>
      <c r="AF64" s="355"/>
      <c r="AG64" s="355"/>
      <c r="AH64" s="355"/>
    </row>
    <row r="65" spans="1:37" s="356" customFormat="1" ht="35" hidden="1" customHeight="1" outlineLevel="1">
      <c r="A65" s="575"/>
      <c r="B65" s="812" t="s">
        <v>255</v>
      </c>
      <c r="C65" s="813"/>
      <c r="D65" s="813"/>
      <c r="E65" s="813"/>
      <c r="F65" s="813"/>
      <c r="G65" s="557">
        <f>+SUM(G52:G61)</f>
        <v>0</v>
      </c>
      <c r="H65" s="365" t="str">
        <f>IF(G66=0,"",G65/$G$66)</f>
        <v/>
      </c>
      <c r="I65" s="374"/>
      <c r="J65" s="374"/>
      <c r="K65" s="374"/>
      <c r="L65" s="374"/>
      <c r="M65" s="14"/>
      <c r="N65" s="355"/>
      <c r="O65" s="355"/>
      <c r="P65" s="355"/>
      <c r="Q65" s="355"/>
      <c r="R65" s="355"/>
      <c r="S65" s="355"/>
      <c r="T65" s="355"/>
      <c r="U65" s="355"/>
      <c r="V65" s="355"/>
      <c r="W65" s="355"/>
      <c r="X65" s="355"/>
      <c r="Y65" s="355"/>
      <c r="Z65" s="355"/>
      <c r="AA65" s="355"/>
      <c r="AB65" s="355"/>
      <c r="AC65" s="355"/>
      <c r="AD65" s="355"/>
      <c r="AE65" s="355"/>
      <c r="AF65" s="355"/>
      <c r="AG65" s="355"/>
      <c r="AH65" s="355"/>
    </row>
    <row r="66" spans="1:37" s="356" customFormat="1" ht="35" hidden="1" customHeight="1" outlineLevel="1">
      <c r="A66" s="575"/>
      <c r="B66" s="789" t="s">
        <v>256</v>
      </c>
      <c r="C66" s="790"/>
      <c r="D66" s="790"/>
      <c r="E66" s="790"/>
      <c r="F66" s="790"/>
      <c r="G66" s="376">
        <f>+G64+G65</f>
        <v>0</v>
      </c>
      <c r="H66" s="377"/>
      <c r="I66" s="827" t="str">
        <f>IF(G66="","",IF(G66&lt;&gt;'Financial activity types '!D12,"Error: The total must match the total in the Financial activity types tab","Exposure OK"))</f>
        <v>Exposure OK</v>
      </c>
      <c r="J66" s="827"/>
      <c r="K66" s="827"/>
      <c r="L66" s="374"/>
      <c r="M66" s="706" t="s">
        <v>154</v>
      </c>
      <c r="N66" s="706"/>
      <c r="O66" s="706"/>
      <c r="P66" s="355"/>
      <c r="Q66" s="355"/>
      <c r="R66" s="355"/>
      <c r="S66" s="355"/>
      <c r="T66" s="355"/>
      <c r="U66" s="355"/>
      <c r="V66" s="355"/>
      <c r="W66" s="355"/>
      <c r="X66" s="355"/>
      <c r="Y66" s="355"/>
      <c r="Z66" s="355"/>
      <c r="AA66" s="355"/>
      <c r="AB66" s="355"/>
      <c r="AC66" s="355"/>
      <c r="AD66" s="355"/>
      <c r="AE66" s="355"/>
      <c r="AF66" s="355"/>
      <c r="AG66" s="355"/>
      <c r="AH66" s="355"/>
    </row>
    <row r="67" spans="1:37" s="356" customFormat="1" ht="35" hidden="1" customHeight="1" outlineLevel="1">
      <c r="A67" s="575"/>
      <c r="B67" s="789" t="s">
        <v>257</v>
      </c>
      <c r="C67" s="790"/>
      <c r="D67" s="790"/>
      <c r="E67" s="790"/>
      <c r="F67" s="790"/>
      <c r="G67" s="376">
        <f>(SUMIF(M20:M46,TRUE,V20:V46)+SUMIF(N20:N46,TRUE,Z20:Z46)-SUMIFS(AC20:AC46,M20:M46,TRUE,N20:N46,TRUE))</f>
        <v>0</v>
      </c>
      <c r="H67" s="377" t="e">
        <f>G67/SUM(G20:G46)</f>
        <v>#DIV/0!</v>
      </c>
      <c r="I67" s="828" t="e">
        <f>IF(G66="","",IF(H67&lt;&gt;100%,"Error: The FI must cover 100% of segments A, B, and C","Coverage OK"))</f>
        <v>#DIV/0!</v>
      </c>
      <c r="J67" s="828"/>
      <c r="K67" s="828"/>
      <c r="L67" s="355"/>
      <c r="M67" s="706"/>
      <c r="N67" s="706"/>
      <c r="O67" s="706"/>
      <c r="P67" s="355"/>
      <c r="Q67" s="355"/>
      <c r="R67" s="355"/>
      <c r="S67" s="355"/>
      <c r="T67" s="355"/>
      <c r="U67" s="355"/>
      <c r="V67" s="355"/>
      <c r="W67" s="355"/>
      <c r="X67" s="355"/>
      <c r="Y67" s="355"/>
      <c r="Z67" s="355"/>
      <c r="AA67" s="355"/>
      <c r="AB67" s="355"/>
      <c r="AC67" s="355"/>
      <c r="AD67" s="355"/>
      <c r="AE67" s="355"/>
      <c r="AF67" s="355"/>
      <c r="AG67" s="355"/>
      <c r="AH67" s="355"/>
    </row>
    <row r="68" spans="1:37" s="356" customFormat="1" ht="45" hidden="1" customHeight="1" outlineLevel="1">
      <c r="A68" s="575"/>
      <c r="B68" s="789" t="s">
        <v>258</v>
      </c>
      <c r="C68" s="790"/>
      <c r="D68" s="790"/>
      <c r="E68" s="790"/>
      <c r="F68" s="790"/>
      <c r="G68" s="376">
        <f>(SUMIF(M20:M51,TRUE,V20:V51)+SUMIF(N20:N51,TRUE,Z20:Z51)-SUMIFS(AC20:AC51,M20:M51,TRUE,N20:N51,TRUE))</f>
        <v>0</v>
      </c>
      <c r="H68" s="377" t="e">
        <f>G68/SUM(G20:G51)</f>
        <v>#DIV/0!</v>
      </c>
      <c r="I68" s="828" t="e">
        <f>IF(G66="","",IF(H68&lt;67%,"Error: The FI must cover 67% or more of segments A, B, C, and D","Coverage OK"))</f>
        <v>#DIV/0!</v>
      </c>
      <c r="J68" s="828"/>
      <c r="K68" s="828"/>
      <c r="L68" s="355"/>
      <c r="M68" s="706"/>
      <c r="N68" s="706"/>
      <c r="O68" s="706"/>
      <c r="P68" s="355"/>
      <c r="Q68" s="355"/>
      <c r="R68" s="355"/>
      <c r="S68" s="355"/>
      <c r="T68" s="355"/>
      <c r="U68" s="355"/>
      <c r="V68" s="355"/>
      <c r="W68" s="355"/>
      <c r="X68" s="355"/>
      <c r="Y68" s="355"/>
      <c r="Z68" s="355"/>
      <c r="AA68" s="355"/>
      <c r="AB68" s="355"/>
      <c r="AC68" s="355"/>
      <c r="AD68" s="355"/>
      <c r="AE68" s="355"/>
      <c r="AF68" s="355"/>
      <c r="AG68" s="355"/>
      <c r="AH68" s="355"/>
    </row>
    <row r="69" spans="1:37" s="356" customFormat="1" ht="35" hidden="1" customHeight="1" outlineLevel="1">
      <c r="A69" s="575"/>
      <c r="B69" s="812" t="s">
        <v>157</v>
      </c>
      <c r="C69" s="813"/>
      <c r="D69" s="813"/>
      <c r="E69" s="813"/>
      <c r="F69" s="813"/>
      <c r="G69" s="557">
        <f>SUMIF(M20:M51,TRUE,V20:V51)</f>
        <v>0</v>
      </c>
      <c r="H69" s="365" t="e">
        <f>G69/SUM(G20:G51)</f>
        <v>#DIV/0!</v>
      </c>
      <c r="I69" s="374"/>
      <c r="J69" s="374"/>
      <c r="K69" s="374"/>
      <c r="L69" s="355"/>
      <c r="M69" s="706"/>
      <c r="N69" s="706"/>
      <c r="O69" s="706"/>
      <c r="P69" s="355"/>
      <c r="Q69" s="355"/>
      <c r="R69" s="355"/>
      <c r="S69" s="355"/>
      <c r="T69" s="355"/>
      <c r="U69" s="355"/>
      <c r="V69" s="355"/>
      <c r="W69" s="355"/>
      <c r="X69" s="355"/>
      <c r="Y69" s="355"/>
      <c r="Z69" s="355"/>
      <c r="AA69" s="355"/>
      <c r="AB69" s="355"/>
      <c r="AC69" s="355"/>
      <c r="AD69" s="355"/>
      <c r="AE69" s="355"/>
      <c r="AF69" s="355"/>
      <c r="AG69" s="355"/>
      <c r="AH69" s="355"/>
    </row>
    <row r="70" spans="1:37" s="356" customFormat="1" ht="35" hidden="1" customHeight="1" outlineLevel="1">
      <c r="A70" s="575"/>
      <c r="B70" s="812" t="s">
        <v>158</v>
      </c>
      <c r="C70" s="813"/>
      <c r="D70" s="813"/>
      <c r="E70" s="813"/>
      <c r="F70" s="813"/>
      <c r="G70" s="557">
        <f>SUMIF(N20:N51,TRUE,Z20:Z51)</f>
        <v>0</v>
      </c>
      <c r="H70" s="365" t="e">
        <f>G70/SUM(G20:G51)</f>
        <v>#DIV/0!</v>
      </c>
      <c r="I70" s="385"/>
      <c r="J70" s="385"/>
      <c r="K70" s="385"/>
      <c r="L70" s="355"/>
      <c r="M70" s="706"/>
      <c r="N70" s="706"/>
      <c r="O70" s="706"/>
      <c r="P70" s="14"/>
      <c r="Q70" s="383"/>
      <c r="R70" s="383"/>
      <c r="S70" s="378"/>
      <c r="T70" s="378"/>
      <c r="U70" s="378"/>
      <c r="V70" s="383"/>
      <c r="W70" s="383"/>
      <c r="X70" s="384"/>
      <c r="Y70" s="585"/>
      <c r="Z70" s="12"/>
      <c r="AA70" s="12"/>
      <c r="AB70" s="358"/>
      <c r="AC70" s="12"/>
      <c r="AD70" s="12"/>
      <c r="AE70" s="358"/>
      <c r="AF70" s="353"/>
      <c r="AG70" s="353"/>
      <c r="AH70" s="355"/>
      <c r="AK70" s="405"/>
    </row>
    <row r="71" spans="1:37" s="356" customFormat="1" ht="35" hidden="1" customHeight="1" outlineLevel="1">
      <c r="A71" s="575"/>
      <c r="B71" s="812" t="s">
        <v>159</v>
      </c>
      <c r="C71" s="813"/>
      <c r="D71" s="813"/>
      <c r="E71" s="813"/>
      <c r="F71" s="813"/>
      <c r="G71" s="557">
        <f>SUMIFS(AC20:AC51,M20:M51,TRUE,N20:N51,TRUE)</f>
        <v>0</v>
      </c>
      <c r="H71" s="365" t="e">
        <f>G71/SUM(G20:G51)</f>
        <v>#DIV/0!</v>
      </c>
      <c r="I71" s="374"/>
      <c r="J71" s="374"/>
      <c r="K71" s="374"/>
      <c r="L71" s="374"/>
      <c r="M71" s="706"/>
      <c r="N71" s="706"/>
      <c r="O71" s="706"/>
      <c r="P71" s="14"/>
      <c r="Q71" s="383"/>
      <c r="R71" s="383"/>
      <c r="S71" s="378"/>
      <c r="T71" s="378"/>
      <c r="U71" s="378"/>
      <c r="V71" s="383"/>
      <c r="W71" s="383"/>
      <c r="X71" s="384"/>
      <c r="Y71" s="585"/>
      <c r="Z71" s="12"/>
      <c r="AA71" s="12"/>
      <c r="AB71" s="358"/>
      <c r="AC71" s="12"/>
      <c r="AD71" s="12"/>
      <c r="AE71" s="358"/>
      <c r="AF71" s="353"/>
      <c r="AG71" s="353"/>
      <c r="AH71" s="355"/>
      <c r="AK71" s="405"/>
    </row>
    <row r="72" spans="1:37" s="356" customFormat="1" ht="49.5" hidden="1" customHeight="1" outlineLevel="1">
      <c r="A72" s="12"/>
      <c r="B72" s="791" t="s">
        <v>259</v>
      </c>
      <c r="C72" s="792"/>
      <c r="D72" s="792"/>
      <c r="E72" s="792"/>
      <c r="F72" s="792"/>
      <c r="G72" s="376">
        <f>(SUMIF(M20:M51,TRUE,W20:W51)+SUMIF(N20:N51,TRUE,AA20:AA51)-SUMIFS(AD20:AD51,M20:M51,TRUE,N20:N51,TRUE))</f>
        <v>0</v>
      </c>
      <c r="H72" s="377" t="e">
        <f>G72/SUM(K20:K51)</f>
        <v>#DIV/0!</v>
      </c>
      <c r="I72" s="828" t="e">
        <f>IF(G66="","",IF(H72&lt;67%,"Error: The FI must cover 67% or more of segments A, B, C, and D","Coverage OK"))</f>
        <v>#DIV/0!</v>
      </c>
      <c r="J72" s="828"/>
      <c r="K72" s="828"/>
      <c r="L72" s="358"/>
      <c r="M72" s="706"/>
      <c r="N72" s="706"/>
      <c r="O72" s="706"/>
      <c r="P72" s="353"/>
      <c r="Q72" s="354"/>
      <c r="R72" s="354"/>
      <c r="S72" s="12"/>
      <c r="T72" s="354"/>
      <c r="U72" s="354"/>
      <c r="V72" s="354"/>
      <c r="W72" s="354"/>
      <c r="X72" s="358"/>
      <c r="Y72" s="353"/>
      <c r="Z72" s="12"/>
      <c r="AA72" s="12"/>
      <c r="AB72" s="358"/>
      <c r="AC72" s="12"/>
      <c r="AD72" s="12"/>
      <c r="AE72" s="358"/>
      <c r="AF72" s="353"/>
      <c r="AG72" s="353"/>
      <c r="AH72" s="355"/>
      <c r="AK72" s="408"/>
    </row>
    <row r="73" spans="1:37" s="356" customFormat="1" ht="16">
      <c r="A73" s="12"/>
      <c r="B73" s="12"/>
      <c r="C73" s="12"/>
      <c r="D73" s="12"/>
      <c r="E73" s="12"/>
      <c r="F73" s="12"/>
      <c r="G73" s="12"/>
      <c r="H73" s="12"/>
      <c r="I73" s="12"/>
      <c r="J73" s="12"/>
      <c r="K73" s="12"/>
      <c r="L73" s="358"/>
      <c r="M73" s="12"/>
      <c r="N73" s="12"/>
      <c r="O73" s="12"/>
      <c r="P73" s="353"/>
      <c r="Q73" s="354"/>
      <c r="R73" s="354"/>
      <c r="S73" s="12"/>
      <c r="T73" s="354"/>
      <c r="U73" s="354"/>
      <c r="V73" s="354"/>
      <c r="W73" s="354"/>
      <c r="X73" s="358"/>
      <c r="Y73" s="353"/>
      <c r="Z73" s="12"/>
      <c r="AA73" s="12"/>
      <c r="AB73" s="358"/>
      <c r="AC73" s="12"/>
      <c r="AD73" s="12"/>
      <c r="AE73" s="358"/>
      <c r="AF73" s="353"/>
      <c r="AG73" s="353"/>
      <c r="AH73" s="355"/>
      <c r="AK73" s="409"/>
    </row>
    <row r="74" spans="1:37" s="356" customFormat="1" ht="16">
      <c r="A74" s="12"/>
      <c r="B74" s="12"/>
      <c r="C74" s="12"/>
      <c r="D74" s="12"/>
      <c r="E74" s="12"/>
      <c r="F74" s="12"/>
      <c r="G74" s="12"/>
      <c r="H74" s="12"/>
      <c r="I74" s="12"/>
      <c r="J74" s="12"/>
      <c r="K74" s="12"/>
      <c r="L74" s="353"/>
      <c r="M74" s="12"/>
      <c r="N74" s="12"/>
      <c r="O74" s="12"/>
      <c r="P74" s="353"/>
      <c r="Q74" s="354"/>
      <c r="R74" s="354"/>
      <c r="S74" s="12"/>
      <c r="T74" s="354"/>
      <c r="U74" s="354"/>
      <c r="V74" s="354"/>
      <c r="W74" s="354"/>
      <c r="X74" s="353"/>
      <c r="Y74" s="353"/>
      <c r="Z74" s="12"/>
      <c r="AA74" s="12"/>
      <c r="AB74" s="353"/>
      <c r="AC74" s="12"/>
      <c r="AD74" s="12"/>
      <c r="AE74" s="353"/>
      <c r="AF74" s="353"/>
      <c r="AG74" s="353"/>
      <c r="AH74" s="355"/>
      <c r="AK74" s="107"/>
    </row>
    <row r="75" spans="1:37" s="356" customFormat="1" ht="22.25" customHeight="1" collapsed="1">
      <c r="A75" s="793" t="s">
        <v>161</v>
      </c>
      <c r="B75" s="793"/>
      <c r="C75" s="793"/>
      <c r="D75" s="793"/>
      <c r="E75" s="793"/>
      <c r="F75" s="793"/>
      <c r="G75" s="793"/>
      <c r="H75" s="793"/>
      <c r="I75" s="793"/>
      <c r="J75" s="793"/>
      <c r="K75" s="793"/>
      <c r="L75" s="793"/>
      <c r="M75" s="793"/>
      <c r="N75" s="793"/>
      <c r="O75" s="793"/>
      <c r="P75" s="793"/>
      <c r="Q75" s="793"/>
      <c r="R75" s="793"/>
      <c r="S75" s="793"/>
      <c r="T75" s="793"/>
      <c r="U75" s="793"/>
      <c r="V75" s="793"/>
      <c r="W75" s="793"/>
      <c r="X75" s="793"/>
      <c r="Y75" s="793"/>
      <c r="Z75" s="793"/>
      <c r="AA75" s="793"/>
      <c r="AB75" s="793"/>
      <c r="AC75" s="793"/>
      <c r="AD75" s="793"/>
      <c r="AE75" s="793"/>
      <c r="AF75" s="793"/>
      <c r="AG75" s="552"/>
      <c r="AH75" s="355"/>
      <c r="AK75" s="107"/>
    </row>
    <row r="76" spans="1:37" s="356" customFormat="1" ht="49.25" hidden="1" customHeight="1" outlineLevel="1" collapsed="1">
      <c r="A76" s="833" t="s">
        <v>260</v>
      </c>
      <c r="B76" s="833"/>
      <c r="C76" s="833"/>
      <c r="D76" s="833"/>
      <c r="E76" s="833"/>
      <c r="F76" s="833"/>
      <c r="G76" s="833"/>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547"/>
      <c r="AH76" s="355"/>
      <c r="AK76" s="107"/>
    </row>
    <row r="77" spans="1:37" s="356" customFormat="1" ht="16" hidden="1" outlineLevel="2">
      <c r="A77" s="12"/>
      <c r="B77" s="12"/>
      <c r="C77" s="12"/>
      <c r="D77" s="12"/>
      <c r="E77" s="12"/>
      <c r="F77" s="12"/>
      <c r="G77" s="12"/>
      <c r="H77" s="12"/>
      <c r="I77" s="12"/>
      <c r="J77" s="12"/>
      <c r="K77" s="12"/>
      <c r="L77" s="358"/>
      <c r="M77" s="12"/>
      <c r="N77" s="12"/>
      <c r="O77" s="12"/>
      <c r="P77" s="353"/>
      <c r="Q77" s="354"/>
      <c r="R77" s="354"/>
      <c r="S77" s="12"/>
      <c r="T77" s="354"/>
      <c r="U77" s="354"/>
      <c r="V77" s="354"/>
      <c r="W77" s="354"/>
      <c r="X77" s="358"/>
      <c r="Y77" s="353"/>
      <c r="Z77" s="12"/>
      <c r="AA77" s="12"/>
      <c r="AB77" s="358"/>
      <c r="AC77" s="12"/>
      <c r="AD77" s="12"/>
      <c r="AE77" s="358"/>
      <c r="AF77" s="353"/>
      <c r="AG77" s="353"/>
      <c r="AH77" s="355"/>
      <c r="AK77" s="107"/>
    </row>
    <row r="78" spans="1:37" s="356" customFormat="1" ht="44" hidden="1" customHeight="1" outlineLevel="2">
      <c r="A78" s="12"/>
      <c r="B78" s="834" t="s">
        <v>163</v>
      </c>
      <c r="C78" s="835"/>
      <c r="D78" s="719"/>
      <c r="E78" s="720"/>
      <c r="F78" s="12"/>
      <c r="G78" s="824" t="s">
        <v>230</v>
      </c>
      <c r="H78" s="825"/>
      <c r="I78" s="825"/>
      <c r="J78" s="825"/>
      <c r="K78" s="825"/>
      <c r="L78" s="825"/>
      <c r="M78" s="825"/>
      <c r="N78" s="12"/>
      <c r="O78" s="12"/>
      <c r="P78" s="353"/>
      <c r="Q78" s="354"/>
      <c r="R78" s="354"/>
      <c r="S78" s="12"/>
      <c r="T78" s="354"/>
      <c r="U78" s="354"/>
      <c r="V78" s="354"/>
      <c r="W78" s="354"/>
      <c r="X78" s="358"/>
      <c r="Y78" s="353"/>
      <c r="Z78" s="12"/>
      <c r="AA78" s="12"/>
      <c r="AB78" s="358"/>
      <c r="AC78" s="12"/>
      <c r="AD78" s="12"/>
      <c r="AE78" s="358"/>
      <c r="AF78" s="353"/>
      <c r="AG78" s="353"/>
      <c r="AH78" s="355"/>
      <c r="AK78" s="107"/>
    </row>
    <row r="79" spans="1:37" s="356" customFormat="1" ht="44" hidden="1" customHeight="1" outlineLevel="2">
      <c r="A79" s="12"/>
      <c r="B79" s="714" t="s">
        <v>164</v>
      </c>
      <c r="C79" s="715"/>
      <c r="D79" s="719"/>
      <c r="E79" s="720"/>
      <c r="F79" s="12"/>
      <c r="G79" s="825"/>
      <c r="H79" s="825"/>
      <c r="I79" s="825"/>
      <c r="J79" s="825"/>
      <c r="K79" s="825"/>
      <c r="L79" s="825"/>
      <c r="M79" s="825"/>
      <c r="N79" s="12"/>
      <c r="O79" s="12"/>
      <c r="P79" s="353"/>
      <c r="Q79" s="354"/>
      <c r="R79" s="354"/>
      <c r="S79" s="12"/>
      <c r="T79" s="354"/>
      <c r="U79" s="354"/>
      <c r="V79" s="354"/>
      <c r="W79" s="354"/>
      <c r="X79" s="358"/>
      <c r="Y79" s="353"/>
      <c r="Z79" s="12"/>
      <c r="AA79" s="12"/>
      <c r="AB79" s="358"/>
      <c r="AC79" s="12"/>
      <c r="AD79" s="12"/>
      <c r="AE79" s="358"/>
      <c r="AF79" s="353"/>
      <c r="AG79" s="353"/>
      <c r="AH79" s="355"/>
      <c r="AK79" s="107"/>
    </row>
    <row r="80" spans="1:37" s="356" customFormat="1" ht="44" hidden="1" customHeight="1" outlineLevel="2">
      <c r="A80" s="12"/>
      <c r="B80" s="714" t="s">
        <v>165</v>
      </c>
      <c r="C80" s="715"/>
      <c r="D80" s="719"/>
      <c r="E80" s="720"/>
      <c r="F80" s="12"/>
      <c r="G80" s="825"/>
      <c r="H80" s="825"/>
      <c r="I80" s="825"/>
      <c r="J80" s="825"/>
      <c r="K80" s="825"/>
      <c r="L80" s="825"/>
      <c r="M80" s="825"/>
      <c r="N80" s="12"/>
      <c r="O80" s="604"/>
      <c r="P80" s="353"/>
      <c r="Q80" s="354"/>
      <c r="R80" s="354"/>
      <c r="S80" s="12"/>
      <c r="T80" s="354"/>
      <c r="U80" s="354"/>
      <c r="V80" s="354"/>
      <c r="W80" s="354"/>
      <c r="X80" s="358"/>
      <c r="Y80" s="353"/>
      <c r="Z80" s="12"/>
      <c r="AA80" s="12"/>
      <c r="AB80" s="358"/>
      <c r="AC80" s="12"/>
      <c r="AD80" s="12"/>
      <c r="AE80" s="358"/>
      <c r="AF80" s="353"/>
      <c r="AG80" s="353"/>
      <c r="AH80" s="355"/>
      <c r="AK80" s="107"/>
    </row>
    <row r="81" spans="1:39" s="356" customFormat="1" ht="44" hidden="1" customHeight="1" outlineLevel="2">
      <c r="A81" s="12"/>
      <c r="B81" s="714" t="s">
        <v>166</v>
      </c>
      <c r="C81" s="715"/>
      <c r="D81" s="719"/>
      <c r="E81" s="720"/>
      <c r="F81" s="12"/>
      <c r="G81" s="825"/>
      <c r="H81" s="825"/>
      <c r="I81" s="825"/>
      <c r="J81" s="825"/>
      <c r="K81" s="825"/>
      <c r="L81" s="825"/>
      <c r="M81" s="825"/>
      <c r="N81" s="12"/>
      <c r="O81" s="12"/>
      <c r="P81" s="353"/>
      <c r="Q81" s="354"/>
      <c r="R81" s="354"/>
      <c r="S81" s="12"/>
      <c r="T81" s="354"/>
      <c r="U81" s="354"/>
      <c r="V81" s="354"/>
      <c r="W81" s="354"/>
      <c r="X81" s="358"/>
      <c r="Y81" s="353"/>
      <c r="Z81" s="12"/>
      <c r="AA81" s="12"/>
      <c r="AB81" s="358"/>
      <c r="AC81" s="12"/>
      <c r="AD81" s="12"/>
      <c r="AE81" s="358"/>
      <c r="AF81" s="353"/>
      <c r="AG81" s="353"/>
      <c r="AH81" s="355"/>
      <c r="AK81" s="107"/>
    </row>
    <row r="82" spans="1:39" s="356" customFormat="1" ht="32.25" hidden="1" customHeight="1" outlineLevel="2">
      <c r="A82" s="12"/>
      <c r="B82" s="13"/>
      <c r="C82" s="13"/>
      <c r="D82" s="13"/>
      <c r="E82" s="13"/>
      <c r="F82" s="12"/>
      <c r="G82" s="12"/>
      <c r="H82" s="12"/>
      <c r="I82" s="12"/>
      <c r="J82" s="12"/>
      <c r="K82" s="12"/>
      <c r="L82" s="358"/>
      <c r="M82" s="12"/>
      <c r="N82" s="12"/>
      <c r="O82" s="12"/>
      <c r="P82" s="353"/>
      <c r="Q82" s="354"/>
      <c r="R82" s="354"/>
      <c r="S82" s="12"/>
      <c r="T82" s="354"/>
      <c r="U82" s="354"/>
      <c r="V82" s="354"/>
      <c r="W82" s="354"/>
      <c r="X82" s="358"/>
      <c r="Y82" s="353"/>
      <c r="Z82" s="12"/>
      <c r="AA82" s="12"/>
      <c r="AB82" s="358"/>
      <c r="AC82" s="12"/>
      <c r="AD82" s="12"/>
      <c r="AE82" s="358"/>
      <c r="AF82" s="353"/>
      <c r="AG82" s="353"/>
      <c r="AH82" s="355"/>
      <c r="AK82" s="107"/>
    </row>
    <row r="83" spans="1:39" s="356" customFormat="1" ht="44" hidden="1" customHeight="1" outlineLevel="2">
      <c r="A83" s="731" t="s">
        <v>261</v>
      </c>
      <c r="B83" s="731"/>
      <c r="C83" s="731"/>
      <c r="D83" s="731"/>
      <c r="E83" s="731"/>
      <c r="F83" s="731"/>
      <c r="G83" s="731"/>
      <c r="H83" s="731"/>
      <c r="I83" s="731"/>
      <c r="J83" s="731"/>
      <c r="K83" s="731"/>
      <c r="L83" s="731"/>
      <c r="M83" s="731"/>
      <c r="N83" s="731"/>
      <c r="O83" s="731"/>
      <c r="P83" s="731"/>
      <c r="Q83" s="731"/>
      <c r="R83" s="731"/>
      <c r="S83" s="731"/>
      <c r="T83" s="731"/>
      <c r="U83" s="731"/>
      <c r="V83" s="731"/>
      <c r="W83" s="731"/>
      <c r="X83" s="731"/>
      <c r="Y83" s="731"/>
      <c r="Z83" s="731"/>
      <c r="AA83" s="731"/>
      <c r="AB83" s="731"/>
      <c r="AC83" s="731"/>
      <c r="AD83" s="731"/>
      <c r="AE83" s="731"/>
      <c r="AF83" s="731"/>
      <c r="AG83" s="547"/>
      <c r="AH83" s="355"/>
      <c r="AK83" s="107"/>
    </row>
    <row r="84" spans="1:39" s="356" customFormat="1" ht="22.25" hidden="1" customHeight="1" outlineLevel="2">
      <c r="A84" s="359"/>
      <c r="B84" s="357"/>
      <c r="C84" s="357"/>
      <c r="D84" s="357"/>
      <c r="E84" s="357"/>
      <c r="F84" s="357"/>
      <c r="G84" s="357"/>
      <c r="H84" s="357"/>
      <c r="I84" s="357"/>
      <c r="J84" s="357"/>
      <c r="K84" s="357"/>
      <c r="L84" s="357"/>
      <c r="M84" s="357"/>
      <c r="N84" s="357"/>
      <c r="O84" s="357"/>
      <c r="P84" s="357"/>
      <c r="Q84" s="357"/>
      <c r="R84" s="357"/>
      <c r="S84" s="357"/>
      <c r="T84" s="357"/>
      <c r="U84" s="357"/>
      <c r="V84" s="357"/>
      <c r="W84" s="357"/>
      <c r="X84" s="357"/>
      <c r="Y84" s="357"/>
      <c r="Z84" s="357"/>
      <c r="AA84" s="357"/>
      <c r="AB84" s="357"/>
      <c r="AC84" s="357"/>
      <c r="AD84" s="357"/>
      <c r="AE84" s="357"/>
      <c r="AF84" s="357"/>
      <c r="AG84" s="357"/>
      <c r="AH84" s="355"/>
    </row>
    <row r="85" spans="1:39" s="356" customFormat="1" ht="409.25" hidden="1" customHeight="1" outlineLevel="2">
      <c r="A85" s="355"/>
      <c r="B85" s="360"/>
      <c r="C85" s="706" t="s">
        <v>88</v>
      </c>
      <c r="D85" s="706"/>
      <c r="E85" s="706"/>
      <c r="F85" s="706"/>
      <c r="G85" s="706"/>
      <c r="H85" s="706"/>
      <c r="I85" s="706"/>
      <c r="J85" s="706"/>
      <c r="K85" s="706"/>
      <c r="L85" s="17"/>
      <c r="M85" s="706" t="s">
        <v>89</v>
      </c>
      <c r="N85" s="706"/>
      <c r="O85" s="706"/>
      <c r="P85" s="17"/>
      <c r="Q85" s="706" t="s">
        <v>90</v>
      </c>
      <c r="R85" s="706"/>
      <c r="S85" s="706"/>
      <c r="T85" s="706"/>
      <c r="U85" s="706"/>
      <c r="V85" s="706"/>
      <c r="W85" s="706"/>
      <c r="X85" s="17"/>
      <c r="Y85" s="706" t="s">
        <v>91</v>
      </c>
      <c r="Z85" s="706"/>
      <c r="AA85" s="706"/>
      <c r="AB85" s="17"/>
      <c r="AC85" s="706" t="s">
        <v>92</v>
      </c>
      <c r="AD85" s="706"/>
      <c r="AE85" s="17"/>
      <c r="AF85" s="709" t="s">
        <v>93</v>
      </c>
      <c r="AG85" s="706"/>
      <c r="AH85" s="355"/>
    </row>
    <row r="86" spans="1:39" s="356" customFormat="1" ht="16" hidden="1" outlineLevel="2">
      <c r="A86" s="355"/>
      <c r="B86" s="355"/>
      <c r="C86" s="355"/>
      <c r="D86" s="355"/>
      <c r="E86" s="355"/>
      <c r="F86" s="355"/>
      <c r="G86" s="355"/>
      <c r="H86" s="355"/>
      <c r="I86" s="355"/>
      <c r="J86" s="355"/>
      <c r="K86" s="355"/>
      <c r="L86" s="355"/>
      <c r="M86" s="355"/>
      <c r="N86" s="355"/>
      <c r="O86" s="355"/>
      <c r="P86" s="355"/>
      <c r="Q86" s="355"/>
      <c r="R86" s="355"/>
      <c r="S86" s="355"/>
      <c r="T86" s="355"/>
      <c r="U86" s="355"/>
      <c r="V86" s="355"/>
      <c r="W86" s="355"/>
      <c r="X86" s="355"/>
      <c r="Y86" s="353"/>
      <c r="Z86" s="12"/>
      <c r="AA86" s="12"/>
      <c r="AB86" s="355"/>
      <c r="AC86" s="355"/>
      <c r="AD86" s="355"/>
      <c r="AE86" s="355"/>
      <c r="AF86" s="355"/>
      <c r="AG86" s="355"/>
      <c r="AH86" s="355"/>
      <c r="AK86" s="107"/>
    </row>
    <row r="87" spans="1:39" s="386" customFormat="1" ht="106.25" hidden="1" customHeight="1" outlineLevel="2">
      <c r="A87" s="714" t="s">
        <v>94</v>
      </c>
      <c r="B87" s="718"/>
      <c r="C87" s="718"/>
      <c r="D87" s="718"/>
      <c r="E87" s="718"/>
      <c r="F87" s="718"/>
      <c r="G87" s="718"/>
      <c r="H87" s="718"/>
      <c r="I87" s="718"/>
      <c r="J87" s="718"/>
      <c r="K87" s="715"/>
      <c r="L87" s="361"/>
      <c r="M87" s="714" t="s">
        <v>95</v>
      </c>
      <c r="N87" s="718"/>
      <c r="O87" s="715"/>
      <c r="P87" s="13"/>
      <c r="Q87" s="714" t="s">
        <v>96</v>
      </c>
      <c r="R87" s="718"/>
      <c r="S87" s="718"/>
      <c r="T87" s="718"/>
      <c r="U87" s="718"/>
      <c r="V87" s="718"/>
      <c r="W87" s="715"/>
      <c r="X87" s="572"/>
      <c r="Y87" s="714" t="s">
        <v>97</v>
      </c>
      <c r="Z87" s="718"/>
      <c r="AA87" s="715"/>
      <c r="AB87" s="358"/>
      <c r="AC87" s="714" t="s">
        <v>98</v>
      </c>
      <c r="AD87" s="715"/>
      <c r="AE87" s="358"/>
      <c r="AF87" s="716" t="s">
        <v>788</v>
      </c>
      <c r="AG87" s="716" t="s">
        <v>787</v>
      </c>
      <c r="AH87" s="600"/>
      <c r="AK87" s="107"/>
    </row>
    <row r="88" spans="1:39" s="387" customFormat="1" ht="341" hidden="1" customHeight="1" outlineLevel="2">
      <c r="A88" s="798" t="s">
        <v>99</v>
      </c>
      <c r="B88" s="798"/>
      <c r="C88" s="714" t="s">
        <v>100</v>
      </c>
      <c r="D88" s="718"/>
      <c r="E88" s="718"/>
      <c r="F88" s="715"/>
      <c r="G88" s="546" t="s">
        <v>763</v>
      </c>
      <c r="H88" s="546" t="s">
        <v>778</v>
      </c>
      <c r="I88" s="554" t="s">
        <v>764</v>
      </c>
      <c r="J88" s="554" t="s">
        <v>765</v>
      </c>
      <c r="K88" s="554" t="s">
        <v>779</v>
      </c>
      <c r="L88" s="361"/>
      <c r="M88" s="546" t="s">
        <v>768</v>
      </c>
      <c r="N88" s="546" t="s">
        <v>769</v>
      </c>
      <c r="O88" s="554" t="s">
        <v>770</v>
      </c>
      <c r="P88" s="13"/>
      <c r="Q88" s="554" t="s">
        <v>101</v>
      </c>
      <c r="R88" s="554" t="s">
        <v>102</v>
      </c>
      <c r="S88" s="558" t="s">
        <v>103</v>
      </c>
      <c r="T88" s="558" t="s">
        <v>104</v>
      </c>
      <c r="U88" s="554" t="s">
        <v>105</v>
      </c>
      <c r="V88" s="546" t="s">
        <v>106</v>
      </c>
      <c r="W88" s="554" t="s">
        <v>771</v>
      </c>
      <c r="X88" s="573"/>
      <c r="Y88" s="546" t="s">
        <v>107</v>
      </c>
      <c r="Z88" s="546" t="s">
        <v>772</v>
      </c>
      <c r="AA88" s="546" t="s">
        <v>773</v>
      </c>
      <c r="AB88" s="358"/>
      <c r="AC88" s="546" t="s">
        <v>774</v>
      </c>
      <c r="AD88" s="546" t="s">
        <v>775</v>
      </c>
      <c r="AE88" s="358"/>
      <c r="AF88" s="717"/>
      <c r="AG88" s="717"/>
      <c r="AH88" s="588"/>
      <c r="AK88" s="107"/>
      <c r="AL88" s="387" t="s">
        <v>168</v>
      </c>
      <c r="AM88" s="387" t="s">
        <v>169</v>
      </c>
    </row>
    <row r="89" spans="1:39" s="387" customFormat="1" ht="34.25" hidden="1" customHeight="1" outlineLevel="2" collapsed="1">
      <c r="A89" s="721" t="s">
        <v>109</v>
      </c>
      <c r="B89" s="733" t="s">
        <v>110</v>
      </c>
      <c r="C89" s="734" t="s">
        <v>170</v>
      </c>
      <c r="D89" s="820" t="s">
        <v>111</v>
      </c>
      <c r="E89" s="820"/>
      <c r="F89" s="757"/>
      <c r="G89" s="836"/>
      <c r="H89" s="838" t="str">
        <f>IF(G89="","",G89/$G$238)</f>
        <v/>
      </c>
      <c r="I89" s="836"/>
      <c r="J89" s="836"/>
      <c r="K89" s="712" t="str">
        <f>IF(SUM(I89:J90)=0,"",SUM(I89:J90))</f>
        <v/>
      </c>
      <c r="L89" s="362"/>
      <c r="M89" s="796"/>
      <c r="N89" s="401"/>
      <c r="O89" s="402"/>
      <c r="P89" s="363"/>
      <c r="Q89" s="712"/>
      <c r="R89" s="710"/>
      <c r="S89" s="710"/>
      <c r="T89" s="710"/>
      <c r="U89" s="710"/>
      <c r="V89" s="712">
        <f t="shared" ref="V89:V90" si="11">IF(M89=TRUE,SUM(Q89:U89),0)</f>
        <v>0</v>
      </c>
      <c r="W89" s="712"/>
      <c r="X89" s="362"/>
      <c r="Y89" s="364" t="s">
        <v>112</v>
      </c>
      <c r="Z89" s="5"/>
      <c r="AA89" s="5"/>
      <c r="AB89" s="358"/>
      <c r="AC89" s="712"/>
      <c r="AD89" s="712"/>
      <c r="AE89" s="358"/>
      <c r="AF89" s="712" t="str">
        <f t="shared" ref="AF89:AF97" si="12">IF(G89="","",IF(AND(V89="",Z89="",Z90="",AC89=""),"Missing Info",IF(G89-V89-Z89-Z90+AC89=0,"OK","Review financial exposure")))</f>
        <v/>
      </c>
      <c r="AG89" s="712" t="str">
        <f>IF(K89="","",IF(AND(W89="",AA89="",AA90="",AD89=""),"Missing Info",IF(K89-W89-AA89-AA90+AD89=0,"OK","Review emissions")))</f>
        <v/>
      </c>
      <c r="AH89" s="588"/>
      <c r="AK89" s="107" t="s">
        <v>171</v>
      </c>
      <c r="AL89" s="387">
        <f>COUNTIFS($AK$89:$AK$223,$AK89,M$89:M$223,TRUE)</f>
        <v>0</v>
      </c>
      <c r="AM89" s="387">
        <f>COUNTIFS($AK$89:$AK$223,$AK89,N$89:N$223,TRUE)</f>
        <v>0</v>
      </c>
    </row>
    <row r="90" spans="1:39" s="387" customFormat="1" ht="34.25" hidden="1" customHeight="1" outlineLevel="3">
      <c r="A90" s="722"/>
      <c r="B90" s="733"/>
      <c r="C90" s="735"/>
      <c r="D90" s="821"/>
      <c r="E90" s="821"/>
      <c r="F90" s="761"/>
      <c r="G90" s="837"/>
      <c r="H90" s="839"/>
      <c r="I90" s="837"/>
      <c r="J90" s="837"/>
      <c r="K90" s="713"/>
      <c r="L90" s="362"/>
      <c r="M90" s="797"/>
      <c r="N90" s="401" t="b">
        <v>0</v>
      </c>
      <c r="O90" s="402"/>
      <c r="P90" s="363"/>
      <c r="Q90" s="713"/>
      <c r="R90" s="711"/>
      <c r="S90" s="711"/>
      <c r="T90" s="711"/>
      <c r="U90" s="711"/>
      <c r="V90" s="713">
        <f t="shared" si="11"/>
        <v>0</v>
      </c>
      <c r="W90" s="713"/>
      <c r="X90" s="362"/>
      <c r="Y90" s="364" t="s">
        <v>114</v>
      </c>
      <c r="Z90" s="5"/>
      <c r="AA90" s="5"/>
      <c r="AB90" s="358"/>
      <c r="AC90" s="713"/>
      <c r="AD90" s="713"/>
      <c r="AE90" s="358"/>
      <c r="AF90" s="713"/>
      <c r="AG90" s="713"/>
      <c r="AH90" s="588"/>
      <c r="AK90" s="107" t="s">
        <v>171</v>
      </c>
      <c r="AL90" s="387">
        <f t="shared" ref="AL90:AM153" si="13">COUNTIFS($AK$75:$AK$151,$AK90,M$75:M$151,TRUE)</f>
        <v>0</v>
      </c>
      <c r="AM90" s="387">
        <f t="shared" si="13"/>
        <v>0</v>
      </c>
    </row>
    <row r="91" spans="1:39" s="387" customFormat="1" ht="39" hidden="1" customHeight="1" outlineLevel="3">
      <c r="A91" s="722"/>
      <c r="B91" s="733"/>
      <c r="C91" s="735"/>
      <c r="D91" s="728" t="s">
        <v>115</v>
      </c>
      <c r="E91" s="784" t="s">
        <v>231</v>
      </c>
      <c r="F91" s="784" t="s">
        <v>232</v>
      </c>
      <c r="G91" s="836"/>
      <c r="H91" s="838" t="str">
        <f>IF(G91="","",G91/$G$238)</f>
        <v/>
      </c>
      <c r="I91" s="836"/>
      <c r="J91" s="836"/>
      <c r="K91" s="712" t="str">
        <f>IF(SUM(I91:J92)=0,"",SUM(I91:J92))</f>
        <v/>
      </c>
      <c r="L91" s="362"/>
      <c r="M91" s="796"/>
      <c r="N91" s="401" t="b">
        <v>0</v>
      </c>
      <c r="O91" s="402"/>
      <c r="P91" s="363"/>
      <c r="Q91" s="712"/>
      <c r="R91" s="710"/>
      <c r="S91" s="710"/>
      <c r="T91" s="710"/>
      <c r="U91" s="710"/>
      <c r="V91" s="712">
        <f t="shared" ref="V91:V98" si="14">IF(M91=TRUE,SUM(Q91:U91),0)</f>
        <v>0</v>
      </c>
      <c r="W91" s="712"/>
      <c r="X91" s="362"/>
      <c r="Y91" s="364" t="s">
        <v>112</v>
      </c>
      <c r="Z91" s="5"/>
      <c r="AA91" s="5"/>
      <c r="AB91" s="358"/>
      <c r="AC91" s="712"/>
      <c r="AD91" s="712"/>
      <c r="AE91" s="358"/>
      <c r="AF91" s="712" t="str">
        <f t="shared" si="12"/>
        <v/>
      </c>
      <c r="AG91" s="712" t="str">
        <f>IF(K91="","",IF(AND(W91="",AA91="",AA92="",AD91=""),"Missing Info",IF(K91-W91-AA91-AA92+AD91=0,"OK","Review emissions")))</f>
        <v/>
      </c>
      <c r="AH91" s="588"/>
      <c r="AK91" s="107" t="s">
        <v>171</v>
      </c>
      <c r="AL91" s="387">
        <f>COUNTIFS($AK$75:$AK$151,$AK91,M$75:M$151,TRUE)</f>
        <v>0</v>
      </c>
      <c r="AM91" s="387">
        <f t="shared" si="13"/>
        <v>0</v>
      </c>
    </row>
    <row r="92" spans="1:39" s="387" customFormat="1" ht="64.25" hidden="1" customHeight="1" outlineLevel="3">
      <c r="A92" s="722"/>
      <c r="B92" s="733"/>
      <c r="C92" s="735"/>
      <c r="D92" s="823"/>
      <c r="E92" s="785"/>
      <c r="F92" s="786"/>
      <c r="G92" s="837"/>
      <c r="H92" s="839"/>
      <c r="I92" s="837"/>
      <c r="J92" s="837"/>
      <c r="K92" s="713"/>
      <c r="L92" s="362"/>
      <c r="M92" s="797"/>
      <c r="N92" s="401" t="b">
        <v>0</v>
      </c>
      <c r="O92" s="402"/>
      <c r="P92" s="363"/>
      <c r="Q92" s="713"/>
      <c r="R92" s="711"/>
      <c r="S92" s="711"/>
      <c r="T92" s="711"/>
      <c r="U92" s="711"/>
      <c r="V92" s="713">
        <f t="shared" si="14"/>
        <v>0</v>
      </c>
      <c r="W92" s="713"/>
      <c r="X92" s="362"/>
      <c r="Y92" s="364" t="s">
        <v>114</v>
      </c>
      <c r="Z92" s="5"/>
      <c r="AA92" s="5"/>
      <c r="AB92" s="358"/>
      <c r="AC92" s="713"/>
      <c r="AD92" s="713"/>
      <c r="AE92" s="358"/>
      <c r="AF92" s="713"/>
      <c r="AG92" s="713"/>
      <c r="AH92" s="588"/>
      <c r="AK92" s="107" t="s">
        <v>171</v>
      </c>
      <c r="AL92" s="387">
        <f t="shared" si="13"/>
        <v>0</v>
      </c>
      <c r="AM92" s="387">
        <f t="shared" si="13"/>
        <v>0</v>
      </c>
    </row>
    <row r="93" spans="1:39" s="387" customFormat="1" ht="39" hidden="1" customHeight="1" outlineLevel="3">
      <c r="A93" s="722"/>
      <c r="B93" s="733"/>
      <c r="C93" s="735"/>
      <c r="D93" s="823"/>
      <c r="E93" s="785"/>
      <c r="F93" s="784" t="s">
        <v>233</v>
      </c>
      <c r="G93" s="836"/>
      <c r="H93" s="838" t="str">
        <f>IF(G93="","",G93/$G$238)</f>
        <v/>
      </c>
      <c r="I93" s="836"/>
      <c r="J93" s="836"/>
      <c r="K93" s="712" t="str">
        <f>IF(SUM(I93:J94)=0,"",SUM(I93:J94))</f>
        <v/>
      </c>
      <c r="L93" s="362"/>
      <c r="M93" s="796"/>
      <c r="N93" s="401" t="b">
        <v>0</v>
      </c>
      <c r="O93" s="402"/>
      <c r="P93" s="363"/>
      <c r="Q93" s="712"/>
      <c r="R93" s="710"/>
      <c r="S93" s="710"/>
      <c r="T93" s="710"/>
      <c r="U93" s="710"/>
      <c r="V93" s="712">
        <f t="shared" si="14"/>
        <v>0</v>
      </c>
      <c r="W93" s="712"/>
      <c r="X93" s="362"/>
      <c r="Y93" s="364" t="s">
        <v>112</v>
      </c>
      <c r="Z93" s="5"/>
      <c r="AA93" s="5"/>
      <c r="AB93" s="358"/>
      <c r="AC93" s="712"/>
      <c r="AD93" s="712"/>
      <c r="AE93" s="358"/>
      <c r="AF93" s="712" t="str">
        <f t="shared" si="12"/>
        <v/>
      </c>
      <c r="AG93" s="712" t="str">
        <f>IF(K93="","",IF(AND(W93="",AA93="",AA94="",AD93=""),"Missing Info",IF(K93-W93-AA93-AA94+AD93=0,"OK","Review emissions")))</f>
        <v/>
      </c>
      <c r="AH93" s="588"/>
      <c r="AK93" s="107" t="s">
        <v>171</v>
      </c>
      <c r="AL93" s="387">
        <f t="shared" si="13"/>
        <v>0</v>
      </c>
      <c r="AM93" s="387">
        <f t="shared" si="13"/>
        <v>0</v>
      </c>
    </row>
    <row r="94" spans="1:39" s="387" customFormat="1" ht="39" hidden="1" customHeight="1" outlineLevel="3">
      <c r="A94" s="722"/>
      <c r="B94" s="733"/>
      <c r="C94" s="735"/>
      <c r="D94" s="823"/>
      <c r="E94" s="785"/>
      <c r="F94" s="786"/>
      <c r="G94" s="837"/>
      <c r="H94" s="839"/>
      <c r="I94" s="837"/>
      <c r="J94" s="837"/>
      <c r="K94" s="713"/>
      <c r="L94" s="362"/>
      <c r="M94" s="797"/>
      <c r="N94" s="401" t="b">
        <v>0</v>
      </c>
      <c r="O94" s="402"/>
      <c r="P94" s="363"/>
      <c r="Q94" s="713"/>
      <c r="R94" s="711"/>
      <c r="S94" s="711"/>
      <c r="T94" s="711"/>
      <c r="U94" s="711"/>
      <c r="V94" s="713">
        <f t="shared" si="14"/>
        <v>0</v>
      </c>
      <c r="W94" s="713"/>
      <c r="X94" s="362"/>
      <c r="Y94" s="364" t="s">
        <v>114</v>
      </c>
      <c r="Z94" s="5"/>
      <c r="AA94" s="5"/>
      <c r="AB94" s="358"/>
      <c r="AC94" s="713"/>
      <c r="AD94" s="713"/>
      <c r="AE94" s="358"/>
      <c r="AF94" s="713"/>
      <c r="AG94" s="713"/>
      <c r="AH94" s="588"/>
      <c r="AK94" s="107" t="s">
        <v>171</v>
      </c>
      <c r="AL94" s="387">
        <f t="shared" si="13"/>
        <v>0</v>
      </c>
      <c r="AM94" s="387">
        <f t="shared" si="13"/>
        <v>0</v>
      </c>
    </row>
    <row r="95" spans="1:39" s="387" customFormat="1" ht="55.25" hidden="1" customHeight="1" outlineLevel="3">
      <c r="A95" s="722"/>
      <c r="B95" s="733"/>
      <c r="C95" s="735"/>
      <c r="D95" s="823"/>
      <c r="E95" s="785"/>
      <c r="F95" s="784" t="s">
        <v>234</v>
      </c>
      <c r="G95" s="836"/>
      <c r="H95" s="838" t="str">
        <f>IF(G95="","",G95/$G$238)</f>
        <v/>
      </c>
      <c r="I95" s="836"/>
      <c r="J95" s="836"/>
      <c r="K95" s="712" t="str">
        <f>IF(SUM(I95:J96)=0,"",SUM(I95:J96))</f>
        <v/>
      </c>
      <c r="L95" s="362"/>
      <c r="M95" s="796"/>
      <c r="N95" s="401" t="b">
        <v>0</v>
      </c>
      <c r="O95" s="402"/>
      <c r="P95" s="363"/>
      <c r="Q95" s="393"/>
      <c r="R95" s="710"/>
      <c r="S95" s="710"/>
      <c r="T95" s="710"/>
      <c r="U95" s="710"/>
      <c r="V95" s="712">
        <f t="shared" si="14"/>
        <v>0</v>
      </c>
      <c r="W95" s="712"/>
      <c r="X95" s="362"/>
      <c r="Y95" s="364" t="s">
        <v>112</v>
      </c>
      <c r="Z95" s="5"/>
      <c r="AA95" s="5"/>
      <c r="AB95" s="358"/>
      <c r="AC95" s="712"/>
      <c r="AD95" s="712"/>
      <c r="AE95" s="358"/>
      <c r="AF95" s="712" t="str">
        <f t="shared" si="12"/>
        <v/>
      </c>
      <c r="AG95" s="712" t="str">
        <f>IF(K95="","",IF(AND(W95="",AA95="",AA96="",AD95=""),"Missing Info",IF(K95-W95-AA95-AA96+AD95=0,"OK","Review emissions")))</f>
        <v/>
      </c>
      <c r="AH95" s="588"/>
      <c r="AK95" s="107" t="s">
        <v>171</v>
      </c>
      <c r="AL95" s="387">
        <f t="shared" si="13"/>
        <v>0</v>
      </c>
      <c r="AM95" s="387">
        <f t="shared" si="13"/>
        <v>0</v>
      </c>
    </row>
    <row r="96" spans="1:39" s="387" customFormat="1" ht="63" hidden="1" customHeight="1" outlineLevel="3">
      <c r="A96" s="722"/>
      <c r="B96" s="733"/>
      <c r="C96" s="735"/>
      <c r="D96" s="823"/>
      <c r="E96" s="785"/>
      <c r="F96" s="786"/>
      <c r="G96" s="837"/>
      <c r="H96" s="839"/>
      <c r="I96" s="837"/>
      <c r="J96" s="837"/>
      <c r="K96" s="713"/>
      <c r="L96" s="362"/>
      <c r="M96" s="797"/>
      <c r="N96" s="401" t="b">
        <v>0</v>
      </c>
      <c r="O96" s="402"/>
      <c r="P96" s="363"/>
      <c r="Q96" s="393"/>
      <c r="R96" s="711"/>
      <c r="S96" s="711"/>
      <c r="T96" s="711"/>
      <c r="U96" s="711"/>
      <c r="V96" s="713">
        <f t="shared" si="14"/>
        <v>0</v>
      </c>
      <c r="W96" s="713"/>
      <c r="X96" s="362"/>
      <c r="Y96" s="364" t="s">
        <v>114</v>
      </c>
      <c r="Z96" s="5"/>
      <c r="AA96" s="5"/>
      <c r="AB96" s="358"/>
      <c r="AC96" s="713"/>
      <c r="AD96" s="713"/>
      <c r="AE96" s="358"/>
      <c r="AF96" s="713"/>
      <c r="AG96" s="713"/>
      <c r="AH96" s="588"/>
      <c r="AK96" s="107" t="s">
        <v>171</v>
      </c>
      <c r="AL96" s="387">
        <f t="shared" si="13"/>
        <v>0</v>
      </c>
      <c r="AM96" s="387">
        <f t="shared" si="13"/>
        <v>0</v>
      </c>
    </row>
    <row r="97" spans="1:39" s="387" customFormat="1" ht="39" hidden="1" customHeight="1" outlineLevel="3">
      <c r="A97" s="722"/>
      <c r="B97" s="733"/>
      <c r="C97" s="735"/>
      <c r="D97" s="823"/>
      <c r="E97" s="785"/>
      <c r="F97" s="784" t="s">
        <v>117</v>
      </c>
      <c r="G97" s="836"/>
      <c r="H97" s="838" t="str">
        <f>IF(G97="","",G97/$G$238)</f>
        <v/>
      </c>
      <c r="I97" s="836"/>
      <c r="J97" s="836"/>
      <c r="K97" s="712" t="str">
        <f>IF(SUM(I97:J98)=0,"",SUM(I97:J98))</f>
        <v/>
      </c>
      <c r="L97" s="362"/>
      <c r="M97" s="796"/>
      <c r="N97" s="401" t="b">
        <v>0</v>
      </c>
      <c r="O97" s="402"/>
      <c r="P97" s="363"/>
      <c r="Q97" s="712"/>
      <c r="R97" s="710"/>
      <c r="S97" s="710"/>
      <c r="T97" s="710"/>
      <c r="U97" s="710"/>
      <c r="V97" s="712">
        <f t="shared" si="14"/>
        <v>0</v>
      </c>
      <c r="W97" s="712"/>
      <c r="X97" s="362"/>
      <c r="Y97" s="364" t="s">
        <v>112</v>
      </c>
      <c r="Z97" s="5"/>
      <c r="AA97" s="5"/>
      <c r="AB97" s="358"/>
      <c r="AC97" s="712"/>
      <c r="AD97" s="712"/>
      <c r="AE97" s="358"/>
      <c r="AF97" s="712" t="str">
        <f t="shared" si="12"/>
        <v/>
      </c>
      <c r="AG97" s="712" t="str">
        <f>IF(K97="","",IF(AND(W97="",AA97="",AA98="",AD97=""),"Missing Info",IF(K97-W97-AA97-AA98+AD97=0,"OK","Review emissions")))</f>
        <v/>
      </c>
      <c r="AH97" s="588"/>
      <c r="AK97" s="107" t="s">
        <v>171</v>
      </c>
      <c r="AL97" s="387">
        <f t="shared" si="13"/>
        <v>0</v>
      </c>
      <c r="AM97" s="387">
        <f t="shared" si="13"/>
        <v>0</v>
      </c>
    </row>
    <row r="98" spans="1:39" s="387" customFormat="1" ht="39" hidden="1" customHeight="1" outlineLevel="3">
      <c r="A98" s="723"/>
      <c r="B98" s="733"/>
      <c r="C98" s="735"/>
      <c r="D98" s="730"/>
      <c r="E98" s="786"/>
      <c r="F98" s="786"/>
      <c r="G98" s="837"/>
      <c r="H98" s="839"/>
      <c r="I98" s="837"/>
      <c r="J98" s="837"/>
      <c r="K98" s="713"/>
      <c r="L98" s="362"/>
      <c r="M98" s="797"/>
      <c r="N98" s="401" t="b">
        <v>0</v>
      </c>
      <c r="O98" s="402"/>
      <c r="P98" s="363"/>
      <c r="Q98" s="713"/>
      <c r="R98" s="711"/>
      <c r="S98" s="711"/>
      <c r="T98" s="711"/>
      <c r="U98" s="711"/>
      <c r="V98" s="713">
        <f t="shared" si="14"/>
        <v>0</v>
      </c>
      <c r="W98" s="713"/>
      <c r="X98" s="362"/>
      <c r="Y98" s="364" t="s">
        <v>114</v>
      </c>
      <c r="Z98" s="5"/>
      <c r="AA98" s="5"/>
      <c r="AB98" s="358"/>
      <c r="AC98" s="713"/>
      <c r="AD98" s="713"/>
      <c r="AE98" s="358"/>
      <c r="AF98" s="713"/>
      <c r="AG98" s="713"/>
      <c r="AH98" s="588"/>
      <c r="AK98" s="107" t="s">
        <v>171</v>
      </c>
      <c r="AL98" s="387">
        <f t="shared" si="13"/>
        <v>0</v>
      </c>
      <c r="AM98" s="387">
        <f t="shared" si="13"/>
        <v>0</v>
      </c>
    </row>
    <row r="99" spans="1:39" s="387" customFormat="1" ht="39" hidden="1" customHeight="1" outlineLevel="3">
      <c r="A99" s="721" t="s">
        <v>759</v>
      </c>
      <c r="B99" s="733"/>
      <c r="C99" s="735"/>
      <c r="D99" s="724" t="s">
        <v>762</v>
      </c>
      <c r="E99" s="725"/>
      <c r="F99" s="726"/>
      <c r="G99" s="458"/>
      <c r="H99" s="388" t="str">
        <f t="shared" ref="H99:H116" si="15">IF(G99="","",G99/$G$238)</f>
        <v/>
      </c>
      <c r="I99" s="458"/>
      <c r="J99" s="458"/>
      <c r="K99" s="557" t="str">
        <f t="shared" ref="K99:K115" si="16">IF(SUM(I99:J99)=0,"",SUM(I99:J99))</f>
        <v/>
      </c>
      <c r="L99" s="362"/>
      <c r="M99" s="401" t="b">
        <v>0</v>
      </c>
      <c r="N99" s="401" t="b">
        <v>0</v>
      </c>
      <c r="O99" s="5"/>
      <c r="P99" s="363"/>
      <c r="Q99" s="557"/>
      <c r="R99" s="5"/>
      <c r="S99" s="5"/>
      <c r="T99" s="5"/>
      <c r="U99" s="5"/>
      <c r="V99" s="557">
        <f t="shared" ref="V99:V162" si="17">IF(M99=TRUE,SUM(Q99:U99),0)</f>
        <v>0</v>
      </c>
      <c r="W99" s="5"/>
      <c r="X99" s="362"/>
      <c r="Y99" s="364" t="s">
        <v>112</v>
      </c>
      <c r="Z99" s="5"/>
      <c r="AA99" s="5"/>
      <c r="AB99" s="358"/>
      <c r="AC99" s="5"/>
      <c r="AD99" s="5"/>
      <c r="AE99" s="358"/>
      <c r="AF99" s="557" t="str">
        <f t="shared" ref="AF99:AF115" si="18">IF(G99="","",IF(AND(V99="",Z99="",AC99=""),"Missing Info",IF(G99-V99-Z99+AC99=0,"OK","Review financial exposure")))</f>
        <v/>
      </c>
      <c r="AG99" s="557" t="str">
        <f t="shared" ref="AG99:AG115" si="19">IF(K99="","",IF(AND(W99="",AA99="",AD99=""),"Missing Info",IF(K99-W99-AA99+AD99=0,"OK","Review emissions")))</f>
        <v/>
      </c>
      <c r="AH99" s="588"/>
      <c r="AK99" s="107" t="s">
        <v>172</v>
      </c>
      <c r="AL99" s="387">
        <f t="shared" si="13"/>
        <v>0</v>
      </c>
      <c r="AM99" s="387">
        <f t="shared" si="13"/>
        <v>0</v>
      </c>
    </row>
    <row r="100" spans="1:39" s="387" customFormat="1" ht="103.25" hidden="1" customHeight="1" outlineLevel="3">
      <c r="A100" s="722"/>
      <c r="B100" s="733"/>
      <c r="C100" s="735"/>
      <c r="D100" s="728" t="s">
        <v>761</v>
      </c>
      <c r="E100" s="784" t="s">
        <v>231</v>
      </c>
      <c r="F100" s="545" t="s">
        <v>232</v>
      </c>
      <c r="G100" s="458"/>
      <c r="H100" s="388" t="str">
        <f t="shared" si="15"/>
        <v/>
      </c>
      <c r="I100" s="458"/>
      <c r="J100" s="458"/>
      <c r="K100" s="557" t="str">
        <f t="shared" si="16"/>
        <v/>
      </c>
      <c r="L100" s="362"/>
      <c r="M100" s="401" t="b">
        <v>0</v>
      </c>
      <c r="N100" s="401" t="b">
        <v>0</v>
      </c>
      <c r="O100" s="5"/>
      <c r="P100" s="363"/>
      <c r="Q100" s="557"/>
      <c r="R100" s="5"/>
      <c r="S100" s="5"/>
      <c r="T100" s="5"/>
      <c r="U100" s="5"/>
      <c r="V100" s="557">
        <f t="shared" si="17"/>
        <v>0</v>
      </c>
      <c r="W100" s="5"/>
      <c r="X100" s="362"/>
      <c r="Y100" s="364" t="s">
        <v>112</v>
      </c>
      <c r="Z100" s="5"/>
      <c r="AA100" s="5"/>
      <c r="AB100" s="358"/>
      <c r="AC100" s="5"/>
      <c r="AD100" s="5"/>
      <c r="AE100" s="358"/>
      <c r="AF100" s="557" t="str">
        <f t="shared" si="18"/>
        <v/>
      </c>
      <c r="AG100" s="557" t="str">
        <f t="shared" si="19"/>
        <v/>
      </c>
      <c r="AH100" s="588"/>
      <c r="AK100" s="107" t="s">
        <v>172</v>
      </c>
      <c r="AL100" s="387">
        <f t="shared" si="13"/>
        <v>0</v>
      </c>
      <c r="AM100" s="387">
        <f t="shared" si="13"/>
        <v>0</v>
      </c>
    </row>
    <row r="101" spans="1:39" s="387" customFormat="1" ht="82.25" hidden="1" customHeight="1" outlineLevel="3">
      <c r="A101" s="722"/>
      <c r="B101" s="733"/>
      <c r="C101" s="735"/>
      <c r="D101" s="823"/>
      <c r="E101" s="785"/>
      <c r="F101" s="545" t="s">
        <v>233</v>
      </c>
      <c r="G101" s="458"/>
      <c r="H101" s="388" t="str">
        <f t="shared" si="15"/>
        <v/>
      </c>
      <c r="I101" s="458"/>
      <c r="J101" s="458"/>
      <c r="K101" s="557" t="str">
        <f t="shared" si="16"/>
        <v/>
      </c>
      <c r="L101" s="362"/>
      <c r="M101" s="401" t="b">
        <v>0</v>
      </c>
      <c r="N101" s="401" t="b">
        <v>0</v>
      </c>
      <c r="O101" s="5"/>
      <c r="P101" s="363"/>
      <c r="Q101" s="557"/>
      <c r="R101" s="5"/>
      <c r="S101" s="5"/>
      <c r="T101" s="5"/>
      <c r="U101" s="5"/>
      <c r="V101" s="557">
        <f t="shared" si="17"/>
        <v>0</v>
      </c>
      <c r="W101" s="5"/>
      <c r="X101" s="362"/>
      <c r="Y101" s="364" t="s">
        <v>112</v>
      </c>
      <c r="Z101" s="5"/>
      <c r="AA101" s="5"/>
      <c r="AB101" s="358"/>
      <c r="AC101" s="5"/>
      <c r="AD101" s="5"/>
      <c r="AE101" s="358"/>
      <c r="AF101" s="557" t="str">
        <f t="shared" si="18"/>
        <v/>
      </c>
      <c r="AG101" s="557" t="str">
        <f t="shared" si="19"/>
        <v/>
      </c>
      <c r="AH101" s="588"/>
      <c r="AK101" s="107" t="s">
        <v>172</v>
      </c>
      <c r="AL101" s="387">
        <f t="shared" si="13"/>
        <v>0</v>
      </c>
      <c r="AM101" s="387">
        <f t="shared" si="13"/>
        <v>0</v>
      </c>
    </row>
    <row r="102" spans="1:39" s="387" customFormat="1" ht="120" hidden="1" customHeight="1" outlineLevel="3">
      <c r="A102" s="722"/>
      <c r="B102" s="733"/>
      <c r="C102" s="735"/>
      <c r="D102" s="823"/>
      <c r="E102" s="785"/>
      <c r="F102" s="545" t="s">
        <v>234</v>
      </c>
      <c r="G102" s="458"/>
      <c r="H102" s="388" t="str">
        <f t="shared" si="15"/>
        <v/>
      </c>
      <c r="I102" s="458"/>
      <c r="J102" s="458"/>
      <c r="K102" s="557" t="str">
        <f t="shared" si="16"/>
        <v/>
      </c>
      <c r="L102" s="362"/>
      <c r="M102" s="401" t="b">
        <v>0</v>
      </c>
      <c r="N102" s="401" t="b">
        <v>0</v>
      </c>
      <c r="O102" s="5"/>
      <c r="P102" s="363"/>
      <c r="Q102" s="557"/>
      <c r="R102" s="5"/>
      <c r="S102" s="5"/>
      <c r="T102" s="5"/>
      <c r="U102" s="5"/>
      <c r="V102" s="557">
        <f t="shared" si="17"/>
        <v>0</v>
      </c>
      <c r="W102" s="5"/>
      <c r="X102" s="362"/>
      <c r="Y102" s="364" t="s">
        <v>112</v>
      </c>
      <c r="Z102" s="5"/>
      <c r="AA102" s="5"/>
      <c r="AB102" s="358"/>
      <c r="AC102" s="5"/>
      <c r="AD102" s="5"/>
      <c r="AE102" s="358"/>
      <c r="AF102" s="557" t="str">
        <f t="shared" si="18"/>
        <v/>
      </c>
      <c r="AG102" s="557" t="str">
        <f t="shared" si="19"/>
        <v/>
      </c>
      <c r="AH102" s="588"/>
      <c r="AK102" s="107" t="s">
        <v>172</v>
      </c>
      <c r="AL102" s="387">
        <f t="shared" si="13"/>
        <v>0</v>
      </c>
      <c r="AM102" s="387">
        <f t="shared" si="13"/>
        <v>0</v>
      </c>
    </row>
    <row r="103" spans="1:39" s="387" customFormat="1" ht="39" hidden="1" customHeight="1" outlineLevel="3">
      <c r="A103" s="723"/>
      <c r="B103" s="788"/>
      <c r="C103" s="736"/>
      <c r="D103" s="730"/>
      <c r="E103" s="786"/>
      <c r="F103" s="545" t="s">
        <v>117</v>
      </c>
      <c r="G103" s="458"/>
      <c r="H103" s="388" t="str">
        <f t="shared" si="15"/>
        <v/>
      </c>
      <c r="I103" s="458"/>
      <c r="J103" s="458"/>
      <c r="K103" s="557" t="str">
        <f t="shared" si="16"/>
        <v/>
      </c>
      <c r="L103" s="362"/>
      <c r="M103" s="401" t="b">
        <v>0</v>
      </c>
      <c r="N103" s="401" t="b">
        <v>0</v>
      </c>
      <c r="O103" s="5"/>
      <c r="P103" s="363"/>
      <c r="Q103" s="557"/>
      <c r="R103" s="5"/>
      <c r="S103" s="5"/>
      <c r="T103" s="5"/>
      <c r="U103" s="5"/>
      <c r="V103" s="557">
        <f t="shared" si="17"/>
        <v>0</v>
      </c>
      <c r="W103" s="5"/>
      <c r="X103" s="362"/>
      <c r="Y103" s="364" t="s">
        <v>112</v>
      </c>
      <c r="Z103" s="5"/>
      <c r="AA103" s="5"/>
      <c r="AB103" s="358"/>
      <c r="AC103" s="5"/>
      <c r="AD103" s="5"/>
      <c r="AE103" s="358"/>
      <c r="AF103" s="557" t="str">
        <f t="shared" si="18"/>
        <v/>
      </c>
      <c r="AG103" s="557" t="str">
        <f t="shared" si="19"/>
        <v/>
      </c>
      <c r="AH103" s="588"/>
      <c r="AK103" s="107" t="s">
        <v>172</v>
      </c>
      <c r="AL103" s="387">
        <f t="shared" si="13"/>
        <v>0</v>
      </c>
      <c r="AM103" s="387">
        <f t="shared" si="13"/>
        <v>0</v>
      </c>
    </row>
    <row r="104" spans="1:39" s="391" customFormat="1" ht="39" hidden="1" customHeight="1" outlineLevel="2" collapsed="1">
      <c r="A104" s="721" t="s">
        <v>118</v>
      </c>
      <c r="B104" s="732" t="s">
        <v>119</v>
      </c>
      <c r="C104" s="724" t="s">
        <v>120</v>
      </c>
      <c r="D104" s="725"/>
      <c r="E104" s="725"/>
      <c r="F104" s="726"/>
      <c r="G104" s="458"/>
      <c r="H104" s="388" t="str">
        <f t="shared" si="15"/>
        <v/>
      </c>
      <c r="I104" s="458"/>
      <c r="J104" s="458"/>
      <c r="K104" s="557" t="str">
        <f t="shared" si="16"/>
        <v/>
      </c>
      <c r="L104" s="362"/>
      <c r="M104" s="31" t="b">
        <v>0</v>
      </c>
      <c r="N104" s="389"/>
      <c r="O104" s="402"/>
      <c r="P104" s="363"/>
      <c r="Q104" s="557"/>
      <c r="R104" s="5"/>
      <c r="S104" s="5"/>
      <c r="T104" s="5"/>
      <c r="U104" s="5"/>
      <c r="V104" s="557">
        <f t="shared" si="17"/>
        <v>0</v>
      </c>
      <c r="W104" s="5"/>
      <c r="X104" s="362"/>
      <c r="Y104" s="364"/>
      <c r="Z104" s="557"/>
      <c r="AA104" s="557"/>
      <c r="AB104" s="390"/>
      <c r="AC104" s="557"/>
      <c r="AD104" s="557"/>
      <c r="AE104" s="362"/>
      <c r="AF104" s="557" t="str">
        <f t="shared" si="18"/>
        <v/>
      </c>
      <c r="AG104" s="557" t="str">
        <f t="shared" si="19"/>
        <v/>
      </c>
      <c r="AH104" s="589"/>
      <c r="AK104" s="107" t="s">
        <v>173</v>
      </c>
      <c r="AL104" s="387">
        <f t="shared" si="13"/>
        <v>0</v>
      </c>
      <c r="AM104" s="387">
        <f t="shared" si="13"/>
        <v>0</v>
      </c>
    </row>
    <row r="105" spans="1:39" s="391" customFormat="1" ht="127.25" hidden="1" customHeight="1" outlineLevel="3">
      <c r="A105" s="722"/>
      <c r="B105" s="733"/>
      <c r="C105" s="756" t="s">
        <v>122</v>
      </c>
      <c r="D105" s="757"/>
      <c r="E105" s="784" t="s">
        <v>231</v>
      </c>
      <c r="F105" s="545" t="s">
        <v>235</v>
      </c>
      <c r="G105" s="458"/>
      <c r="H105" s="388" t="str">
        <f t="shared" si="15"/>
        <v/>
      </c>
      <c r="I105" s="458"/>
      <c r="J105" s="458"/>
      <c r="K105" s="557" t="str">
        <f t="shared" si="16"/>
        <v/>
      </c>
      <c r="L105" s="362"/>
      <c r="M105" s="31"/>
      <c r="N105" s="389"/>
      <c r="O105" s="402"/>
      <c r="P105" s="363"/>
      <c r="Q105" s="557"/>
      <c r="R105" s="5"/>
      <c r="S105" s="5"/>
      <c r="T105" s="5"/>
      <c r="U105" s="5"/>
      <c r="V105" s="557">
        <f t="shared" si="17"/>
        <v>0</v>
      </c>
      <c r="W105" s="5"/>
      <c r="X105" s="362"/>
      <c r="Y105" s="364"/>
      <c r="Z105" s="557"/>
      <c r="AA105" s="557"/>
      <c r="AB105" s="390"/>
      <c r="AC105" s="557"/>
      <c r="AD105" s="557"/>
      <c r="AE105" s="362"/>
      <c r="AF105" s="557" t="str">
        <f t="shared" si="18"/>
        <v/>
      </c>
      <c r="AG105" s="557" t="str">
        <f t="shared" si="19"/>
        <v/>
      </c>
      <c r="AH105" s="589"/>
      <c r="AK105" s="107" t="s">
        <v>173</v>
      </c>
      <c r="AL105" s="387">
        <f t="shared" si="13"/>
        <v>0</v>
      </c>
      <c r="AM105" s="387">
        <f t="shared" si="13"/>
        <v>0</v>
      </c>
    </row>
    <row r="106" spans="1:39" s="391" customFormat="1" ht="98" hidden="1" customHeight="1" outlineLevel="3">
      <c r="A106" s="722"/>
      <c r="B106" s="733"/>
      <c r="C106" s="758"/>
      <c r="D106" s="759"/>
      <c r="E106" s="785"/>
      <c r="F106" s="545" t="s">
        <v>236</v>
      </c>
      <c r="G106" s="458"/>
      <c r="H106" s="388" t="str">
        <f t="shared" si="15"/>
        <v/>
      </c>
      <c r="I106" s="458"/>
      <c r="J106" s="458"/>
      <c r="K106" s="557" t="str">
        <f t="shared" si="16"/>
        <v/>
      </c>
      <c r="L106" s="362"/>
      <c r="M106" s="31"/>
      <c r="N106" s="389"/>
      <c r="O106" s="402"/>
      <c r="P106" s="363"/>
      <c r="Q106" s="557"/>
      <c r="R106" s="5"/>
      <c r="S106" s="5"/>
      <c r="T106" s="5"/>
      <c r="U106" s="5"/>
      <c r="V106" s="557">
        <f t="shared" si="17"/>
        <v>0</v>
      </c>
      <c r="W106" s="5"/>
      <c r="X106" s="362"/>
      <c r="Y106" s="364"/>
      <c r="Z106" s="557"/>
      <c r="AA106" s="557"/>
      <c r="AB106" s="390"/>
      <c r="AC106" s="557"/>
      <c r="AD106" s="557"/>
      <c r="AE106" s="362"/>
      <c r="AF106" s="557" t="str">
        <f t="shared" si="18"/>
        <v/>
      </c>
      <c r="AG106" s="557" t="str">
        <f t="shared" si="19"/>
        <v/>
      </c>
      <c r="AH106" s="589"/>
      <c r="AK106" s="107" t="s">
        <v>173</v>
      </c>
      <c r="AL106" s="387">
        <f t="shared" si="13"/>
        <v>0</v>
      </c>
      <c r="AM106" s="387">
        <f t="shared" si="13"/>
        <v>0</v>
      </c>
    </row>
    <row r="107" spans="1:39" s="391" customFormat="1" ht="175.25" hidden="1" customHeight="1" outlineLevel="3">
      <c r="A107" s="722"/>
      <c r="B107" s="733"/>
      <c r="C107" s="758"/>
      <c r="D107" s="759"/>
      <c r="E107" s="785"/>
      <c r="F107" s="545" t="s">
        <v>237</v>
      </c>
      <c r="G107" s="458"/>
      <c r="H107" s="388" t="str">
        <f t="shared" si="15"/>
        <v/>
      </c>
      <c r="I107" s="458"/>
      <c r="J107" s="458"/>
      <c r="K107" s="557" t="str">
        <f t="shared" si="16"/>
        <v/>
      </c>
      <c r="L107" s="362"/>
      <c r="M107" s="31" t="b">
        <v>0</v>
      </c>
      <c r="N107" s="389"/>
      <c r="O107" s="402"/>
      <c r="P107" s="363"/>
      <c r="Q107" s="557"/>
      <c r="R107" s="5"/>
      <c r="S107" s="5"/>
      <c r="T107" s="5"/>
      <c r="U107" s="5"/>
      <c r="V107" s="557">
        <f t="shared" si="17"/>
        <v>0</v>
      </c>
      <c r="W107" s="5"/>
      <c r="X107" s="362"/>
      <c r="Y107" s="364"/>
      <c r="Z107" s="557"/>
      <c r="AA107" s="557"/>
      <c r="AB107" s="390"/>
      <c r="AC107" s="557"/>
      <c r="AD107" s="557"/>
      <c r="AE107" s="362"/>
      <c r="AF107" s="557" t="str">
        <f t="shared" si="18"/>
        <v/>
      </c>
      <c r="AG107" s="557" t="str">
        <f t="shared" si="19"/>
        <v/>
      </c>
      <c r="AH107" s="589"/>
      <c r="AK107" s="107" t="s">
        <v>173</v>
      </c>
      <c r="AL107" s="387">
        <f t="shared" si="13"/>
        <v>0</v>
      </c>
      <c r="AM107" s="387">
        <f t="shared" si="13"/>
        <v>0</v>
      </c>
    </row>
    <row r="108" spans="1:39" s="391" customFormat="1" ht="51" hidden="1" outlineLevel="3">
      <c r="A108" s="722"/>
      <c r="B108" s="733"/>
      <c r="C108" s="758"/>
      <c r="D108" s="759"/>
      <c r="E108" s="785"/>
      <c r="F108" s="545" t="s">
        <v>124</v>
      </c>
      <c r="G108" s="458"/>
      <c r="H108" s="388" t="str">
        <f t="shared" si="15"/>
        <v/>
      </c>
      <c r="I108" s="458"/>
      <c r="J108" s="458"/>
      <c r="K108" s="557" t="str">
        <f t="shared" si="16"/>
        <v/>
      </c>
      <c r="L108" s="362"/>
      <c r="M108" s="31" t="b">
        <v>0</v>
      </c>
      <c r="N108" s="389"/>
      <c r="O108" s="402"/>
      <c r="P108" s="363"/>
      <c r="Q108" s="557"/>
      <c r="R108" s="5"/>
      <c r="S108" s="5"/>
      <c r="T108" s="5"/>
      <c r="U108" s="5"/>
      <c r="V108" s="557">
        <f t="shared" si="17"/>
        <v>0</v>
      </c>
      <c r="W108" s="5"/>
      <c r="X108" s="362"/>
      <c r="Y108" s="364"/>
      <c r="Z108" s="557"/>
      <c r="AA108" s="557"/>
      <c r="AB108" s="390"/>
      <c r="AC108" s="557"/>
      <c r="AD108" s="557"/>
      <c r="AE108" s="362"/>
      <c r="AF108" s="557" t="str">
        <f t="shared" si="18"/>
        <v/>
      </c>
      <c r="AG108" s="557" t="str">
        <f t="shared" si="19"/>
        <v/>
      </c>
      <c r="AH108" s="589"/>
      <c r="AK108" s="107" t="s">
        <v>173</v>
      </c>
      <c r="AL108" s="387">
        <f t="shared" si="13"/>
        <v>0</v>
      </c>
      <c r="AM108" s="387">
        <f t="shared" si="13"/>
        <v>0</v>
      </c>
    </row>
    <row r="109" spans="1:39" s="391" customFormat="1" ht="51" hidden="1" outlineLevel="3">
      <c r="A109" s="722"/>
      <c r="B109" s="733"/>
      <c r="C109" s="758"/>
      <c r="D109" s="759"/>
      <c r="E109" s="785"/>
      <c r="F109" s="545" t="s">
        <v>125</v>
      </c>
      <c r="G109" s="458"/>
      <c r="H109" s="388" t="str">
        <f t="shared" si="15"/>
        <v/>
      </c>
      <c r="I109" s="458"/>
      <c r="J109" s="458"/>
      <c r="K109" s="557" t="str">
        <f t="shared" si="16"/>
        <v/>
      </c>
      <c r="L109" s="362"/>
      <c r="M109" s="31" t="b">
        <v>0</v>
      </c>
      <c r="N109" s="389"/>
      <c r="O109" s="402"/>
      <c r="P109" s="363"/>
      <c r="Q109" s="557"/>
      <c r="R109" s="5"/>
      <c r="S109" s="5"/>
      <c r="T109" s="5"/>
      <c r="U109" s="5"/>
      <c r="V109" s="557">
        <f t="shared" si="17"/>
        <v>0</v>
      </c>
      <c r="W109" s="5"/>
      <c r="X109" s="362"/>
      <c r="Y109" s="364"/>
      <c r="Z109" s="557"/>
      <c r="AA109" s="557"/>
      <c r="AB109" s="390"/>
      <c r="AC109" s="557"/>
      <c r="AD109" s="557"/>
      <c r="AE109" s="362"/>
      <c r="AF109" s="557" t="str">
        <f t="shared" si="18"/>
        <v/>
      </c>
      <c r="AG109" s="557" t="str">
        <f t="shared" si="19"/>
        <v/>
      </c>
      <c r="AH109" s="589"/>
      <c r="AK109" s="107" t="s">
        <v>173</v>
      </c>
      <c r="AL109" s="387">
        <f t="shared" si="13"/>
        <v>0</v>
      </c>
      <c r="AM109" s="387">
        <f t="shared" si="13"/>
        <v>0</v>
      </c>
    </row>
    <row r="110" spans="1:39" s="391" customFormat="1" ht="53" hidden="1" customHeight="1" outlineLevel="3">
      <c r="A110" s="723"/>
      <c r="B110" s="733"/>
      <c r="C110" s="760"/>
      <c r="D110" s="761"/>
      <c r="E110" s="786"/>
      <c r="F110" s="545" t="s">
        <v>238</v>
      </c>
      <c r="G110" s="458"/>
      <c r="H110" s="388" t="str">
        <f t="shared" si="15"/>
        <v/>
      </c>
      <c r="I110" s="458"/>
      <c r="J110" s="458"/>
      <c r="K110" s="557" t="str">
        <f t="shared" si="16"/>
        <v/>
      </c>
      <c r="L110" s="362"/>
      <c r="M110" s="31"/>
      <c r="N110" s="389"/>
      <c r="O110" s="402"/>
      <c r="P110" s="363"/>
      <c r="Q110" s="557"/>
      <c r="R110" s="5"/>
      <c r="S110" s="5"/>
      <c r="T110" s="5"/>
      <c r="U110" s="5"/>
      <c r="V110" s="557">
        <f t="shared" si="17"/>
        <v>0</v>
      </c>
      <c r="W110" s="5"/>
      <c r="X110" s="362"/>
      <c r="Y110" s="364"/>
      <c r="Z110" s="557"/>
      <c r="AA110" s="557"/>
      <c r="AB110" s="390"/>
      <c r="AC110" s="557"/>
      <c r="AD110" s="557"/>
      <c r="AE110" s="362"/>
      <c r="AF110" s="557" t="str">
        <f t="shared" si="18"/>
        <v/>
      </c>
      <c r="AG110" s="557" t="str">
        <f t="shared" si="19"/>
        <v/>
      </c>
      <c r="AH110" s="589"/>
      <c r="AK110" s="107" t="s">
        <v>173</v>
      </c>
      <c r="AL110" s="387">
        <f t="shared" si="13"/>
        <v>0</v>
      </c>
      <c r="AM110" s="387">
        <f t="shared" si="13"/>
        <v>0</v>
      </c>
    </row>
    <row r="111" spans="1:39" s="391" customFormat="1" ht="39" hidden="1" customHeight="1" outlineLevel="3">
      <c r="A111" s="721" t="s">
        <v>174</v>
      </c>
      <c r="B111" s="733"/>
      <c r="C111" s="810" t="s">
        <v>175</v>
      </c>
      <c r="D111" s="737" t="s">
        <v>176</v>
      </c>
      <c r="E111" s="738"/>
      <c r="F111" s="739"/>
      <c r="G111" s="550"/>
      <c r="H111" s="388" t="str">
        <f t="shared" si="15"/>
        <v/>
      </c>
      <c r="I111" s="550"/>
      <c r="J111" s="550"/>
      <c r="K111" s="540" t="str">
        <f t="shared" si="16"/>
        <v/>
      </c>
      <c r="L111" s="362"/>
      <c r="M111" s="31" t="b">
        <v>0</v>
      </c>
      <c r="N111" s="401" t="b">
        <v>0</v>
      </c>
      <c r="O111" s="402"/>
      <c r="P111" s="363"/>
      <c r="Q111" s="540"/>
      <c r="R111" s="5"/>
      <c r="S111" s="5"/>
      <c r="T111" s="5"/>
      <c r="U111" s="5"/>
      <c r="V111" s="540">
        <f t="shared" si="17"/>
        <v>0</v>
      </c>
      <c r="W111" s="5"/>
      <c r="X111" s="362"/>
      <c r="Y111" s="364" t="s">
        <v>177</v>
      </c>
      <c r="Z111" s="5"/>
      <c r="AA111" s="5"/>
      <c r="AB111" s="392"/>
      <c r="AC111" s="5"/>
      <c r="AD111" s="5"/>
      <c r="AE111" s="362"/>
      <c r="AF111" s="557" t="str">
        <f t="shared" si="18"/>
        <v/>
      </c>
      <c r="AG111" s="557" t="str">
        <f t="shared" si="19"/>
        <v/>
      </c>
      <c r="AH111" s="589"/>
      <c r="AK111" s="107" t="s">
        <v>178</v>
      </c>
      <c r="AL111" s="387">
        <f t="shared" si="13"/>
        <v>0</v>
      </c>
      <c r="AM111" s="387">
        <f t="shared" si="13"/>
        <v>0</v>
      </c>
    </row>
    <row r="112" spans="1:39" s="391" customFormat="1" ht="125" hidden="1" customHeight="1" outlineLevel="3">
      <c r="A112" s="722"/>
      <c r="B112" s="733"/>
      <c r="C112" s="826"/>
      <c r="D112" s="734" t="s">
        <v>179</v>
      </c>
      <c r="E112" s="784" t="s">
        <v>231</v>
      </c>
      <c r="F112" s="545" t="s">
        <v>235</v>
      </c>
      <c r="G112" s="550"/>
      <c r="H112" s="388" t="str">
        <f t="shared" si="15"/>
        <v/>
      </c>
      <c r="I112" s="550"/>
      <c r="J112" s="550"/>
      <c r="K112" s="540" t="str">
        <f t="shared" si="16"/>
        <v/>
      </c>
      <c r="L112" s="362"/>
      <c r="M112" s="31" t="b">
        <v>0</v>
      </c>
      <c r="N112" s="401" t="b">
        <v>0</v>
      </c>
      <c r="O112" s="402"/>
      <c r="P112" s="363"/>
      <c r="Q112" s="540"/>
      <c r="R112" s="5"/>
      <c r="S112" s="5"/>
      <c r="T112" s="5"/>
      <c r="U112" s="5"/>
      <c r="V112" s="540">
        <f t="shared" si="17"/>
        <v>0</v>
      </c>
      <c r="W112" s="5"/>
      <c r="X112" s="362"/>
      <c r="Y112" s="364" t="s">
        <v>177</v>
      </c>
      <c r="Z112" s="5"/>
      <c r="AA112" s="5"/>
      <c r="AB112" s="392"/>
      <c r="AC112" s="5"/>
      <c r="AD112" s="5"/>
      <c r="AE112" s="362"/>
      <c r="AF112" s="557" t="str">
        <f t="shared" si="18"/>
        <v/>
      </c>
      <c r="AG112" s="557" t="str">
        <f t="shared" si="19"/>
        <v/>
      </c>
      <c r="AH112" s="589"/>
      <c r="AK112" s="107" t="s">
        <v>178</v>
      </c>
      <c r="AL112" s="387">
        <f t="shared" si="13"/>
        <v>0</v>
      </c>
      <c r="AM112" s="387">
        <f t="shared" si="13"/>
        <v>0</v>
      </c>
    </row>
    <row r="113" spans="1:39" s="391" customFormat="1" ht="92" hidden="1" customHeight="1" outlineLevel="3">
      <c r="A113" s="722"/>
      <c r="B113" s="733"/>
      <c r="C113" s="826"/>
      <c r="D113" s="735"/>
      <c r="E113" s="785"/>
      <c r="F113" s="545" t="s">
        <v>236</v>
      </c>
      <c r="G113" s="550"/>
      <c r="H113" s="388" t="str">
        <f t="shared" si="15"/>
        <v/>
      </c>
      <c r="I113" s="550"/>
      <c r="J113" s="550"/>
      <c r="K113" s="540" t="str">
        <f t="shared" si="16"/>
        <v/>
      </c>
      <c r="L113" s="362"/>
      <c r="M113" s="544" t="b">
        <v>0</v>
      </c>
      <c r="N113" s="401" t="b">
        <v>0</v>
      </c>
      <c r="O113" s="402"/>
      <c r="P113" s="363"/>
      <c r="Q113" s="540"/>
      <c r="R113" s="5"/>
      <c r="S113" s="5"/>
      <c r="T113" s="5"/>
      <c r="U113" s="5"/>
      <c r="V113" s="540">
        <f t="shared" si="17"/>
        <v>0</v>
      </c>
      <c r="W113" s="5"/>
      <c r="X113" s="362"/>
      <c r="Y113" s="364" t="s">
        <v>177</v>
      </c>
      <c r="Z113" s="5"/>
      <c r="AA113" s="5"/>
      <c r="AB113" s="392"/>
      <c r="AC113" s="5"/>
      <c r="AD113" s="5"/>
      <c r="AE113" s="363"/>
      <c r="AF113" s="557" t="str">
        <f t="shared" si="18"/>
        <v/>
      </c>
      <c r="AG113" s="557" t="str">
        <f t="shared" si="19"/>
        <v/>
      </c>
      <c r="AH113" s="589"/>
      <c r="AK113" s="107" t="s">
        <v>178</v>
      </c>
      <c r="AL113" s="387">
        <f t="shared" si="13"/>
        <v>0</v>
      </c>
      <c r="AM113" s="387">
        <f t="shared" si="13"/>
        <v>0</v>
      </c>
    </row>
    <row r="114" spans="1:39" s="391" customFormat="1" ht="162" hidden="1" customHeight="1" outlineLevel="3">
      <c r="A114" s="722"/>
      <c r="B114" s="733"/>
      <c r="C114" s="826"/>
      <c r="D114" s="735"/>
      <c r="E114" s="785"/>
      <c r="F114" s="545" t="s">
        <v>237</v>
      </c>
      <c r="G114" s="550"/>
      <c r="H114" s="388" t="str">
        <f t="shared" si="15"/>
        <v/>
      </c>
      <c r="I114" s="550"/>
      <c r="J114" s="550"/>
      <c r="K114" s="540" t="str">
        <f t="shared" si="16"/>
        <v/>
      </c>
      <c r="L114" s="362"/>
      <c r="M114" s="544" t="b">
        <v>0</v>
      </c>
      <c r="N114" s="401" t="b">
        <v>0</v>
      </c>
      <c r="O114" s="402"/>
      <c r="P114" s="363"/>
      <c r="Q114" s="540"/>
      <c r="R114" s="5"/>
      <c r="S114" s="5"/>
      <c r="T114" s="5"/>
      <c r="U114" s="5"/>
      <c r="V114" s="540">
        <f t="shared" si="17"/>
        <v>0</v>
      </c>
      <c r="W114" s="5"/>
      <c r="X114" s="362"/>
      <c r="Y114" s="364" t="s">
        <v>177</v>
      </c>
      <c r="Z114" s="5"/>
      <c r="AA114" s="5"/>
      <c r="AB114" s="392"/>
      <c r="AC114" s="5"/>
      <c r="AD114" s="5"/>
      <c r="AE114" s="363"/>
      <c r="AF114" s="557" t="str">
        <f t="shared" si="18"/>
        <v/>
      </c>
      <c r="AG114" s="557" t="str">
        <f t="shared" si="19"/>
        <v/>
      </c>
      <c r="AH114" s="589"/>
      <c r="AK114" s="107" t="s">
        <v>178</v>
      </c>
      <c r="AL114" s="387">
        <f t="shared" si="13"/>
        <v>0</v>
      </c>
      <c r="AM114" s="387">
        <f t="shared" si="13"/>
        <v>0</v>
      </c>
    </row>
    <row r="115" spans="1:39" s="391" customFormat="1" ht="51" hidden="1" outlineLevel="3">
      <c r="A115" s="722"/>
      <c r="B115" s="733"/>
      <c r="C115" s="826"/>
      <c r="D115" s="736"/>
      <c r="E115" s="786"/>
      <c r="F115" s="545" t="s">
        <v>125</v>
      </c>
      <c r="G115" s="550"/>
      <c r="H115" s="388" t="str">
        <f t="shared" si="15"/>
        <v/>
      </c>
      <c r="I115" s="550"/>
      <c r="J115" s="550"/>
      <c r="K115" s="557" t="str">
        <f t="shared" si="16"/>
        <v/>
      </c>
      <c r="L115" s="362"/>
      <c r="M115" s="544" t="b">
        <v>0</v>
      </c>
      <c r="N115" s="401" t="b">
        <v>0</v>
      </c>
      <c r="O115" s="402"/>
      <c r="P115" s="363"/>
      <c r="Q115" s="557"/>
      <c r="R115" s="5"/>
      <c r="S115" s="5"/>
      <c r="T115" s="5"/>
      <c r="U115" s="5"/>
      <c r="V115" s="557">
        <f t="shared" si="17"/>
        <v>0</v>
      </c>
      <c r="W115" s="5"/>
      <c r="X115" s="362"/>
      <c r="Y115" s="364" t="s">
        <v>177</v>
      </c>
      <c r="Z115" s="5"/>
      <c r="AA115" s="5"/>
      <c r="AB115" s="392"/>
      <c r="AC115" s="5"/>
      <c r="AD115" s="5"/>
      <c r="AE115" s="363"/>
      <c r="AF115" s="557" t="str">
        <f t="shared" si="18"/>
        <v/>
      </c>
      <c r="AG115" s="557" t="str">
        <f t="shared" si="19"/>
        <v/>
      </c>
      <c r="AH115" s="589"/>
      <c r="AK115" s="107" t="s">
        <v>178</v>
      </c>
      <c r="AL115" s="387">
        <f t="shared" si="13"/>
        <v>0</v>
      </c>
      <c r="AM115" s="387">
        <f t="shared" si="13"/>
        <v>0</v>
      </c>
    </row>
    <row r="116" spans="1:39" s="391" customFormat="1" ht="48" hidden="1" customHeight="1" outlineLevel="3">
      <c r="A116" s="722"/>
      <c r="B116" s="733"/>
      <c r="C116" s="826"/>
      <c r="D116" s="740" t="s">
        <v>180</v>
      </c>
      <c r="E116" s="741"/>
      <c r="F116" s="742"/>
      <c r="G116" s="836"/>
      <c r="H116" s="838" t="str">
        <f t="shared" si="15"/>
        <v/>
      </c>
      <c r="I116" s="836"/>
      <c r="J116" s="836"/>
      <c r="K116" s="712" t="str">
        <f>IF(SUM(I116:J117)=0,"",SUM(I116:J117))</f>
        <v/>
      </c>
      <c r="L116" s="362"/>
      <c r="M116" s="808" t="b">
        <v>0</v>
      </c>
      <c r="N116" s="401" t="b">
        <v>0</v>
      </c>
      <c r="O116" s="402"/>
      <c r="P116" s="363"/>
      <c r="Q116" s="712"/>
      <c r="R116" s="710"/>
      <c r="S116" s="710"/>
      <c r="T116" s="710"/>
      <c r="U116" s="710"/>
      <c r="V116" s="712">
        <f t="shared" si="17"/>
        <v>0</v>
      </c>
      <c r="W116" s="710"/>
      <c r="X116" s="362"/>
      <c r="Y116" s="364" t="s">
        <v>262</v>
      </c>
      <c r="Z116" s="5"/>
      <c r="AA116" s="5"/>
      <c r="AB116" s="392"/>
      <c r="AC116" s="710"/>
      <c r="AD116" s="710"/>
      <c r="AE116" s="363"/>
      <c r="AF116" s="712" t="str">
        <f t="shared" ref="AF116:AF134" si="20">IF(G116="","",IF(AND(V116="",Z116="",Z117="",AC116=""),"Missing Info",IF(G116-V116-Z116-Z117+AC116=0,"OK","Review financial exposure")))</f>
        <v/>
      </c>
      <c r="AG116" s="712" t="str">
        <f>IF(K116="","",IF(AND(W116="",AA116="",AA117="",AD116=""),"Missing Info",IF(K116-W116-AA116-AA117+AD116=0,"OK","Review emissions")))</f>
        <v/>
      </c>
      <c r="AH116" s="589"/>
      <c r="AK116" s="107" t="s">
        <v>182</v>
      </c>
      <c r="AL116" s="387">
        <f t="shared" si="13"/>
        <v>0</v>
      </c>
      <c r="AM116" s="387">
        <f t="shared" si="13"/>
        <v>0</v>
      </c>
    </row>
    <row r="117" spans="1:39" s="391" customFormat="1" ht="39" hidden="1" customHeight="1" outlineLevel="3">
      <c r="A117" s="722"/>
      <c r="B117" s="733"/>
      <c r="C117" s="826"/>
      <c r="D117" s="743"/>
      <c r="E117" s="744"/>
      <c r="F117" s="745"/>
      <c r="G117" s="837"/>
      <c r="H117" s="839"/>
      <c r="I117" s="837"/>
      <c r="J117" s="837"/>
      <c r="K117" s="713"/>
      <c r="L117" s="362"/>
      <c r="M117" s="809"/>
      <c r="N117" s="401" t="b">
        <v>0</v>
      </c>
      <c r="O117" s="402"/>
      <c r="P117" s="363"/>
      <c r="Q117" s="713"/>
      <c r="R117" s="711"/>
      <c r="S117" s="711"/>
      <c r="T117" s="711"/>
      <c r="U117" s="711"/>
      <c r="V117" s="713">
        <f t="shared" si="17"/>
        <v>0</v>
      </c>
      <c r="W117" s="711"/>
      <c r="X117" s="362"/>
      <c r="Y117" s="364" t="s">
        <v>183</v>
      </c>
      <c r="Z117" s="5"/>
      <c r="AA117" s="5"/>
      <c r="AB117" s="392"/>
      <c r="AC117" s="711"/>
      <c r="AD117" s="711"/>
      <c r="AE117" s="363"/>
      <c r="AF117" s="713"/>
      <c r="AG117" s="713"/>
      <c r="AH117" s="589"/>
      <c r="AK117" s="107" t="s">
        <v>182</v>
      </c>
      <c r="AL117" s="387">
        <f t="shared" si="13"/>
        <v>0</v>
      </c>
      <c r="AM117" s="387">
        <f t="shared" si="13"/>
        <v>0</v>
      </c>
    </row>
    <row r="118" spans="1:39" s="391" customFormat="1" ht="54" hidden="1" customHeight="1" outlineLevel="3">
      <c r="A118" s="722"/>
      <c r="B118" s="733"/>
      <c r="C118" s="826"/>
      <c r="D118" s="734" t="s">
        <v>184</v>
      </c>
      <c r="E118" s="784" t="s">
        <v>231</v>
      </c>
      <c r="F118" s="784" t="s">
        <v>235</v>
      </c>
      <c r="G118" s="836"/>
      <c r="H118" s="838" t="str">
        <f>IF(G118="","",G118/$G$238)</f>
        <v/>
      </c>
      <c r="I118" s="836"/>
      <c r="J118" s="836"/>
      <c r="K118" s="712" t="str">
        <f>IF(SUM(I118:J119)=0,"",SUM(I118:J119))</f>
        <v/>
      </c>
      <c r="L118" s="362"/>
      <c r="M118" s="808" t="b">
        <v>0</v>
      </c>
      <c r="N118" s="401" t="b">
        <v>0</v>
      </c>
      <c r="O118" s="402"/>
      <c r="P118" s="363"/>
      <c r="Q118" s="712"/>
      <c r="R118" s="710"/>
      <c r="S118" s="710"/>
      <c r="T118" s="710"/>
      <c r="U118" s="710"/>
      <c r="V118" s="712">
        <f t="shared" si="17"/>
        <v>0</v>
      </c>
      <c r="W118" s="710"/>
      <c r="X118" s="362"/>
      <c r="Y118" s="364" t="s">
        <v>262</v>
      </c>
      <c r="Z118" s="5"/>
      <c r="AA118" s="5"/>
      <c r="AB118" s="392"/>
      <c r="AC118" s="710"/>
      <c r="AD118" s="710"/>
      <c r="AE118" s="363"/>
      <c r="AF118" s="712" t="str">
        <f t="shared" si="20"/>
        <v/>
      </c>
      <c r="AG118" s="712" t="str">
        <f>IF(K118="","",IF(AND(W118="",AA118="",AA119="",AD118=""),"Missing Info",IF(K118-W118-AA118-AA119+AD118=0,"OK","Review emissions")))</f>
        <v/>
      </c>
      <c r="AH118" s="589"/>
      <c r="AK118" s="107" t="s">
        <v>182</v>
      </c>
      <c r="AL118" s="387">
        <f t="shared" si="13"/>
        <v>0</v>
      </c>
      <c r="AM118" s="387">
        <f t="shared" si="13"/>
        <v>0</v>
      </c>
    </row>
    <row r="119" spans="1:39" s="391" customFormat="1" ht="68" hidden="1" customHeight="1" outlineLevel="3">
      <c r="A119" s="722"/>
      <c r="B119" s="733"/>
      <c r="C119" s="826"/>
      <c r="D119" s="735"/>
      <c r="E119" s="785"/>
      <c r="F119" s="786"/>
      <c r="G119" s="837"/>
      <c r="H119" s="839"/>
      <c r="I119" s="837"/>
      <c r="J119" s="837"/>
      <c r="K119" s="713"/>
      <c r="L119" s="362"/>
      <c r="M119" s="809"/>
      <c r="N119" s="401" t="b">
        <v>0</v>
      </c>
      <c r="O119" s="402"/>
      <c r="P119" s="363"/>
      <c r="Q119" s="713"/>
      <c r="R119" s="711"/>
      <c r="S119" s="711"/>
      <c r="T119" s="711"/>
      <c r="U119" s="711"/>
      <c r="V119" s="713">
        <f t="shared" si="17"/>
        <v>0</v>
      </c>
      <c r="W119" s="711"/>
      <c r="X119" s="362"/>
      <c r="Y119" s="364" t="s">
        <v>183</v>
      </c>
      <c r="Z119" s="5"/>
      <c r="AA119" s="5"/>
      <c r="AB119" s="392"/>
      <c r="AC119" s="711"/>
      <c r="AD119" s="711"/>
      <c r="AE119" s="363"/>
      <c r="AF119" s="713"/>
      <c r="AG119" s="713"/>
      <c r="AH119" s="589"/>
      <c r="AK119" s="107" t="s">
        <v>182</v>
      </c>
      <c r="AL119" s="387">
        <f t="shared" si="13"/>
        <v>0</v>
      </c>
      <c r="AM119" s="387">
        <f t="shared" si="13"/>
        <v>0</v>
      </c>
    </row>
    <row r="120" spans="1:39" s="391" customFormat="1" ht="54" hidden="1" customHeight="1" outlineLevel="3">
      <c r="A120" s="722"/>
      <c r="B120" s="733"/>
      <c r="C120" s="826"/>
      <c r="D120" s="735"/>
      <c r="E120" s="785"/>
      <c r="F120" s="784" t="s">
        <v>236</v>
      </c>
      <c r="G120" s="836"/>
      <c r="H120" s="838" t="str">
        <f>IF(G120="","",G120/$G$238)</f>
        <v/>
      </c>
      <c r="I120" s="836"/>
      <c r="J120" s="836"/>
      <c r="K120" s="712" t="str">
        <f>IF(SUM(I120:J121)=0,"",SUM(I120:J121))</f>
        <v/>
      </c>
      <c r="L120" s="362"/>
      <c r="M120" s="808" t="b">
        <v>0</v>
      </c>
      <c r="N120" s="401" t="b">
        <v>0</v>
      </c>
      <c r="O120" s="402"/>
      <c r="P120" s="363"/>
      <c r="Q120" s="393"/>
      <c r="R120" s="710"/>
      <c r="S120" s="710"/>
      <c r="T120" s="710"/>
      <c r="U120" s="710"/>
      <c r="V120" s="712">
        <f t="shared" si="17"/>
        <v>0</v>
      </c>
      <c r="W120" s="710"/>
      <c r="X120" s="362"/>
      <c r="Y120" s="364" t="s">
        <v>262</v>
      </c>
      <c r="Z120" s="5"/>
      <c r="AA120" s="5"/>
      <c r="AB120" s="392"/>
      <c r="AC120" s="710"/>
      <c r="AD120" s="710"/>
      <c r="AE120" s="363"/>
      <c r="AF120" s="712" t="str">
        <f t="shared" si="20"/>
        <v/>
      </c>
      <c r="AG120" s="712" t="str">
        <f>IF(K120="","",IF(AND(W120="",AA120="",AA121="",AD120=""),"Missing Info",IF(K120-W120-AA120-AA121+AD120=0,"OK","Review emissions")))</f>
        <v/>
      </c>
      <c r="AH120" s="589"/>
      <c r="AK120" s="107" t="s">
        <v>182</v>
      </c>
      <c r="AL120" s="387">
        <f t="shared" si="13"/>
        <v>0</v>
      </c>
      <c r="AM120" s="387">
        <f t="shared" si="13"/>
        <v>0</v>
      </c>
    </row>
    <row r="121" spans="1:39" s="391" customFormat="1" ht="39" hidden="1" customHeight="1" outlineLevel="3">
      <c r="A121" s="722"/>
      <c r="B121" s="733"/>
      <c r="C121" s="826"/>
      <c r="D121" s="735"/>
      <c r="E121" s="785"/>
      <c r="F121" s="786"/>
      <c r="G121" s="837"/>
      <c r="H121" s="839"/>
      <c r="I121" s="837"/>
      <c r="J121" s="837"/>
      <c r="K121" s="713"/>
      <c r="L121" s="362"/>
      <c r="M121" s="809"/>
      <c r="N121" s="401" t="b">
        <v>0</v>
      </c>
      <c r="O121" s="402"/>
      <c r="P121" s="363"/>
      <c r="Q121" s="393"/>
      <c r="R121" s="711"/>
      <c r="S121" s="711"/>
      <c r="T121" s="711"/>
      <c r="U121" s="711"/>
      <c r="V121" s="713">
        <f t="shared" si="17"/>
        <v>0</v>
      </c>
      <c r="W121" s="711"/>
      <c r="X121" s="362"/>
      <c r="Y121" s="364" t="s">
        <v>183</v>
      </c>
      <c r="Z121" s="5"/>
      <c r="AA121" s="5"/>
      <c r="AB121" s="392"/>
      <c r="AC121" s="711"/>
      <c r="AD121" s="711"/>
      <c r="AE121" s="363"/>
      <c r="AF121" s="713"/>
      <c r="AG121" s="713"/>
      <c r="AH121" s="589"/>
      <c r="AK121" s="107" t="s">
        <v>182</v>
      </c>
      <c r="AL121" s="387">
        <f t="shared" si="13"/>
        <v>0</v>
      </c>
      <c r="AM121" s="387">
        <f t="shared" si="13"/>
        <v>0</v>
      </c>
    </row>
    <row r="122" spans="1:39" s="391" customFormat="1" ht="74" hidden="1" customHeight="1" outlineLevel="3">
      <c r="A122" s="722"/>
      <c r="B122" s="733"/>
      <c r="C122" s="826"/>
      <c r="D122" s="735"/>
      <c r="E122" s="785"/>
      <c r="F122" s="784" t="s">
        <v>237</v>
      </c>
      <c r="G122" s="836"/>
      <c r="H122" s="838" t="str">
        <f>IF(G122="","",G122/$G$238)</f>
        <v/>
      </c>
      <c r="I122" s="836"/>
      <c r="J122" s="836"/>
      <c r="K122" s="712" t="str">
        <f>IF(SUM(I122:J123)=0,"",SUM(I122:J123))</f>
        <v/>
      </c>
      <c r="L122" s="362"/>
      <c r="M122" s="808" t="b">
        <v>0</v>
      </c>
      <c r="N122" s="401" t="b">
        <v>0</v>
      </c>
      <c r="O122" s="402"/>
      <c r="P122" s="363"/>
      <c r="Q122" s="393"/>
      <c r="R122" s="710"/>
      <c r="S122" s="710"/>
      <c r="T122" s="710"/>
      <c r="U122" s="710"/>
      <c r="V122" s="712">
        <f t="shared" si="17"/>
        <v>0</v>
      </c>
      <c r="W122" s="710"/>
      <c r="X122" s="362"/>
      <c r="Y122" s="364" t="s">
        <v>262</v>
      </c>
      <c r="Z122" s="5"/>
      <c r="AA122" s="5"/>
      <c r="AB122" s="392"/>
      <c r="AC122" s="710"/>
      <c r="AD122" s="710"/>
      <c r="AE122" s="363"/>
      <c r="AF122" s="712" t="str">
        <f t="shared" si="20"/>
        <v/>
      </c>
      <c r="AG122" s="712" t="str">
        <f>IF(K122="","",IF(AND(W122="",AA122="",AA123="",AD122=""),"Missing Info",IF(K122-W122-AA122-AA123+AD122=0,"OK","Review emissions")))</f>
        <v/>
      </c>
      <c r="AH122" s="589"/>
      <c r="AK122" s="107" t="s">
        <v>182</v>
      </c>
      <c r="AL122" s="387">
        <f t="shared" si="13"/>
        <v>0</v>
      </c>
      <c r="AM122" s="387">
        <f t="shared" si="13"/>
        <v>0</v>
      </c>
    </row>
    <row r="123" spans="1:39" s="391" customFormat="1" ht="98" hidden="1" customHeight="1" outlineLevel="3">
      <c r="A123" s="722"/>
      <c r="B123" s="733"/>
      <c r="C123" s="826"/>
      <c r="D123" s="735"/>
      <c r="E123" s="785"/>
      <c r="F123" s="786"/>
      <c r="G123" s="837"/>
      <c r="H123" s="839"/>
      <c r="I123" s="837"/>
      <c r="J123" s="837"/>
      <c r="K123" s="713"/>
      <c r="L123" s="362"/>
      <c r="M123" s="809"/>
      <c r="N123" s="401" t="b">
        <v>0</v>
      </c>
      <c r="O123" s="402"/>
      <c r="P123" s="363"/>
      <c r="Q123" s="393"/>
      <c r="R123" s="711"/>
      <c r="S123" s="711"/>
      <c r="T123" s="711"/>
      <c r="U123" s="711"/>
      <c r="V123" s="713">
        <f t="shared" si="17"/>
        <v>0</v>
      </c>
      <c r="W123" s="711"/>
      <c r="X123" s="362"/>
      <c r="Y123" s="364" t="s">
        <v>183</v>
      </c>
      <c r="Z123" s="5"/>
      <c r="AA123" s="5"/>
      <c r="AB123" s="392"/>
      <c r="AC123" s="711"/>
      <c r="AD123" s="711"/>
      <c r="AE123" s="363"/>
      <c r="AF123" s="713"/>
      <c r="AG123" s="713"/>
      <c r="AH123" s="589"/>
      <c r="AK123" s="107" t="s">
        <v>182</v>
      </c>
      <c r="AL123" s="387">
        <f t="shared" si="13"/>
        <v>0</v>
      </c>
      <c r="AM123" s="387">
        <f t="shared" si="13"/>
        <v>0</v>
      </c>
    </row>
    <row r="124" spans="1:39" s="391" customFormat="1" ht="39" hidden="1" customHeight="1" outlineLevel="3">
      <c r="A124" s="722"/>
      <c r="B124" s="733"/>
      <c r="C124" s="826"/>
      <c r="D124" s="735"/>
      <c r="E124" s="785"/>
      <c r="F124" s="784" t="s">
        <v>125</v>
      </c>
      <c r="G124" s="836"/>
      <c r="H124" s="838" t="str">
        <f>IF(G124="","",G124/$G$238)</f>
        <v/>
      </c>
      <c r="I124" s="836"/>
      <c r="J124" s="836"/>
      <c r="K124" s="712" t="str">
        <f>IF(SUM(I124:J125)=0,"",SUM(I124:J125))</f>
        <v/>
      </c>
      <c r="L124" s="362"/>
      <c r="M124" s="808" t="b">
        <v>0</v>
      </c>
      <c r="N124" s="401" t="b">
        <v>0</v>
      </c>
      <c r="O124" s="402"/>
      <c r="P124" s="363"/>
      <c r="Q124" s="712"/>
      <c r="R124" s="710"/>
      <c r="S124" s="710"/>
      <c r="T124" s="710"/>
      <c r="U124" s="710"/>
      <c r="V124" s="712">
        <f t="shared" si="17"/>
        <v>0</v>
      </c>
      <c r="W124" s="710"/>
      <c r="X124" s="362"/>
      <c r="Y124" s="364" t="s">
        <v>262</v>
      </c>
      <c r="Z124" s="5"/>
      <c r="AA124" s="5"/>
      <c r="AB124" s="392"/>
      <c r="AC124" s="710"/>
      <c r="AD124" s="710"/>
      <c r="AE124" s="363"/>
      <c r="AF124" s="712" t="str">
        <f t="shared" si="20"/>
        <v/>
      </c>
      <c r="AG124" s="712" t="str">
        <f>IF(K124="","",IF(AND(W124="",AA124="",AA125="",AD124=""),"Missing Info",IF(K124-W124-AA124-AA125+AD124=0,"OK","Review emissions")))</f>
        <v/>
      </c>
      <c r="AH124" s="589"/>
      <c r="AK124" s="107" t="s">
        <v>182</v>
      </c>
      <c r="AL124" s="387">
        <f t="shared" si="13"/>
        <v>0</v>
      </c>
      <c r="AM124" s="387">
        <f t="shared" si="13"/>
        <v>0</v>
      </c>
    </row>
    <row r="125" spans="1:39" s="391" customFormat="1" ht="33" hidden="1" customHeight="1" outlineLevel="3">
      <c r="A125" s="722"/>
      <c r="B125" s="733"/>
      <c r="C125" s="826"/>
      <c r="D125" s="736"/>
      <c r="E125" s="786"/>
      <c r="F125" s="786"/>
      <c r="G125" s="837"/>
      <c r="H125" s="839"/>
      <c r="I125" s="837"/>
      <c r="J125" s="837"/>
      <c r="K125" s="713"/>
      <c r="L125" s="362"/>
      <c r="M125" s="809"/>
      <c r="N125" s="401" t="b">
        <v>0</v>
      </c>
      <c r="O125" s="402"/>
      <c r="P125" s="363"/>
      <c r="Q125" s="713"/>
      <c r="R125" s="711"/>
      <c r="S125" s="711"/>
      <c r="T125" s="711"/>
      <c r="U125" s="711"/>
      <c r="V125" s="713">
        <f t="shared" si="17"/>
        <v>0</v>
      </c>
      <c r="W125" s="711"/>
      <c r="X125" s="362"/>
      <c r="Y125" s="364" t="s">
        <v>183</v>
      </c>
      <c r="Z125" s="5"/>
      <c r="AA125" s="5"/>
      <c r="AB125" s="392"/>
      <c r="AC125" s="711"/>
      <c r="AD125" s="711"/>
      <c r="AE125" s="363"/>
      <c r="AF125" s="713"/>
      <c r="AG125" s="713"/>
      <c r="AH125" s="589"/>
      <c r="AK125" s="107" t="s">
        <v>182</v>
      </c>
      <c r="AL125" s="387">
        <f t="shared" si="13"/>
        <v>0</v>
      </c>
      <c r="AM125" s="387">
        <f t="shared" si="13"/>
        <v>0</v>
      </c>
    </row>
    <row r="126" spans="1:39" s="391" customFormat="1" ht="39" hidden="1" customHeight="1" outlineLevel="3">
      <c r="A126" s="722"/>
      <c r="B126" s="733"/>
      <c r="C126" s="826"/>
      <c r="D126" s="740" t="s">
        <v>185</v>
      </c>
      <c r="E126" s="741"/>
      <c r="F126" s="742"/>
      <c r="G126" s="836"/>
      <c r="H126" s="838" t="str">
        <f>IF(G126="","",G126/$G$238)</f>
        <v/>
      </c>
      <c r="I126" s="836"/>
      <c r="J126" s="836"/>
      <c r="K126" s="712" t="str">
        <f>IF(SUM(I126:J127)=0,"",SUM(I126:J127))</f>
        <v/>
      </c>
      <c r="L126" s="362"/>
      <c r="M126" s="808" t="b">
        <v>0</v>
      </c>
      <c r="N126" s="401" t="b">
        <v>0</v>
      </c>
      <c r="O126" s="402"/>
      <c r="P126" s="363"/>
      <c r="Q126" s="712"/>
      <c r="R126" s="710"/>
      <c r="S126" s="710"/>
      <c r="T126" s="710"/>
      <c r="U126" s="710"/>
      <c r="V126" s="712">
        <f t="shared" si="17"/>
        <v>0</v>
      </c>
      <c r="W126" s="710"/>
      <c r="X126" s="362"/>
      <c r="Y126" s="364" t="s">
        <v>186</v>
      </c>
      <c r="Z126" s="5"/>
      <c r="AA126" s="5"/>
      <c r="AB126" s="392"/>
      <c r="AC126" s="710"/>
      <c r="AD126" s="710"/>
      <c r="AE126" s="363"/>
      <c r="AF126" s="712" t="str">
        <f t="shared" si="20"/>
        <v/>
      </c>
      <c r="AG126" s="712" t="str">
        <f>IF(K126="","",IF(AND(W126="",AA126="",AA127="",AD126=""),"Missing Info",IF(K126-W126-AA126-AA127+AD126=0,"OK","Review emissions")))</f>
        <v/>
      </c>
      <c r="AH126" s="589"/>
      <c r="AK126" s="107" t="s">
        <v>187</v>
      </c>
      <c r="AL126" s="387">
        <f t="shared" si="13"/>
        <v>0</v>
      </c>
      <c r="AM126" s="387">
        <f t="shared" si="13"/>
        <v>0</v>
      </c>
    </row>
    <row r="127" spans="1:39" s="391" customFormat="1" ht="39" hidden="1" customHeight="1" outlineLevel="3">
      <c r="A127" s="722"/>
      <c r="B127" s="733"/>
      <c r="C127" s="826"/>
      <c r="D127" s="743"/>
      <c r="E127" s="744"/>
      <c r="F127" s="745"/>
      <c r="G127" s="837"/>
      <c r="H127" s="839"/>
      <c r="I127" s="837"/>
      <c r="J127" s="837"/>
      <c r="K127" s="713"/>
      <c r="L127" s="362"/>
      <c r="M127" s="809"/>
      <c r="N127" s="401" t="b">
        <v>0</v>
      </c>
      <c r="O127" s="402"/>
      <c r="P127" s="363"/>
      <c r="Q127" s="713"/>
      <c r="R127" s="711"/>
      <c r="S127" s="711"/>
      <c r="T127" s="711"/>
      <c r="U127" s="711"/>
      <c r="V127" s="713">
        <f t="shared" si="17"/>
        <v>0</v>
      </c>
      <c r="W127" s="711"/>
      <c r="X127" s="362"/>
      <c r="Y127" s="364" t="s">
        <v>188</v>
      </c>
      <c r="Z127" s="5"/>
      <c r="AA127" s="5"/>
      <c r="AB127" s="392"/>
      <c r="AC127" s="711"/>
      <c r="AD127" s="711"/>
      <c r="AE127" s="363"/>
      <c r="AF127" s="713"/>
      <c r="AG127" s="713"/>
      <c r="AH127" s="589"/>
      <c r="AK127" s="107" t="s">
        <v>187</v>
      </c>
      <c r="AL127" s="387">
        <f t="shared" si="13"/>
        <v>0</v>
      </c>
      <c r="AM127" s="387">
        <f t="shared" si="13"/>
        <v>0</v>
      </c>
    </row>
    <row r="128" spans="1:39" s="391" customFormat="1" ht="39" hidden="1" customHeight="1" outlineLevel="3">
      <c r="A128" s="722"/>
      <c r="B128" s="733"/>
      <c r="C128" s="826"/>
      <c r="D128" s="734" t="s">
        <v>189</v>
      </c>
      <c r="E128" s="784" t="s">
        <v>231</v>
      </c>
      <c r="F128" s="784" t="s">
        <v>235</v>
      </c>
      <c r="G128" s="836"/>
      <c r="H128" s="838" t="str">
        <f>IF(G128="","",G128/$G$238)</f>
        <v/>
      </c>
      <c r="I128" s="836"/>
      <c r="J128" s="836"/>
      <c r="K128" s="712" t="str">
        <f>IF(SUM(I128:J129)=0,"",SUM(I128:J129))</f>
        <v/>
      </c>
      <c r="L128" s="362"/>
      <c r="M128" s="808" t="b">
        <v>0</v>
      </c>
      <c r="N128" s="401" t="b">
        <v>0</v>
      </c>
      <c r="O128" s="402"/>
      <c r="P128" s="363"/>
      <c r="Q128" s="712"/>
      <c r="R128" s="710"/>
      <c r="S128" s="710"/>
      <c r="T128" s="710"/>
      <c r="U128" s="710"/>
      <c r="V128" s="712">
        <f t="shared" si="17"/>
        <v>0</v>
      </c>
      <c r="W128" s="710"/>
      <c r="X128" s="362"/>
      <c r="Y128" s="364" t="s">
        <v>186</v>
      </c>
      <c r="Z128" s="5"/>
      <c r="AA128" s="5"/>
      <c r="AB128" s="392"/>
      <c r="AC128" s="710"/>
      <c r="AD128" s="710"/>
      <c r="AE128" s="363"/>
      <c r="AF128" s="712" t="str">
        <f t="shared" si="20"/>
        <v/>
      </c>
      <c r="AG128" s="712" t="str">
        <f>IF(K128="","",IF(AND(W128="",AA128="",AA129="",AD128=""),"Missing Info",IF(K128-W128-AA128-AA129+AD128=0,"OK","Review emissions")))</f>
        <v/>
      </c>
      <c r="AH128" s="589"/>
      <c r="AK128" s="107" t="s">
        <v>187</v>
      </c>
      <c r="AL128" s="387">
        <f t="shared" si="13"/>
        <v>0</v>
      </c>
      <c r="AM128" s="387">
        <f t="shared" si="13"/>
        <v>0</v>
      </c>
    </row>
    <row r="129" spans="1:39" s="391" customFormat="1" ht="89" hidden="1" customHeight="1" outlineLevel="3">
      <c r="A129" s="722"/>
      <c r="B129" s="733"/>
      <c r="C129" s="826"/>
      <c r="D129" s="735"/>
      <c r="E129" s="785"/>
      <c r="F129" s="786"/>
      <c r="G129" s="837"/>
      <c r="H129" s="839"/>
      <c r="I129" s="837"/>
      <c r="J129" s="837"/>
      <c r="K129" s="713"/>
      <c r="L129" s="362"/>
      <c r="M129" s="809"/>
      <c r="N129" s="401" t="b">
        <v>0</v>
      </c>
      <c r="O129" s="402"/>
      <c r="P129" s="363"/>
      <c r="Q129" s="713"/>
      <c r="R129" s="711"/>
      <c r="S129" s="711"/>
      <c r="T129" s="711"/>
      <c r="U129" s="711"/>
      <c r="V129" s="713">
        <f t="shared" si="17"/>
        <v>0</v>
      </c>
      <c r="W129" s="711"/>
      <c r="X129" s="362"/>
      <c r="Y129" s="364" t="s">
        <v>188</v>
      </c>
      <c r="Z129" s="5"/>
      <c r="AA129" s="5"/>
      <c r="AB129" s="392"/>
      <c r="AC129" s="711"/>
      <c r="AD129" s="711"/>
      <c r="AE129" s="363"/>
      <c r="AF129" s="713"/>
      <c r="AG129" s="713"/>
      <c r="AH129" s="589"/>
      <c r="AK129" s="107" t="s">
        <v>187</v>
      </c>
      <c r="AL129" s="387">
        <f t="shared" si="13"/>
        <v>0</v>
      </c>
      <c r="AM129" s="387">
        <f t="shared" si="13"/>
        <v>0</v>
      </c>
    </row>
    <row r="130" spans="1:39" s="391" customFormat="1" ht="39" hidden="1" customHeight="1" outlineLevel="3">
      <c r="A130" s="722"/>
      <c r="B130" s="733"/>
      <c r="C130" s="826"/>
      <c r="D130" s="735"/>
      <c r="E130" s="785"/>
      <c r="F130" s="784" t="s">
        <v>236</v>
      </c>
      <c r="G130" s="836"/>
      <c r="H130" s="838" t="str">
        <f>IF(G130="","",G130/$G$238)</f>
        <v/>
      </c>
      <c r="I130" s="836"/>
      <c r="J130" s="836"/>
      <c r="K130" s="712" t="str">
        <f>IF(SUM(I130:J131)=0,"",SUM(I130:J131))</f>
        <v/>
      </c>
      <c r="L130" s="362"/>
      <c r="M130" s="808" t="b">
        <v>0</v>
      </c>
      <c r="N130" s="401" t="b">
        <v>0</v>
      </c>
      <c r="O130" s="402"/>
      <c r="P130" s="363"/>
      <c r="Q130" s="712"/>
      <c r="R130" s="710"/>
      <c r="S130" s="710"/>
      <c r="T130" s="710"/>
      <c r="U130" s="710"/>
      <c r="V130" s="712">
        <f t="shared" si="17"/>
        <v>0</v>
      </c>
      <c r="W130" s="710"/>
      <c r="X130" s="362"/>
      <c r="Y130" s="364" t="s">
        <v>186</v>
      </c>
      <c r="Z130" s="5"/>
      <c r="AA130" s="5"/>
      <c r="AB130" s="392"/>
      <c r="AC130" s="710"/>
      <c r="AD130" s="710"/>
      <c r="AE130" s="363"/>
      <c r="AF130" s="712" t="str">
        <f t="shared" si="20"/>
        <v/>
      </c>
      <c r="AG130" s="712" t="str">
        <f>IF(K130="","",IF(AND(W130="",AA130="",AA131="",AD130=""),"Missing Info",IF(K130-W130-AA130-AA131+AD130=0,"OK","Review emissions")))</f>
        <v/>
      </c>
      <c r="AH130" s="589"/>
      <c r="AK130" s="107" t="s">
        <v>187</v>
      </c>
      <c r="AL130" s="387">
        <f t="shared" si="13"/>
        <v>0</v>
      </c>
      <c r="AM130" s="387">
        <f t="shared" si="13"/>
        <v>0</v>
      </c>
    </row>
    <row r="131" spans="1:39" s="391" customFormat="1" ht="57" hidden="1" customHeight="1" outlineLevel="3">
      <c r="A131" s="722"/>
      <c r="B131" s="733"/>
      <c r="C131" s="826"/>
      <c r="D131" s="735"/>
      <c r="E131" s="785"/>
      <c r="F131" s="786"/>
      <c r="G131" s="837"/>
      <c r="H131" s="839"/>
      <c r="I131" s="837"/>
      <c r="J131" s="837"/>
      <c r="K131" s="713"/>
      <c r="L131" s="362"/>
      <c r="M131" s="809"/>
      <c r="N131" s="401" t="b">
        <v>0</v>
      </c>
      <c r="O131" s="402"/>
      <c r="P131" s="363"/>
      <c r="Q131" s="713"/>
      <c r="R131" s="711"/>
      <c r="S131" s="711"/>
      <c r="T131" s="711"/>
      <c r="U131" s="711"/>
      <c r="V131" s="713">
        <f t="shared" si="17"/>
        <v>0</v>
      </c>
      <c r="W131" s="711"/>
      <c r="X131" s="362"/>
      <c r="Y131" s="364" t="s">
        <v>188</v>
      </c>
      <c r="Z131" s="5"/>
      <c r="AA131" s="5"/>
      <c r="AB131" s="392"/>
      <c r="AC131" s="711"/>
      <c r="AD131" s="711"/>
      <c r="AE131" s="363"/>
      <c r="AF131" s="713"/>
      <c r="AG131" s="713"/>
      <c r="AH131" s="589"/>
      <c r="AK131" s="107" t="s">
        <v>187</v>
      </c>
      <c r="AL131" s="387">
        <f t="shared" si="13"/>
        <v>0</v>
      </c>
      <c r="AM131" s="387">
        <f t="shared" si="13"/>
        <v>0</v>
      </c>
    </row>
    <row r="132" spans="1:39" s="391" customFormat="1" ht="77" hidden="1" customHeight="1" outlineLevel="3">
      <c r="A132" s="722"/>
      <c r="B132" s="733"/>
      <c r="C132" s="826"/>
      <c r="D132" s="735"/>
      <c r="E132" s="785"/>
      <c r="F132" s="784" t="s">
        <v>237</v>
      </c>
      <c r="G132" s="836"/>
      <c r="H132" s="838" t="str">
        <f>IF(G132="","",G132/$G$238)</f>
        <v/>
      </c>
      <c r="I132" s="836"/>
      <c r="J132" s="836"/>
      <c r="K132" s="712" t="str">
        <f>IF(SUM(I132:J133)=0,"",SUM(I132:J133))</f>
        <v/>
      </c>
      <c r="L132" s="362"/>
      <c r="M132" s="808" t="b">
        <v>0</v>
      </c>
      <c r="N132" s="401" t="b">
        <v>0</v>
      </c>
      <c r="O132" s="402"/>
      <c r="P132" s="363"/>
      <c r="Q132" s="393"/>
      <c r="R132" s="710"/>
      <c r="S132" s="710"/>
      <c r="T132" s="710"/>
      <c r="U132" s="710"/>
      <c r="V132" s="712">
        <f t="shared" si="17"/>
        <v>0</v>
      </c>
      <c r="W132" s="710"/>
      <c r="X132" s="362"/>
      <c r="Y132" s="364" t="s">
        <v>186</v>
      </c>
      <c r="Z132" s="5"/>
      <c r="AA132" s="5"/>
      <c r="AB132" s="392"/>
      <c r="AC132" s="710"/>
      <c r="AD132" s="710"/>
      <c r="AE132" s="363"/>
      <c r="AF132" s="712" t="str">
        <f t="shared" si="20"/>
        <v/>
      </c>
      <c r="AG132" s="712" t="str">
        <f>IF(K132="","",IF(AND(W132="",AA132="",AA133="",AD132=""),"Missing Info",IF(K132-W132-AA132-AA133+AD132=0,"OK","Review emissions")))</f>
        <v/>
      </c>
      <c r="AH132" s="589"/>
      <c r="AK132" s="107" t="s">
        <v>187</v>
      </c>
      <c r="AL132" s="387">
        <f t="shared" si="13"/>
        <v>0</v>
      </c>
      <c r="AM132" s="387">
        <f t="shared" si="13"/>
        <v>0</v>
      </c>
    </row>
    <row r="133" spans="1:39" s="391" customFormat="1" ht="97.25" hidden="1" customHeight="1" outlineLevel="3">
      <c r="A133" s="722"/>
      <c r="B133" s="733"/>
      <c r="C133" s="826"/>
      <c r="D133" s="735"/>
      <c r="E133" s="785"/>
      <c r="F133" s="786"/>
      <c r="G133" s="837"/>
      <c r="H133" s="839"/>
      <c r="I133" s="837"/>
      <c r="J133" s="837"/>
      <c r="K133" s="713"/>
      <c r="L133" s="362"/>
      <c r="M133" s="809"/>
      <c r="N133" s="401" t="b">
        <v>0</v>
      </c>
      <c r="O133" s="402"/>
      <c r="P133" s="363"/>
      <c r="Q133" s="393"/>
      <c r="R133" s="711"/>
      <c r="S133" s="711"/>
      <c r="T133" s="711"/>
      <c r="U133" s="711"/>
      <c r="V133" s="713">
        <f t="shared" si="17"/>
        <v>0</v>
      </c>
      <c r="W133" s="711"/>
      <c r="X133" s="362"/>
      <c r="Y133" s="364" t="s">
        <v>188</v>
      </c>
      <c r="Z133" s="5"/>
      <c r="AA133" s="5"/>
      <c r="AB133" s="392"/>
      <c r="AC133" s="711"/>
      <c r="AD133" s="711"/>
      <c r="AE133" s="363"/>
      <c r="AF133" s="713"/>
      <c r="AG133" s="713"/>
      <c r="AH133" s="589"/>
      <c r="AK133" s="107" t="s">
        <v>187</v>
      </c>
      <c r="AL133" s="387">
        <f t="shared" si="13"/>
        <v>0</v>
      </c>
      <c r="AM133" s="387">
        <f t="shared" si="13"/>
        <v>0</v>
      </c>
    </row>
    <row r="134" spans="1:39" s="391" customFormat="1" ht="39" hidden="1" customHeight="1" outlineLevel="3">
      <c r="A134" s="722"/>
      <c r="B134" s="733"/>
      <c r="C134" s="826"/>
      <c r="D134" s="735"/>
      <c r="E134" s="785"/>
      <c r="F134" s="784" t="s">
        <v>125</v>
      </c>
      <c r="G134" s="836"/>
      <c r="H134" s="838" t="str">
        <f>IF(G134="","",G134/$G$238)</f>
        <v/>
      </c>
      <c r="I134" s="836"/>
      <c r="J134" s="836"/>
      <c r="K134" s="712" t="str">
        <f>IF(SUM(I134:J135)=0,"",SUM(I134:J135))</f>
        <v/>
      </c>
      <c r="L134" s="362"/>
      <c r="M134" s="808" t="b">
        <v>0</v>
      </c>
      <c r="N134" s="401" t="b">
        <v>0</v>
      </c>
      <c r="O134" s="402"/>
      <c r="P134" s="363"/>
      <c r="Q134" s="712"/>
      <c r="R134" s="710"/>
      <c r="S134" s="710"/>
      <c r="T134" s="710"/>
      <c r="U134" s="710"/>
      <c r="V134" s="712">
        <f t="shared" si="17"/>
        <v>0</v>
      </c>
      <c r="W134" s="710"/>
      <c r="X134" s="362"/>
      <c r="Y134" s="364" t="s">
        <v>186</v>
      </c>
      <c r="Z134" s="5"/>
      <c r="AA134" s="5"/>
      <c r="AB134" s="392"/>
      <c r="AC134" s="710"/>
      <c r="AD134" s="710"/>
      <c r="AE134" s="363"/>
      <c r="AF134" s="712" t="str">
        <f t="shared" si="20"/>
        <v/>
      </c>
      <c r="AG134" s="712" t="str">
        <f>IF(K134="","",IF(AND(W134="",AA134="",AA135="",AD134=""),"Missing Info",IF(K134-W134-AA134-AA135+AD134=0,"OK","Review emissions")))</f>
        <v/>
      </c>
      <c r="AH134" s="589"/>
      <c r="AK134" s="107" t="s">
        <v>187</v>
      </c>
      <c r="AL134" s="387">
        <f t="shared" si="13"/>
        <v>0</v>
      </c>
      <c r="AM134" s="387">
        <f t="shared" si="13"/>
        <v>0</v>
      </c>
    </row>
    <row r="135" spans="1:39" s="391" customFormat="1" ht="39" hidden="1" customHeight="1" outlineLevel="3">
      <c r="A135" s="722"/>
      <c r="B135" s="733"/>
      <c r="C135" s="811"/>
      <c r="D135" s="736"/>
      <c r="E135" s="786"/>
      <c r="F135" s="786"/>
      <c r="G135" s="837"/>
      <c r="H135" s="839"/>
      <c r="I135" s="837"/>
      <c r="J135" s="837"/>
      <c r="K135" s="713"/>
      <c r="L135" s="362"/>
      <c r="M135" s="809"/>
      <c r="N135" s="401" t="b">
        <v>0</v>
      </c>
      <c r="O135" s="402"/>
      <c r="P135" s="363"/>
      <c r="Q135" s="713"/>
      <c r="R135" s="711"/>
      <c r="S135" s="711"/>
      <c r="T135" s="711"/>
      <c r="U135" s="711"/>
      <c r="V135" s="713">
        <f t="shared" si="17"/>
        <v>0</v>
      </c>
      <c r="W135" s="711"/>
      <c r="X135" s="362"/>
      <c r="Y135" s="364" t="s">
        <v>188</v>
      </c>
      <c r="Z135" s="5"/>
      <c r="AA135" s="5"/>
      <c r="AB135" s="392"/>
      <c r="AC135" s="711"/>
      <c r="AD135" s="711"/>
      <c r="AE135" s="363"/>
      <c r="AF135" s="713"/>
      <c r="AG135" s="713"/>
      <c r="AH135" s="589"/>
      <c r="AK135" s="107" t="s">
        <v>187</v>
      </c>
      <c r="AL135" s="387">
        <f t="shared" si="13"/>
        <v>0</v>
      </c>
      <c r="AM135" s="387">
        <f t="shared" si="13"/>
        <v>0</v>
      </c>
    </row>
    <row r="136" spans="1:39" s="391" customFormat="1" ht="39" hidden="1" customHeight="1" outlineLevel="3">
      <c r="A136" s="722"/>
      <c r="B136" s="733"/>
      <c r="C136" s="734" t="s">
        <v>190</v>
      </c>
      <c r="D136" s="737" t="s">
        <v>191</v>
      </c>
      <c r="E136" s="738"/>
      <c r="F136" s="739"/>
      <c r="G136" s="550"/>
      <c r="H136" s="388" t="str">
        <f t="shared" ref="H136:H146" si="21">IF(G136="","",G136/$G$238)</f>
        <v/>
      </c>
      <c r="I136" s="550"/>
      <c r="J136" s="550"/>
      <c r="K136" s="557" t="str">
        <f t="shared" ref="K136:K145" si="22">IF(SUM(I136:J136)=0,"",SUM(I136:J136))</f>
        <v/>
      </c>
      <c r="L136" s="362"/>
      <c r="M136" s="544" t="b">
        <v>0</v>
      </c>
      <c r="N136" s="401" t="b">
        <v>0</v>
      </c>
      <c r="O136" s="402"/>
      <c r="P136" s="363"/>
      <c r="Q136" s="557"/>
      <c r="R136" s="5"/>
      <c r="S136" s="5"/>
      <c r="T136" s="5"/>
      <c r="U136" s="5"/>
      <c r="V136" s="557">
        <f t="shared" si="17"/>
        <v>0</v>
      </c>
      <c r="W136" s="5"/>
      <c r="X136" s="362"/>
      <c r="Y136" s="364" t="s">
        <v>192</v>
      </c>
      <c r="Z136" s="5"/>
      <c r="AA136" s="5"/>
      <c r="AB136" s="392"/>
      <c r="AC136" s="5"/>
      <c r="AD136" s="5"/>
      <c r="AE136" s="363"/>
      <c r="AF136" s="557" t="str">
        <f t="shared" ref="AF136:AF145" si="23">IF(G136="","",IF(AND(V136="",Z136="",AC136=""),"Missing Info",IF(G136-V136-Z136+AC136=0,"OK","Review financial exposure")))</f>
        <v/>
      </c>
      <c r="AG136" s="557" t="str">
        <f t="shared" ref="AG136:AG145" si="24">IF(K136="","",IF(AND(W136="",AA136="",AD136=""),"Missing Info",IF(K136-W136-AA136+AD136=0,"OK","Review emissions")))</f>
        <v/>
      </c>
      <c r="AH136" s="589"/>
      <c r="AK136" s="107" t="s">
        <v>193</v>
      </c>
      <c r="AL136" s="387">
        <f t="shared" si="13"/>
        <v>0</v>
      </c>
      <c r="AM136" s="387">
        <f t="shared" si="13"/>
        <v>0</v>
      </c>
    </row>
    <row r="137" spans="1:39" s="391" customFormat="1" ht="114" hidden="1" customHeight="1" outlineLevel="3">
      <c r="A137" s="722"/>
      <c r="B137" s="733"/>
      <c r="C137" s="735"/>
      <c r="D137" s="734" t="s">
        <v>194</v>
      </c>
      <c r="E137" s="784" t="s">
        <v>231</v>
      </c>
      <c r="F137" s="545" t="s">
        <v>235</v>
      </c>
      <c r="G137" s="550"/>
      <c r="H137" s="388" t="str">
        <f t="shared" si="21"/>
        <v/>
      </c>
      <c r="I137" s="550"/>
      <c r="J137" s="550"/>
      <c r="K137" s="557" t="str">
        <f t="shared" si="22"/>
        <v/>
      </c>
      <c r="L137" s="362"/>
      <c r="M137" s="544" t="b">
        <v>0</v>
      </c>
      <c r="N137" s="401" t="b">
        <v>0</v>
      </c>
      <c r="O137" s="402"/>
      <c r="P137" s="363"/>
      <c r="Q137" s="557"/>
      <c r="R137" s="5"/>
      <c r="S137" s="5"/>
      <c r="T137" s="5"/>
      <c r="U137" s="5"/>
      <c r="V137" s="557">
        <f t="shared" si="17"/>
        <v>0</v>
      </c>
      <c r="W137" s="5"/>
      <c r="X137" s="362"/>
      <c r="Y137" s="364" t="s">
        <v>192</v>
      </c>
      <c r="Z137" s="5"/>
      <c r="AA137" s="5"/>
      <c r="AB137" s="392"/>
      <c r="AC137" s="5"/>
      <c r="AD137" s="5"/>
      <c r="AE137" s="363"/>
      <c r="AF137" s="557" t="str">
        <f t="shared" si="23"/>
        <v/>
      </c>
      <c r="AG137" s="557" t="str">
        <f t="shared" si="24"/>
        <v/>
      </c>
      <c r="AH137" s="589"/>
      <c r="AK137" s="107" t="s">
        <v>193</v>
      </c>
      <c r="AL137" s="387">
        <f t="shared" si="13"/>
        <v>0</v>
      </c>
      <c r="AM137" s="387">
        <f t="shared" si="13"/>
        <v>0</v>
      </c>
    </row>
    <row r="138" spans="1:39" s="391" customFormat="1" ht="90" hidden="1" customHeight="1" outlineLevel="3">
      <c r="A138" s="722"/>
      <c r="B138" s="733"/>
      <c r="C138" s="735"/>
      <c r="D138" s="735"/>
      <c r="E138" s="785"/>
      <c r="F138" s="545" t="s">
        <v>236</v>
      </c>
      <c r="G138" s="550"/>
      <c r="H138" s="388" t="str">
        <f t="shared" si="21"/>
        <v/>
      </c>
      <c r="I138" s="550"/>
      <c r="J138" s="550"/>
      <c r="K138" s="557" t="str">
        <f t="shared" si="22"/>
        <v/>
      </c>
      <c r="L138" s="362"/>
      <c r="M138" s="544" t="b">
        <v>0</v>
      </c>
      <c r="N138" s="401" t="b">
        <v>0</v>
      </c>
      <c r="O138" s="402"/>
      <c r="P138" s="363"/>
      <c r="Q138" s="557"/>
      <c r="R138" s="5"/>
      <c r="S138" s="5"/>
      <c r="T138" s="5"/>
      <c r="U138" s="5"/>
      <c r="V138" s="557">
        <f t="shared" si="17"/>
        <v>0</v>
      </c>
      <c r="W138" s="5"/>
      <c r="X138" s="362"/>
      <c r="Y138" s="364" t="s">
        <v>192</v>
      </c>
      <c r="Z138" s="5"/>
      <c r="AA138" s="5"/>
      <c r="AB138" s="392"/>
      <c r="AC138" s="5"/>
      <c r="AD138" s="5"/>
      <c r="AE138" s="363"/>
      <c r="AF138" s="557" t="str">
        <f t="shared" si="23"/>
        <v/>
      </c>
      <c r="AG138" s="557" t="str">
        <f t="shared" si="24"/>
        <v/>
      </c>
      <c r="AH138" s="589"/>
      <c r="AK138" s="107" t="s">
        <v>193</v>
      </c>
      <c r="AL138" s="387">
        <f t="shared" si="13"/>
        <v>0</v>
      </c>
      <c r="AM138" s="387">
        <f t="shared" si="13"/>
        <v>0</v>
      </c>
    </row>
    <row r="139" spans="1:39" s="391" customFormat="1" ht="178.25" hidden="1" customHeight="1" outlineLevel="3">
      <c r="A139" s="722"/>
      <c r="B139" s="733"/>
      <c r="C139" s="735"/>
      <c r="D139" s="735"/>
      <c r="E139" s="785"/>
      <c r="F139" s="545" t="s">
        <v>237</v>
      </c>
      <c r="G139" s="550"/>
      <c r="H139" s="388" t="str">
        <f t="shared" si="21"/>
        <v/>
      </c>
      <c r="I139" s="550"/>
      <c r="J139" s="550"/>
      <c r="K139" s="557" t="str">
        <f t="shared" si="22"/>
        <v/>
      </c>
      <c r="L139" s="362"/>
      <c r="M139" s="544" t="b">
        <v>0</v>
      </c>
      <c r="N139" s="401" t="b">
        <v>0</v>
      </c>
      <c r="O139" s="402"/>
      <c r="P139" s="363"/>
      <c r="Q139" s="557"/>
      <c r="R139" s="5"/>
      <c r="S139" s="5"/>
      <c r="T139" s="5"/>
      <c r="U139" s="5"/>
      <c r="V139" s="557">
        <f t="shared" si="17"/>
        <v>0</v>
      </c>
      <c r="W139" s="5"/>
      <c r="X139" s="362"/>
      <c r="Y139" s="364" t="s">
        <v>192</v>
      </c>
      <c r="Z139" s="5"/>
      <c r="AA139" s="5"/>
      <c r="AB139" s="392"/>
      <c r="AC139" s="5"/>
      <c r="AD139" s="5"/>
      <c r="AE139" s="363"/>
      <c r="AF139" s="557" t="str">
        <f t="shared" si="23"/>
        <v/>
      </c>
      <c r="AG139" s="557" t="str">
        <f t="shared" si="24"/>
        <v/>
      </c>
      <c r="AH139" s="589"/>
      <c r="AK139" s="107" t="s">
        <v>193</v>
      </c>
      <c r="AL139" s="387">
        <f t="shared" si="13"/>
        <v>0</v>
      </c>
      <c r="AM139" s="387">
        <f t="shared" si="13"/>
        <v>0</v>
      </c>
    </row>
    <row r="140" spans="1:39" s="391" customFormat="1" ht="90" hidden="1" customHeight="1" outlineLevel="3">
      <c r="A140" s="722"/>
      <c r="B140" s="733"/>
      <c r="C140" s="735"/>
      <c r="D140" s="736"/>
      <c r="E140" s="786"/>
      <c r="F140" s="545" t="s">
        <v>125</v>
      </c>
      <c r="G140" s="550"/>
      <c r="H140" s="388" t="str">
        <f t="shared" si="21"/>
        <v/>
      </c>
      <c r="I140" s="550"/>
      <c r="J140" s="550"/>
      <c r="K140" s="557" t="str">
        <f t="shared" si="22"/>
        <v/>
      </c>
      <c r="L140" s="362"/>
      <c r="M140" s="544" t="b">
        <v>0</v>
      </c>
      <c r="N140" s="401" t="b">
        <v>0</v>
      </c>
      <c r="O140" s="402"/>
      <c r="P140" s="363"/>
      <c r="Q140" s="557"/>
      <c r="R140" s="5"/>
      <c r="S140" s="5"/>
      <c r="T140" s="5"/>
      <c r="U140" s="5"/>
      <c r="V140" s="557">
        <f t="shared" si="17"/>
        <v>0</v>
      </c>
      <c r="W140" s="5"/>
      <c r="X140" s="362"/>
      <c r="Y140" s="364" t="s">
        <v>192</v>
      </c>
      <c r="Z140" s="5"/>
      <c r="AA140" s="5"/>
      <c r="AB140" s="392"/>
      <c r="AC140" s="5"/>
      <c r="AD140" s="5"/>
      <c r="AE140" s="363"/>
      <c r="AF140" s="557" t="str">
        <f t="shared" si="23"/>
        <v/>
      </c>
      <c r="AG140" s="557" t="str">
        <f t="shared" si="24"/>
        <v/>
      </c>
      <c r="AH140" s="589"/>
      <c r="AK140" s="107" t="s">
        <v>193</v>
      </c>
      <c r="AL140" s="387">
        <f t="shared" si="13"/>
        <v>0</v>
      </c>
      <c r="AM140" s="387">
        <f t="shared" si="13"/>
        <v>0</v>
      </c>
    </row>
    <row r="141" spans="1:39" s="391" customFormat="1" ht="54" hidden="1" customHeight="1" outlineLevel="3">
      <c r="A141" s="722"/>
      <c r="B141" s="733"/>
      <c r="C141" s="735"/>
      <c r="D141" s="737" t="s">
        <v>195</v>
      </c>
      <c r="E141" s="738"/>
      <c r="F141" s="739"/>
      <c r="G141" s="550"/>
      <c r="H141" s="388" t="str">
        <f t="shared" si="21"/>
        <v/>
      </c>
      <c r="I141" s="550"/>
      <c r="J141" s="550"/>
      <c r="K141" s="557" t="str">
        <f t="shared" si="22"/>
        <v/>
      </c>
      <c r="L141" s="362"/>
      <c r="M141" s="544" t="b">
        <v>0</v>
      </c>
      <c r="N141" s="401" t="b">
        <v>0</v>
      </c>
      <c r="O141" s="402"/>
      <c r="P141" s="363"/>
      <c r="Q141" s="557"/>
      <c r="R141" s="5"/>
      <c r="S141" s="5"/>
      <c r="T141" s="5"/>
      <c r="U141" s="5"/>
      <c r="V141" s="557">
        <f t="shared" si="17"/>
        <v>0</v>
      </c>
      <c r="W141" s="5"/>
      <c r="X141" s="362"/>
      <c r="Y141" s="364" t="s">
        <v>196</v>
      </c>
      <c r="Z141" s="5"/>
      <c r="AA141" s="5"/>
      <c r="AB141" s="392"/>
      <c r="AC141" s="5"/>
      <c r="AD141" s="5"/>
      <c r="AE141" s="363"/>
      <c r="AF141" s="557" t="str">
        <f t="shared" si="23"/>
        <v/>
      </c>
      <c r="AG141" s="557" t="str">
        <f t="shared" si="24"/>
        <v/>
      </c>
      <c r="AH141" s="589"/>
      <c r="AK141" s="107" t="s">
        <v>197</v>
      </c>
      <c r="AL141" s="387">
        <f t="shared" si="13"/>
        <v>0</v>
      </c>
      <c r="AM141" s="387">
        <f t="shared" si="13"/>
        <v>0</v>
      </c>
    </row>
    <row r="142" spans="1:39" s="391" customFormat="1" ht="130.25" hidden="1" customHeight="1" outlineLevel="3">
      <c r="A142" s="722"/>
      <c r="B142" s="733"/>
      <c r="C142" s="735"/>
      <c r="D142" s="734" t="s">
        <v>198</v>
      </c>
      <c r="E142" s="784" t="s">
        <v>231</v>
      </c>
      <c r="F142" s="545" t="s">
        <v>235</v>
      </c>
      <c r="G142" s="550"/>
      <c r="H142" s="388" t="str">
        <f t="shared" si="21"/>
        <v/>
      </c>
      <c r="I142" s="550"/>
      <c r="J142" s="550"/>
      <c r="K142" s="557" t="str">
        <f t="shared" si="22"/>
        <v/>
      </c>
      <c r="L142" s="362"/>
      <c r="M142" s="544" t="b">
        <v>0</v>
      </c>
      <c r="N142" s="401" t="b">
        <v>0</v>
      </c>
      <c r="O142" s="402"/>
      <c r="P142" s="363"/>
      <c r="Q142" s="557"/>
      <c r="R142" s="5"/>
      <c r="S142" s="5"/>
      <c r="T142" s="5"/>
      <c r="U142" s="5"/>
      <c r="V142" s="557">
        <f t="shared" si="17"/>
        <v>0</v>
      </c>
      <c r="W142" s="5"/>
      <c r="X142" s="362"/>
      <c r="Y142" s="364" t="s">
        <v>196</v>
      </c>
      <c r="Z142" s="5"/>
      <c r="AA142" s="5"/>
      <c r="AB142" s="392"/>
      <c r="AC142" s="5"/>
      <c r="AD142" s="5"/>
      <c r="AE142" s="363"/>
      <c r="AF142" s="557" t="str">
        <f t="shared" si="23"/>
        <v/>
      </c>
      <c r="AG142" s="557" t="str">
        <f t="shared" si="24"/>
        <v/>
      </c>
      <c r="AH142" s="589"/>
      <c r="AK142" s="107" t="s">
        <v>197</v>
      </c>
      <c r="AL142" s="387">
        <f t="shared" si="13"/>
        <v>0</v>
      </c>
      <c r="AM142" s="387">
        <f t="shared" si="13"/>
        <v>0</v>
      </c>
    </row>
    <row r="143" spans="1:39" s="391" customFormat="1" ht="88.25" hidden="1" customHeight="1" outlineLevel="3">
      <c r="A143" s="722"/>
      <c r="B143" s="733"/>
      <c r="C143" s="735"/>
      <c r="D143" s="735"/>
      <c r="E143" s="785"/>
      <c r="F143" s="545" t="s">
        <v>236</v>
      </c>
      <c r="G143" s="550"/>
      <c r="H143" s="388" t="str">
        <f t="shared" si="21"/>
        <v/>
      </c>
      <c r="I143" s="550"/>
      <c r="J143" s="550"/>
      <c r="K143" s="557" t="str">
        <f t="shared" si="22"/>
        <v/>
      </c>
      <c r="L143" s="362"/>
      <c r="M143" s="544" t="b">
        <v>0</v>
      </c>
      <c r="N143" s="401" t="b">
        <v>0</v>
      </c>
      <c r="O143" s="402"/>
      <c r="P143" s="363"/>
      <c r="Q143" s="557"/>
      <c r="R143" s="5"/>
      <c r="S143" s="5"/>
      <c r="T143" s="5"/>
      <c r="U143" s="5"/>
      <c r="V143" s="557">
        <f t="shared" si="17"/>
        <v>0</v>
      </c>
      <c r="W143" s="5"/>
      <c r="X143" s="362"/>
      <c r="Y143" s="364" t="s">
        <v>196</v>
      </c>
      <c r="Z143" s="5"/>
      <c r="AA143" s="5"/>
      <c r="AB143" s="392"/>
      <c r="AC143" s="5"/>
      <c r="AD143" s="5"/>
      <c r="AE143" s="363"/>
      <c r="AF143" s="557" t="str">
        <f t="shared" si="23"/>
        <v/>
      </c>
      <c r="AG143" s="557" t="str">
        <f t="shared" si="24"/>
        <v/>
      </c>
      <c r="AH143" s="589"/>
      <c r="AK143" s="107" t="s">
        <v>197</v>
      </c>
      <c r="AL143" s="387">
        <f t="shared" si="13"/>
        <v>0</v>
      </c>
      <c r="AM143" s="387">
        <f t="shared" si="13"/>
        <v>0</v>
      </c>
    </row>
    <row r="144" spans="1:39" s="391" customFormat="1" ht="177" hidden="1" customHeight="1" outlineLevel="3">
      <c r="A144" s="722"/>
      <c r="B144" s="733"/>
      <c r="C144" s="735"/>
      <c r="D144" s="735"/>
      <c r="E144" s="785"/>
      <c r="F144" s="545" t="s">
        <v>237</v>
      </c>
      <c r="G144" s="550"/>
      <c r="H144" s="388" t="str">
        <f t="shared" si="21"/>
        <v/>
      </c>
      <c r="I144" s="550"/>
      <c r="J144" s="550"/>
      <c r="K144" s="557" t="str">
        <f t="shared" si="22"/>
        <v/>
      </c>
      <c r="L144" s="362"/>
      <c r="M144" s="544" t="b">
        <v>0</v>
      </c>
      <c r="N144" s="401" t="b">
        <v>0</v>
      </c>
      <c r="O144" s="402"/>
      <c r="P144" s="363"/>
      <c r="Q144" s="557"/>
      <c r="R144" s="5"/>
      <c r="S144" s="5"/>
      <c r="T144" s="5"/>
      <c r="U144" s="5"/>
      <c r="V144" s="557">
        <f t="shared" si="17"/>
        <v>0</v>
      </c>
      <c r="W144" s="5"/>
      <c r="X144" s="362"/>
      <c r="Y144" s="364" t="s">
        <v>196</v>
      </c>
      <c r="Z144" s="5"/>
      <c r="AA144" s="5"/>
      <c r="AB144" s="392"/>
      <c r="AC144" s="5"/>
      <c r="AD144" s="5"/>
      <c r="AE144" s="363"/>
      <c r="AF144" s="557" t="str">
        <f t="shared" si="23"/>
        <v/>
      </c>
      <c r="AG144" s="557" t="str">
        <f t="shared" si="24"/>
        <v/>
      </c>
      <c r="AH144" s="589"/>
      <c r="AK144" s="107" t="s">
        <v>197</v>
      </c>
      <c r="AL144" s="387">
        <f t="shared" si="13"/>
        <v>0</v>
      </c>
      <c r="AM144" s="387">
        <f t="shared" si="13"/>
        <v>0</v>
      </c>
    </row>
    <row r="145" spans="1:39" s="391" customFormat="1" ht="88.25" hidden="1" customHeight="1" outlineLevel="3">
      <c r="A145" s="722"/>
      <c r="B145" s="733"/>
      <c r="C145" s="736"/>
      <c r="D145" s="736"/>
      <c r="E145" s="786"/>
      <c r="F145" s="545" t="s">
        <v>125</v>
      </c>
      <c r="G145" s="550"/>
      <c r="H145" s="388" t="str">
        <f t="shared" si="21"/>
        <v/>
      </c>
      <c r="I145" s="550"/>
      <c r="J145" s="550"/>
      <c r="K145" s="557" t="str">
        <f t="shared" si="22"/>
        <v/>
      </c>
      <c r="L145" s="362"/>
      <c r="M145" s="544" t="b">
        <v>0</v>
      </c>
      <c r="N145" s="401" t="b">
        <v>0</v>
      </c>
      <c r="O145" s="402"/>
      <c r="P145" s="363"/>
      <c r="Q145" s="557"/>
      <c r="R145" s="5"/>
      <c r="S145" s="5"/>
      <c r="T145" s="5"/>
      <c r="U145" s="5"/>
      <c r="V145" s="557">
        <f t="shared" si="17"/>
        <v>0</v>
      </c>
      <c r="W145" s="5"/>
      <c r="X145" s="362"/>
      <c r="Y145" s="364" t="s">
        <v>196</v>
      </c>
      <c r="Z145" s="5"/>
      <c r="AA145" s="5"/>
      <c r="AB145" s="392"/>
      <c r="AC145" s="5"/>
      <c r="AD145" s="5"/>
      <c r="AE145" s="363"/>
      <c r="AF145" s="557" t="str">
        <f t="shared" si="23"/>
        <v/>
      </c>
      <c r="AG145" s="557" t="str">
        <f t="shared" si="24"/>
        <v/>
      </c>
      <c r="AH145" s="589"/>
      <c r="AK145" s="107" t="s">
        <v>197</v>
      </c>
      <c r="AL145" s="387">
        <f t="shared" si="13"/>
        <v>0</v>
      </c>
      <c r="AM145" s="387">
        <f t="shared" si="13"/>
        <v>0</v>
      </c>
    </row>
    <row r="146" spans="1:39" s="391" customFormat="1" ht="39" hidden="1" customHeight="1" outlineLevel="3">
      <c r="A146" s="722"/>
      <c r="B146" s="733"/>
      <c r="C146" s="734" t="s">
        <v>199</v>
      </c>
      <c r="D146" s="740" t="s">
        <v>200</v>
      </c>
      <c r="E146" s="741"/>
      <c r="F146" s="742"/>
      <c r="G146" s="836"/>
      <c r="H146" s="838" t="str">
        <f t="shared" si="21"/>
        <v/>
      </c>
      <c r="I146" s="836"/>
      <c r="J146" s="836"/>
      <c r="K146" s="712" t="str">
        <f>IF(SUM(I146:J147)=0,"",SUM(I146:J147))</f>
        <v/>
      </c>
      <c r="L146" s="362"/>
      <c r="M146" s="808" t="b">
        <v>0</v>
      </c>
      <c r="N146" s="401" t="b">
        <v>0</v>
      </c>
      <c r="O146" s="402"/>
      <c r="P146" s="363"/>
      <c r="Q146" s="712"/>
      <c r="R146" s="710"/>
      <c r="S146" s="710"/>
      <c r="T146" s="710"/>
      <c r="U146" s="710"/>
      <c r="V146" s="712">
        <f t="shared" si="17"/>
        <v>0</v>
      </c>
      <c r="W146" s="710"/>
      <c r="X146" s="362"/>
      <c r="Y146" s="364" t="s">
        <v>201</v>
      </c>
      <c r="Z146" s="5"/>
      <c r="AA146" s="5"/>
      <c r="AB146" s="392"/>
      <c r="AC146" s="710"/>
      <c r="AD146" s="710"/>
      <c r="AE146" s="363"/>
      <c r="AF146" s="712" t="str">
        <f t="shared" ref="AF146:AF154" si="25">IF(G146="","",IF(AND(V146="",Z146="",Z147="",AC146=""),"Missing Info",IF(G146-V146-Z146-Z147+AC146=0,"OK","Review financial exposure")))</f>
        <v/>
      </c>
      <c r="AG146" s="712" t="str">
        <f>IF(K146="","",IF(AND(W146="",AA146="",AA147="",AD146=""),"Missing Info",IF(K146-W146-AA146-AA147+AD146=0,"OK","Review emissions")))</f>
        <v/>
      </c>
      <c r="AH146" s="589"/>
      <c r="AK146" s="107" t="s">
        <v>202</v>
      </c>
      <c r="AL146" s="387">
        <f t="shared" si="13"/>
        <v>0</v>
      </c>
      <c r="AM146" s="387">
        <f t="shared" si="13"/>
        <v>0</v>
      </c>
    </row>
    <row r="147" spans="1:39" s="391" customFormat="1" ht="39" hidden="1" customHeight="1" outlineLevel="3">
      <c r="A147" s="722"/>
      <c r="B147" s="733"/>
      <c r="C147" s="735"/>
      <c r="D147" s="743"/>
      <c r="E147" s="744"/>
      <c r="F147" s="745"/>
      <c r="G147" s="837"/>
      <c r="H147" s="839"/>
      <c r="I147" s="837"/>
      <c r="J147" s="837"/>
      <c r="K147" s="713"/>
      <c r="L147" s="362"/>
      <c r="M147" s="809"/>
      <c r="N147" s="401" t="b">
        <v>0</v>
      </c>
      <c r="O147" s="402"/>
      <c r="P147" s="363"/>
      <c r="Q147" s="713"/>
      <c r="R147" s="711"/>
      <c r="S147" s="711"/>
      <c r="T147" s="711"/>
      <c r="U147" s="711"/>
      <c r="V147" s="713">
        <f t="shared" si="17"/>
        <v>0</v>
      </c>
      <c r="W147" s="711"/>
      <c r="X147" s="362"/>
      <c r="Y147" s="364" t="s">
        <v>203</v>
      </c>
      <c r="Z147" s="5"/>
      <c r="AA147" s="5"/>
      <c r="AB147" s="392"/>
      <c r="AC147" s="711"/>
      <c r="AD147" s="711"/>
      <c r="AE147" s="363"/>
      <c r="AF147" s="713"/>
      <c r="AG147" s="713"/>
      <c r="AH147" s="589"/>
      <c r="AK147" s="107" t="s">
        <v>202</v>
      </c>
      <c r="AL147" s="387">
        <f t="shared" si="13"/>
        <v>0</v>
      </c>
      <c r="AM147" s="387">
        <f t="shared" si="13"/>
        <v>0</v>
      </c>
    </row>
    <row r="148" spans="1:39" s="391" customFormat="1" ht="54" hidden="1" customHeight="1" outlineLevel="3">
      <c r="A148" s="722"/>
      <c r="B148" s="733"/>
      <c r="C148" s="735"/>
      <c r="D148" s="734" t="s">
        <v>204</v>
      </c>
      <c r="E148" s="784" t="s">
        <v>231</v>
      </c>
      <c r="F148" s="784" t="s">
        <v>235</v>
      </c>
      <c r="G148" s="836"/>
      <c r="H148" s="838" t="str">
        <f>IF(G148="","",G148/$G$238)</f>
        <v/>
      </c>
      <c r="I148" s="836"/>
      <c r="J148" s="836"/>
      <c r="K148" s="712" t="str">
        <f>IF(SUM(I148:J149)=0,"",SUM(I148:J149))</f>
        <v/>
      </c>
      <c r="L148" s="362"/>
      <c r="M148" s="808" t="b">
        <v>0</v>
      </c>
      <c r="N148" s="401" t="b">
        <v>0</v>
      </c>
      <c r="O148" s="402"/>
      <c r="P148" s="363"/>
      <c r="Q148" s="712"/>
      <c r="R148" s="710"/>
      <c r="S148" s="710"/>
      <c r="T148" s="710"/>
      <c r="U148" s="710"/>
      <c r="V148" s="712">
        <f t="shared" si="17"/>
        <v>0</v>
      </c>
      <c r="W148" s="710"/>
      <c r="X148" s="362"/>
      <c r="Y148" s="364" t="s">
        <v>201</v>
      </c>
      <c r="Z148" s="5"/>
      <c r="AA148" s="5"/>
      <c r="AB148" s="392"/>
      <c r="AC148" s="710"/>
      <c r="AD148" s="710"/>
      <c r="AE148" s="363"/>
      <c r="AF148" s="712" t="str">
        <f t="shared" si="25"/>
        <v/>
      </c>
      <c r="AG148" s="712" t="str">
        <f>IF(K148="","",IF(AND(W148="",AA148="",AA149="",AD148=""),"Missing Info",IF(K148-W148-AA148-AA149+AD148=0,"OK","Review emissions")))</f>
        <v/>
      </c>
      <c r="AH148" s="589"/>
      <c r="AK148" s="107" t="s">
        <v>202</v>
      </c>
      <c r="AL148" s="387">
        <f t="shared" si="13"/>
        <v>0</v>
      </c>
      <c r="AM148" s="387">
        <f t="shared" si="13"/>
        <v>0</v>
      </c>
    </row>
    <row r="149" spans="1:39" s="391" customFormat="1" ht="64.25" hidden="1" customHeight="1" outlineLevel="3">
      <c r="A149" s="722"/>
      <c r="B149" s="733"/>
      <c r="C149" s="735"/>
      <c r="D149" s="735"/>
      <c r="E149" s="785"/>
      <c r="F149" s="786"/>
      <c r="G149" s="837"/>
      <c r="H149" s="839"/>
      <c r="I149" s="837"/>
      <c r="J149" s="837"/>
      <c r="K149" s="713"/>
      <c r="L149" s="362"/>
      <c r="M149" s="809"/>
      <c r="N149" s="401" t="b">
        <v>0</v>
      </c>
      <c r="O149" s="402"/>
      <c r="P149" s="363"/>
      <c r="Q149" s="713"/>
      <c r="R149" s="711"/>
      <c r="S149" s="711"/>
      <c r="T149" s="711"/>
      <c r="U149" s="711"/>
      <c r="V149" s="713">
        <f t="shared" si="17"/>
        <v>0</v>
      </c>
      <c r="W149" s="711"/>
      <c r="X149" s="362"/>
      <c r="Y149" s="364" t="s">
        <v>203</v>
      </c>
      <c r="Z149" s="5"/>
      <c r="AA149" s="5"/>
      <c r="AB149" s="392"/>
      <c r="AC149" s="711"/>
      <c r="AD149" s="711"/>
      <c r="AE149" s="363"/>
      <c r="AF149" s="713"/>
      <c r="AG149" s="713"/>
      <c r="AH149" s="589"/>
      <c r="AK149" s="107" t="s">
        <v>202</v>
      </c>
      <c r="AL149" s="387">
        <f t="shared" si="13"/>
        <v>0</v>
      </c>
      <c r="AM149" s="387">
        <f t="shared" si="13"/>
        <v>0</v>
      </c>
    </row>
    <row r="150" spans="1:39" s="391" customFormat="1" ht="39" hidden="1" customHeight="1" outlineLevel="3">
      <c r="A150" s="722"/>
      <c r="B150" s="733"/>
      <c r="C150" s="735"/>
      <c r="D150" s="735"/>
      <c r="E150" s="785"/>
      <c r="F150" s="784" t="s">
        <v>236</v>
      </c>
      <c r="G150" s="836"/>
      <c r="H150" s="838" t="str">
        <f>IF(G150="","",G150/$G$238)</f>
        <v/>
      </c>
      <c r="I150" s="836"/>
      <c r="J150" s="836"/>
      <c r="K150" s="712" t="str">
        <f>IF(SUM(I150:J151)=0,"",SUM(I150:J151))</f>
        <v/>
      </c>
      <c r="L150" s="362"/>
      <c r="M150" s="808" t="b">
        <v>0</v>
      </c>
      <c r="N150" s="401" t="b">
        <v>0</v>
      </c>
      <c r="O150" s="402"/>
      <c r="P150" s="363"/>
      <c r="Q150" s="712"/>
      <c r="R150" s="710"/>
      <c r="S150" s="710"/>
      <c r="T150" s="710"/>
      <c r="U150" s="710"/>
      <c r="V150" s="712">
        <f t="shared" si="17"/>
        <v>0</v>
      </c>
      <c r="W150" s="710"/>
      <c r="X150" s="362"/>
      <c r="Y150" s="364" t="s">
        <v>201</v>
      </c>
      <c r="Z150" s="5"/>
      <c r="AA150" s="5"/>
      <c r="AB150" s="392"/>
      <c r="AC150" s="710"/>
      <c r="AD150" s="710"/>
      <c r="AE150" s="363"/>
      <c r="AF150" s="712" t="str">
        <f t="shared" si="25"/>
        <v/>
      </c>
      <c r="AG150" s="712" t="str">
        <f>IF(K150="","",IF(AND(W150="",AA150="",AA151="",AD150=""),"Missing Info",IF(K150-W150-AA150-AA151+AD150=0,"OK","Review emissions")))</f>
        <v/>
      </c>
      <c r="AH150" s="589"/>
      <c r="AK150" s="107" t="s">
        <v>202</v>
      </c>
      <c r="AL150" s="387">
        <f t="shared" si="13"/>
        <v>0</v>
      </c>
      <c r="AM150" s="387">
        <f t="shared" si="13"/>
        <v>0</v>
      </c>
    </row>
    <row r="151" spans="1:39" s="391" customFormat="1" ht="47" hidden="1" customHeight="1" outlineLevel="3">
      <c r="A151" s="722"/>
      <c r="B151" s="733"/>
      <c r="C151" s="735"/>
      <c r="D151" s="735"/>
      <c r="E151" s="785"/>
      <c r="F151" s="786"/>
      <c r="G151" s="837"/>
      <c r="H151" s="839"/>
      <c r="I151" s="837"/>
      <c r="J151" s="837"/>
      <c r="K151" s="713"/>
      <c r="L151" s="362"/>
      <c r="M151" s="809"/>
      <c r="N151" s="401" t="b">
        <v>0</v>
      </c>
      <c r="O151" s="402"/>
      <c r="P151" s="363"/>
      <c r="Q151" s="713"/>
      <c r="R151" s="711"/>
      <c r="S151" s="711"/>
      <c r="T151" s="711"/>
      <c r="U151" s="711"/>
      <c r="V151" s="713">
        <f t="shared" si="17"/>
        <v>0</v>
      </c>
      <c r="W151" s="711"/>
      <c r="X151" s="362"/>
      <c r="Y151" s="364" t="s">
        <v>203</v>
      </c>
      <c r="Z151" s="5"/>
      <c r="AA151" s="5"/>
      <c r="AB151" s="392"/>
      <c r="AC151" s="711"/>
      <c r="AD151" s="711"/>
      <c r="AE151" s="363"/>
      <c r="AF151" s="713"/>
      <c r="AG151" s="713"/>
      <c r="AH151" s="589"/>
      <c r="AK151" s="107" t="s">
        <v>202</v>
      </c>
      <c r="AL151" s="387">
        <f t="shared" si="13"/>
        <v>0</v>
      </c>
      <c r="AM151" s="387">
        <f t="shared" si="13"/>
        <v>0</v>
      </c>
    </row>
    <row r="152" spans="1:39" s="391" customFormat="1" ht="76.25" hidden="1" customHeight="1" outlineLevel="3">
      <c r="A152" s="722"/>
      <c r="B152" s="733"/>
      <c r="C152" s="735"/>
      <c r="D152" s="735"/>
      <c r="E152" s="785"/>
      <c r="F152" s="784" t="s">
        <v>237</v>
      </c>
      <c r="G152" s="836"/>
      <c r="H152" s="838" t="str">
        <f>IF(G152="","",G152/$G$238)</f>
        <v/>
      </c>
      <c r="I152" s="836"/>
      <c r="J152" s="836"/>
      <c r="K152" s="712" t="str">
        <f>IF(SUM(I152:J153)=0,"",SUM(I152:J153))</f>
        <v/>
      </c>
      <c r="L152" s="362"/>
      <c r="M152" s="808" t="b">
        <v>0</v>
      </c>
      <c r="N152" s="401" t="b">
        <v>0</v>
      </c>
      <c r="O152" s="402"/>
      <c r="P152" s="363"/>
      <c r="Q152" s="712"/>
      <c r="R152" s="710"/>
      <c r="S152" s="710"/>
      <c r="T152" s="710"/>
      <c r="U152" s="710"/>
      <c r="V152" s="712">
        <f t="shared" si="17"/>
        <v>0</v>
      </c>
      <c r="W152" s="710"/>
      <c r="X152" s="362"/>
      <c r="Y152" s="364" t="s">
        <v>201</v>
      </c>
      <c r="Z152" s="5"/>
      <c r="AA152" s="5"/>
      <c r="AB152" s="392"/>
      <c r="AC152" s="710"/>
      <c r="AD152" s="710"/>
      <c r="AE152" s="363"/>
      <c r="AF152" s="712" t="str">
        <f t="shared" si="25"/>
        <v/>
      </c>
      <c r="AG152" s="712" t="str">
        <f>IF(K152="","",IF(AND(W152="",AA152="",AA153="",AD152=""),"Missing Info",IF(K152-W152-AA152-AA153+AD152=0,"OK","Review emissions")))</f>
        <v/>
      </c>
      <c r="AH152" s="589"/>
      <c r="AK152" s="107" t="s">
        <v>202</v>
      </c>
      <c r="AL152" s="387">
        <f t="shared" si="13"/>
        <v>0</v>
      </c>
      <c r="AM152" s="387">
        <f t="shared" si="13"/>
        <v>0</v>
      </c>
    </row>
    <row r="153" spans="1:39" s="391" customFormat="1" ht="94.25" hidden="1" customHeight="1" outlineLevel="3">
      <c r="A153" s="722"/>
      <c r="B153" s="733"/>
      <c r="C153" s="735"/>
      <c r="D153" s="735"/>
      <c r="E153" s="785"/>
      <c r="F153" s="786"/>
      <c r="G153" s="837"/>
      <c r="H153" s="839"/>
      <c r="I153" s="837"/>
      <c r="J153" s="837"/>
      <c r="K153" s="713"/>
      <c r="L153" s="362"/>
      <c r="M153" s="809"/>
      <c r="N153" s="401" t="b">
        <v>0</v>
      </c>
      <c r="O153" s="402"/>
      <c r="P153" s="363"/>
      <c r="Q153" s="713"/>
      <c r="R153" s="711"/>
      <c r="S153" s="711"/>
      <c r="T153" s="711"/>
      <c r="U153" s="711"/>
      <c r="V153" s="713">
        <f t="shared" si="17"/>
        <v>0</v>
      </c>
      <c r="W153" s="711"/>
      <c r="X153" s="362"/>
      <c r="Y153" s="364" t="s">
        <v>203</v>
      </c>
      <c r="Z153" s="5"/>
      <c r="AA153" s="5"/>
      <c r="AB153" s="392"/>
      <c r="AC153" s="711"/>
      <c r="AD153" s="711"/>
      <c r="AE153" s="363"/>
      <c r="AF153" s="713"/>
      <c r="AG153" s="713"/>
      <c r="AH153" s="589"/>
      <c r="AK153" s="107" t="s">
        <v>202</v>
      </c>
      <c r="AL153" s="387">
        <f t="shared" si="13"/>
        <v>0</v>
      </c>
      <c r="AM153" s="387">
        <f t="shared" si="13"/>
        <v>0</v>
      </c>
    </row>
    <row r="154" spans="1:39" s="391" customFormat="1" ht="39" hidden="1" customHeight="1" outlineLevel="3">
      <c r="A154" s="722"/>
      <c r="B154" s="733"/>
      <c r="C154" s="735"/>
      <c r="D154" s="735"/>
      <c r="E154" s="785"/>
      <c r="F154" s="784" t="s">
        <v>125</v>
      </c>
      <c r="G154" s="836"/>
      <c r="H154" s="838" t="str">
        <f>IF(G154="","",G154/$G$238)</f>
        <v/>
      </c>
      <c r="I154" s="836"/>
      <c r="J154" s="836"/>
      <c r="K154" s="712" t="str">
        <f>IF(SUM(I154:J155)=0,"",SUM(I154:J155))</f>
        <v/>
      </c>
      <c r="L154" s="362"/>
      <c r="M154" s="808" t="b">
        <v>0</v>
      </c>
      <c r="N154" s="401" t="b">
        <v>0</v>
      </c>
      <c r="O154" s="402"/>
      <c r="P154" s="363"/>
      <c r="Q154" s="712"/>
      <c r="R154" s="710"/>
      <c r="S154" s="710"/>
      <c r="T154" s="710"/>
      <c r="U154" s="710"/>
      <c r="V154" s="712">
        <f t="shared" si="17"/>
        <v>0</v>
      </c>
      <c r="W154" s="710"/>
      <c r="X154" s="362"/>
      <c r="Y154" s="364" t="s">
        <v>201</v>
      </c>
      <c r="Z154" s="5"/>
      <c r="AA154" s="5"/>
      <c r="AB154" s="392"/>
      <c r="AC154" s="710"/>
      <c r="AD154" s="710"/>
      <c r="AE154" s="363"/>
      <c r="AF154" s="712" t="str">
        <f t="shared" si="25"/>
        <v/>
      </c>
      <c r="AG154" s="712" t="str">
        <f>IF(K154="","",IF(AND(W154="",AA154="",AA155="",AD154=""),"Missing Info",IF(K154-W154-AA154-AA155+AD154=0,"OK","Review emissions")))</f>
        <v/>
      </c>
      <c r="AH154" s="589"/>
      <c r="AK154" s="107" t="s">
        <v>202</v>
      </c>
      <c r="AL154" s="387">
        <f t="shared" ref="AL154:AM164" si="26">COUNTIFS($AK$75:$AK$151,$AK154,M$75:M$151,TRUE)</f>
        <v>0</v>
      </c>
      <c r="AM154" s="387">
        <f t="shared" si="26"/>
        <v>0</v>
      </c>
    </row>
    <row r="155" spans="1:39" s="391" customFormat="1" ht="39" hidden="1" customHeight="1" outlineLevel="3">
      <c r="A155" s="722"/>
      <c r="B155" s="733"/>
      <c r="C155" s="736"/>
      <c r="D155" s="736"/>
      <c r="E155" s="786"/>
      <c r="F155" s="786"/>
      <c r="G155" s="837"/>
      <c r="H155" s="839"/>
      <c r="I155" s="837"/>
      <c r="J155" s="837"/>
      <c r="K155" s="713"/>
      <c r="L155" s="362"/>
      <c r="M155" s="809"/>
      <c r="N155" s="401" t="b">
        <v>0</v>
      </c>
      <c r="O155" s="402"/>
      <c r="P155" s="363"/>
      <c r="Q155" s="713"/>
      <c r="R155" s="711"/>
      <c r="S155" s="711"/>
      <c r="T155" s="711"/>
      <c r="U155" s="711"/>
      <c r="V155" s="713">
        <f t="shared" si="17"/>
        <v>0</v>
      </c>
      <c r="W155" s="711"/>
      <c r="X155" s="362"/>
      <c r="Y155" s="364" t="s">
        <v>203</v>
      </c>
      <c r="Z155" s="5"/>
      <c r="AA155" s="5"/>
      <c r="AB155" s="392"/>
      <c r="AC155" s="711"/>
      <c r="AD155" s="711"/>
      <c r="AE155" s="363"/>
      <c r="AF155" s="713"/>
      <c r="AG155" s="713"/>
      <c r="AH155" s="589"/>
      <c r="AK155" s="107" t="s">
        <v>202</v>
      </c>
      <c r="AL155" s="387">
        <f t="shared" si="26"/>
        <v>0</v>
      </c>
      <c r="AM155" s="387">
        <f t="shared" si="26"/>
        <v>0</v>
      </c>
    </row>
    <row r="156" spans="1:39" s="391" customFormat="1" ht="39" hidden="1" customHeight="1" outlineLevel="3">
      <c r="A156" s="722"/>
      <c r="B156" s="733"/>
      <c r="C156" s="734" t="s">
        <v>16</v>
      </c>
      <c r="D156" s="738" t="s">
        <v>205</v>
      </c>
      <c r="E156" s="738"/>
      <c r="F156" s="739"/>
      <c r="G156" s="550"/>
      <c r="H156" s="388" t="str">
        <f>IF(G156="","",G156/$G$238)</f>
        <v/>
      </c>
      <c r="I156" s="550"/>
      <c r="J156" s="550"/>
      <c r="K156" s="557" t="str">
        <f t="shared" ref="K156:K176" si="27">IF(SUM(I156:J156)=0,"",SUM(I156:J156))</f>
        <v/>
      </c>
      <c r="L156" s="362"/>
      <c r="M156" s="544" t="b">
        <v>0</v>
      </c>
      <c r="N156" s="401" t="b">
        <v>0</v>
      </c>
      <c r="O156" s="402"/>
      <c r="P156" s="363"/>
      <c r="Q156" s="557"/>
      <c r="R156" s="5"/>
      <c r="S156" s="5"/>
      <c r="T156" s="5"/>
      <c r="U156" s="5"/>
      <c r="V156" s="557">
        <f t="shared" si="17"/>
        <v>0</v>
      </c>
      <c r="W156" s="5"/>
      <c r="X156" s="362"/>
      <c r="Y156" s="364" t="s">
        <v>206</v>
      </c>
      <c r="Z156" s="5"/>
      <c r="AA156" s="5"/>
      <c r="AB156" s="392"/>
      <c r="AC156" s="5"/>
      <c r="AD156" s="5"/>
      <c r="AE156" s="363"/>
      <c r="AF156" s="557" t="str">
        <f t="shared" ref="AF156:AF176" si="28">IF(G156="","",IF(AND(V156="",Z156="",AC156=""),"Missing Info",IF(G156-V156-Z156+AC156=0,"OK","Review financial exposure")))</f>
        <v/>
      </c>
      <c r="AG156" s="557" t="str">
        <f t="shared" ref="AG156:AG176" si="29">IF(K156="","",IF(AND(W156="",AA156="",AD156=""),"Missing Info",IF(K156-W156-AA156+AD156=0,"OK","Review emissions")))</f>
        <v/>
      </c>
      <c r="AH156" s="589"/>
      <c r="AK156" s="107" t="s">
        <v>207</v>
      </c>
      <c r="AL156" s="387">
        <f t="shared" si="26"/>
        <v>0</v>
      </c>
      <c r="AM156" s="387">
        <f t="shared" si="26"/>
        <v>0</v>
      </c>
    </row>
    <row r="157" spans="1:39" s="391" customFormat="1" ht="124.25" hidden="1" customHeight="1" outlineLevel="3">
      <c r="A157" s="722"/>
      <c r="B157" s="733"/>
      <c r="C157" s="735"/>
      <c r="D157" s="734" t="s">
        <v>16</v>
      </c>
      <c r="E157" s="784" t="s">
        <v>231</v>
      </c>
      <c r="F157" s="545" t="s">
        <v>235</v>
      </c>
      <c r="G157" s="550"/>
      <c r="H157" s="388" t="str">
        <f t="shared" ref="H157:H176" si="30">IF(G157="","",G157/$G$238)</f>
        <v/>
      </c>
      <c r="I157" s="550"/>
      <c r="J157" s="550"/>
      <c r="K157" s="557" t="str">
        <f t="shared" si="27"/>
        <v/>
      </c>
      <c r="L157" s="362"/>
      <c r="M157" s="544" t="b">
        <v>0</v>
      </c>
      <c r="N157" s="401" t="b">
        <v>0</v>
      </c>
      <c r="O157" s="402"/>
      <c r="P157" s="363"/>
      <c r="Q157" s="557"/>
      <c r="R157" s="5"/>
      <c r="S157" s="5"/>
      <c r="T157" s="5"/>
      <c r="U157" s="5"/>
      <c r="V157" s="557">
        <f t="shared" si="17"/>
        <v>0</v>
      </c>
      <c r="W157" s="5"/>
      <c r="X157" s="362"/>
      <c r="Y157" s="364" t="s">
        <v>206</v>
      </c>
      <c r="Z157" s="5"/>
      <c r="AA157" s="5"/>
      <c r="AB157" s="392"/>
      <c r="AC157" s="5"/>
      <c r="AD157" s="5"/>
      <c r="AE157" s="363"/>
      <c r="AF157" s="557" t="str">
        <f t="shared" si="28"/>
        <v/>
      </c>
      <c r="AG157" s="557" t="str">
        <f t="shared" si="29"/>
        <v/>
      </c>
      <c r="AH157" s="589"/>
      <c r="AK157" s="107" t="s">
        <v>207</v>
      </c>
      <c r="AL157" s="387">
        <f t="shared" si="26"/>
        <v>0</v>
      </c>
      <c r="AM157" s="387">
        <f t="shared" si="26"/>
        <v>0</v>
      </c>
    </row>
    <row r="158" spans="1:39" s="391" customFormat="1" ht="86" hidden="1" customHeight="1" outlineLevel="3">
      <c r="A158" s="722"/>
      <c r="B158" s="733"/>
      <c r="C158" s="735"/>
      <c r="D158" s="735"/>
      <c r="E158" s="785"/>
      <c r="F158" s="545" t="s">
        <v>236</v>
      </c>
      <c r="G158" s="550"/>
      <c r="H158" s="388" t="str">
        <f t="shared" si="30"/>
        <v/>
      </c>
      <c r="I158" s="550"/>
      <c r="J158" s="550"/>
      <c r="K158" s="557" t="str">
        <f t="shared" si="27"/>
        <v/>
      </c>
      <c r="L158" s="362"/>
      <c r="M158" s="544" t="b">
        <v>0</v>
      </c>
      <c r="N158" s="401" t="b">
        <v>0</v>
      </c>
      <c r="O158" s="402"/>
      <c r="P158" s="363"/>
      <c r="Q158" s="557"/>
      <c r="R158" s="5"/>
      <c r="S158" s="5"/>
      <c r="T158" s="5"/>
      <c r="U158" s="5"/>
      <c r="V158" s="557">
        <f t="shared" si="17"/>
        <v>0</v>
      </c>
      <c r="W158" s="5"/>
      <c r="X158" s="362"/>
      <c r="Y158" s="364" t="s">
        <v>206</v>
      </c>
      <c r="Z158" s="5"/>
      <c r="AA158" s="5"/>
      <c r="AB158" s="392"/>
      <c r="AC158" s="5"/>
      <c r="AD158" s="5"/>
      <c r="AE158" s="363"/>
      <c r="AF158" s="557" t="str">
        <f t="shared" si="28"/>
        <v/>
      </c>
      <c r="AG158" s="557" t="str">
        <f t="shared" si="29"/>
        <v/>
      </c>
      <c r="AH158" s="589"/>
      <c r="AK158" s="107" t="s">
        <v>207</v>
      </c>
      <c r="AL158" s="387">
        <f t="shared" si="26"/>
        <v>0</v>
      </c>
      <c r="AM158" s="387">
        <f t="shared" si="26"/>
        <v>0</v>
      </c>
    </row>
    <row r="159" spans="1:39" s="391" customFormat="1" ht="164" hidden="1" customHeight="1" outlineLevel="3">
      <c r="A159" s="722"/>
      <c r="B159" s="733"/>
      <c r="C159" s="735"/>
      <c r="D159" s="735"/>
      <c r="E159" s="785"/>
      <c r="F159" s="545" t="s">
        <v>237</v>
      </c>
      <c r="G159" s="550"/>
      <c r="H159" s="388" t="str">
        <f t="shared" si="30"/>
        <v/>
      </c>
      <c r="I159" s="550"/>
      <c r="J159" s="550"/>
      <c r="K159" s="557" t="str">
        <f t="shared" si="27"/>
        <v/>
      </c>
      <c r="L159" s="362"/>
      <c r="M159" s="544" t="b">
        <v>0</v>
      </c>
      <c r="N159" s="401" t="b">
        <v>0</v>
      </c>
      <c r="O159" s="402"/>
      <c r="P159" s="363"/>
      <c r="Q159" s="557"/>
      <c r="R159" s="5"/>
      <c r="S159" s="5"/>
      <c r="T159" s="5"/>
      <c r="U159" s="5"/>
      <c r="V159" s="557">
        <f t="shared" si="17"/>
        <v>0</v>
      </c>
      <c r="W159" s="5"/>
      <c r="X159" s="362"/>
      <c r="Y159" s="364" t="s">
        <v>206</v>
      </c>
      <c r="Z159" s="5"/>
      <c r="AA159" s="5"/>
      <c r="AB159" s="392"/>
      <c r="AC159" s="5"/>
      <c r="AD159" s="5"/>
      <c r="AE159" s="363"/>
      <c r="AF159" s="557" t="str">
        <f t="shared" si="28"/>
        <v/>
      </c>
      <c r="AG159" s="557" t="str">
        <f t="shared" si="29"/>
        <v/>
      </c>
      <c r="AH159" s="589"/>
      <c r="AK159" s="107" t="s">
        <v>207</v>
      </c>
      <c r="AL159" s="387">
        <f t="shared" si="26"/>
        <v>0</v>
      </c>
      <c r="AM159" s="387">
        <f t="shared" si="26"/>
        <v>0</v>
      </c>
    </row>
    <row r="160" spans="1:39" s="391" customFormat="1" ht="86" hidden="1" customHeight="1" outlineLevel="3">
      <c r="A160" s="722"/>
      <c r="B160" s="733"/>
      <c r="C160" s="736"/>
      <c r="D160" s="736"/>
      <c r="E160" s="786"/>
      <c r="F160" s="545" t="s">
        <v>125</v>
      </c>
      <c r="G160" s="550"/>
      <c r="H160" s="388" t="str">
        <f t="shared" si="30"/>
        <v/>
      </c>
      <c r="I160" s="550"/>
      <c r="J160" s="550"/>
      <c r="K160" s="557" t="str">
        <f t="shared" si="27"/>
        <v/>
      </c>
      <c r="L160" s="362"/>
      <c r="M160" s="544" t="b">
        <v>0</v>
      </c>
      <c r="N160" s="401" t="b">
        <v>0</v>
      </c>
      <c r="O160" s="402"/>
      <c r="P160" s="363"/>
      <c r="Q160" s="557"/>
      <c r="R160" s="5"/>
      <c r="S160" s="5"/>
      <c r="T160" s="5"/>
      <c r="U160" s="5"/>
      <c r="V160" s="557">
        <f t="shared" si="17"/>
        <v>0</v>
      </c>
      <c r="W160" s="5"/>
      <c r="X160" s="362"/>
      <c r="Y160" s="364" t="s">
        <v>206</v>
      </c>
      <c r="Z160" s="5"/>
      <c r="AA160" s="5"/>
      <c r="AB160" s="392"/>
      <c r="AC160" s="5"/>
      <c r="AD160" s="5"/>
      <c r="AE160" s="363"/>
      <c r="AF160" s="557" t="str">
        <f t="shared" si="28"/>
        <v/>
      </c>
      <c r="AG160" s="557" t="str">
        <f t="shared" si="29"/>
        <v/>
      </c>
      <c r="AH160" s="589"/>
      <c r="AK160" s="107" t="s">
        <v>207</v>
      </c>
      <c r="AL160" s="387">
        <f t="shared" si="26"/>
        <v>0</v>
      </c>
      <c r="AM160" s="387">
        <f t="shared" si="26"/>
        <v>0</v>
      </c>
    </row>
    <row r="161" spans="1:39" s="391" customFormat="1" ht="39" hidden="1" customHeight="1" outlineLevel="3">
      <c r="A161" s="722"/>
      <c r="B161" s="733"/>
      <c r="C161" s="734" t="s">
        <v>208</v>
      </c>
      <c r="D161" s="737" t="s">
        <v>209</v>
      </c>
      <c r="E161" s="738"/>
      <c r="F161" s="739"/>
      <c r="G161" s="550"/>
      <c r="H161" s="388" t="str">
        <f t="shared" si="30"/>
        <v/>
      </c>
      <c r="I161" s="550"/>
      <c r="J161" s="550"/>
      <c r="K161" s="557" t="str">
        <f t="shared" si="27"/>
        <v/>
      </c>
      <c r="L161" s="362"/>
      <c r="M161" s="544" t="b">
        <v>0</v>
      </c>
      <c r="N161" s="401" t="b">
        <v>0</v>
      </c>
      <c r="O161" s="402"/>
      <c r="P161" s="363"/>
      <c r="Q161" s="557"/>
      <c r="R161" s="5"/>
      <c r="S161" s="5"/>
      <c r="T161" s="5"/>
      <c r="U161" s="5"/>
      <c r="V161" s="557">
        <f t="shared" si="17"/>
        <v>0</v>
      </c>
      <c r="W161" s="5"/>
      <c r="X161" s="362"/>
      <c r="Y161" s="394" t="s">
        <v>263</v>
      </c>
      <c r="Z161" s="5"/>
      <c r="AA161" s="5"/>
      <c r="AB161" s="392"/>
      <c r="AC161" s="5"/>
      <c r="AD161" s="5"/>
      <c r="AE161" s="363"/>
      <c r="AF161" s="557" t="str">
        <f t="shared" si="28"/>
        <v/>
      </c>
      <c r="AG161" s="557" t="str">
        <f t="shared" si="29"/>
        <v/>
      </c>
      <c r="AH161" s="589"/>
      <c r="AK161" s="107" t="s">
        <v>211</v>
      </c>
      <c r="AL161" s="387">
        <f t="shared" si="26"/>
        <v>0</v>
      </c>
      <c r="AM161" s="387">
        <f t="shared" si="26"/>
        <v>0</v>
      </c>
    </row>
    <row r="162" spans="1:39" s="391" customFormat="1" ht="114" hidden="1" customHeight="1" outlineLevel="3">
      <c r="A162" s="722"/>
      <c r="B162" s="733"/>
      <c r="C162" s="735"/>
      <c r="D162" s="784" t="s">
        <v>212</v>
      </c>
      <c r="E162" s="784" t="s">
        <v>231</v>
      </c>
      <c r="F162" s="545" t="s">
        <v>235</v>
      </c>
      <c r="G162" s="550"/>
      <c r="H162" s="388" t="str">
        <f t="shared" si="30"/>
        <v/>
      </c>
      <c r="I162" s="550"/>
      <c r="J162" s="550"/>
      <c r="K162" s="557" t="str">
        <f t="shared" si="27"/>
        <v/>
      </c>
      <c r="L162" s="362"/>
      <c r="M162" s="544" t="b">
        <v>0</v>
      </c>
      <c r="N162" s="401" t="b">
        <v>0</v>
      </c>
      <c r="O162" s="402"/>
      <c r="P162" s="363"/>
      <c r="Q162" s="557"/>
      <c r="R162" s="5"/>
      <c r="S162" s="5"/>
      <c r="T162" s="5"/>
      <c r="U162" s="5"/>
      <c r="V162" s="557">
        <f t="shared" si="17"/>
        <v>0</v>
      </c>
      <c r="W162" s="5"/>
      <c r="X162" s="362"/>
      <c r="Y162" s="394" t="s">
        <v>263</v>
      </c>
      <c r="Z162" s="5"/>
      <c r="AA162" s="5"/>
      <c r="AB162" s="392"/>
      <c r="AC162" s="5"/>
      <c r="AD162" s="5"/>
      <c r="AE162" s="363"/>
      <c r="AF162" s="557" t="str">
        <f t="shared" si="28"/>
        <v/>
      </c>
      <c r="AG162" s="557" t="str">
        <f t="shared" si="29"/>
        <v/>
      </c>
      <c r="AH162" s="589"/>
      <c r="AK162" s="107" t="s">
        <v>211</v>
      </c>
      <c r="AL162" s="387">
        <f t="shared" si="26"/>
        <v>0</v>
      </c>
      <c r="AM162" s="387">
        <f t="shared" si="26"/>
        <v>0</v>
      </c>
    </row>
    <row r="163" spans="1:39" s="391" customFormat="1" ht="100.25" hidden="1" customHeight="1" outlineLevel="3">
      <c r="A163" s="722"/>
      <c r="B163" s="733"/>
      <c r="C163" s="735"/>
      <c r="D163" s="785"/>
      <c r="E163" s="785"/>
      <c r="F163" s="545" t="s">
        <v>236</v>
      </c>
      <c r="G163" s="550"/>
      <c r="H163" s="388" t="str">
        <f t="shared" si="30"/>
        <v/>
      </c>
      <c r="I163" s="550"/>
      <c r="J163" s="550"/>
      <c r="K163" s="557" t="str">
        <f t="shared" si="27"/>
        <v/>
      </c>
      <c r="L163" s="362"/>
      <c r="M163" s="544" t="b">
        <v>0</v>
      </c>
      <c r="N163" s="401" t="b">
        <v>0</v>
      </c>
      <c r="O163" s="402"/>
      <c r="P163" s="363"/>
      <c r="Q163" s="557"/>
      <c r="R163" s="5"/>
      <c r="S163" s="5"/>
      <c r="T163" s="5"/>
      <c r="U163" s="5"/>
      <c r="V163" s="557">
        <f t="shared" ref="V163:V176" si="31">IF(M163=TRUE,SUM(Q163:U163),0)</f>
        <v>0</v>
      </c>
      <c r="W163" s="5"/>
      <c r="X163" s="362"/>
      <c r="Y163" s="394" t="s">
        <v>263</v>
      </c>
      <c r="Z163" s="5"/>
      <c r="AA163" s="5"/>
      <c r="AB163" s="392"/>
      <c r="AC163" s="5"/>
      <c r="AD163" s="5"/>
      <c r="AE163" s="363"/>
      <c r="AF163" s="557" t="str">
        <f t="shared" si="28"/>
        <v/>
      </c>
      <c r="AG163" s="557" t="str">
        <f t="shared" si="29"/>
        <v/>
      </c>
      <c r="AH163" s="589"/>
      <c r="AK163" s="107" t="s">
        <v>211</v>
      </c>
      <c r="AL163" s="387">
        <f t="shared" si="26"/>
        <v>0</v>
      </c>
      <c r="AM163" s="387">
        <f t="shared" si="26"/>
        <v>0</v>
      </c>
    </row>
    <row r="164" spans="1:39" s="391" customFormat="1" ht="183" hidden="1" customHeight="1" outlineLevel="3">
      <c r="A164" s="722"/>
      <c r="B164" s="733"/>
      <c r="C164" s="735"/>
      <c r="D164" s="785"/>
      <c r="E164" s="785"/>
      <c r="F164" s="545" t="s">
        <v>237</v>
      </c>
      <c r="G164" s="550"/>
      <c r="H164" s="388" t="str">
        <f t="shared" si="30"/>
        <v/>
      </c>
      <c r="I164" s="550"/>
      <c r="J164" s="550"/>
      <c r="K164" s="557" t="str">
        <f t="shared" si="27"/>
        <v/>
      </c>
      <c r="L164" s="362"/>
      <c r="M164" s="544" t="b">
        <v>0</v>
      </c>
      <c r="N164" s="401" t="b">
        <v>0</v>
      </c>
      <c r="O164" s="402"/>
      <c r="P164" s="363"/>
      <c r="Q164" s="557"/>
      <c r="R164" s="5"/>
      <c r="S164" s="5"/>
      <c r="T164" s="5"/>
      <c r="U164" s="5"/>
      <c r="V164" s="557">
        <f t="shared" si="31"/>
        <v>0</v>
      </c>
      <c r="W164" s="5"/>
      <c r="X164" s="362"/>
      <c r="Y164" s="394" t="s">
        <v>263</v>
      </c>
      <c r="Z164" s="5"/>
      <c r="AA164" s="5"/>
      <c r="AB164" s="392"/>
      <c r="AC164" s="5"/>
      <c r="AD164" s="5"/>
      <c r="AE164" s="363"/>
      <c r="AF164" s="557" t="str">
        <f t="shared" si="28"/>
        <v/>
      </c>
      <c r="AG164" s="557" t="str">
        <f t="shared" si="29"/>
        <v/>
      </c>
      <c r="AH164" s="589"/>
      <c r="AK164" s="107" t="s">
        <v>211</v>
      </c>
      <c r="AL164" s="387">
        <f t="shared" si="26"/>
        <v>0</v>
      </c>
      <c r="AM164" s="387">
        <f t="shared" si="26"/>
        <v>0</v>
      </c>
    </row>
    <row r="165" spans="1:39" s="391" customFormat="1" ht="69" hidden="1" customHeight="1" outlineLevel="3">
      <c r="A165" s="722"/>
      <c r="B165" s="733"/>
      <c r="C165" s="735"/>
      <c r="D165" s="785"/>
      <c r="E165" s="785"/>
      <c r="F165" s="545" t="s">
        <v>124</v>
      </c>
      <c r="G165" s="550"/>
      <c r="H165" s="388" t="str">
        <f t="shared" si="30"/>
        <v/>
      </c>
      <c r="I165" s="550"/>
      <c r="J165" s="550"/>
      <c r="K165" s="557" t="str">
        <f t="shared" si="27"/>
        <v/>
      </c>
      <c r="L165" s="362"/>
      <c r="M165" s="544" t="b">
        <v>0</v>
      </c>
      <c r="N165" s="401" t="b">
        <v>0</v>
      </c>
      <c r="O165" s="402"/>
      <c r="P165" s="363"/>
      <c r="Q165" s="557"/>
      <c r="R165" s="5"/>
      <c r="S165" s="5"/>
      <c r="T165" s="5"/>
      <c r="U165" s="5"/>
      <c r="V165" s="557">
        <f t="shared" si="31"/>
        <v>0</v>
      </c>
      <c r="W165" s="5"/>
      <c r="X165" s="362"/>
      <c r="Y165" s="394" t="s">
        <v>263</v>
      </c>
      <c r="Z165" s="5"/>
      <c r="AA165" s="5"/>
      <c r="AB165" s="392"/>
      <c r="AC165" s="5"/>
      <c r="AD165" s="5"/>
      <c r="AE165" s="363"/>
      <c r="AF165" s="557" t="str">
        <f t="shared" si="28"/>
        <v/>
      </c>
      <c r="AG165" s="557" t="str">
        <f t="shared" si="29"/>
        <v/>
      </c>
      <c r="AH165" s="589"/>
      <c r="AK165" s="107" t="s">
        <v>211</v>
      </c>
      <c r="AL165" s="387">
        <f t="shared" ref="AL165:AL223" si="32">COUNTIFS($AK$89:$AK$223,$AK165,M$89:M$223,TRUE)</f>
        <v>0</v>
      </c>
      <c r="AM165" s="387">
        <f t="shared" ref="AM165:AM223" si="33">COUNTIFS($AK$89:$AK$223,$AK165,N$89:N$223,TRUE)</f>
        <v>0</v>
      </c>
    </row>
    <row r="166" spans="1:39" s="391" customFormat="1" ht="59" hidden="1" customHeight="1" outlineLevel="3">
      <c r="A166" s="722"/>
      <c r="B166" s="733"/>
      <c r="C166" s="736"/>
      <c r="D166" s="786"/>
      <c r="E166" s="786"/>
      <c r="F166" s="545" t="s">
        <v>238</v>
      </c>
      <c r="G166" s="550"/>
      <c r="H166" s="388" t="str">
        <f t="shared" si="30"/>
        <v/>
      </c>
      <c r="I166" s="550"/>
      <c r="J166" s="550"/>
      <c r="K166" s="557" t="str">
        <f t="shared" si="27"/>
        <v/>
      </c>
      <c r="L166" s="362"/>
      <c r="M166" s="544" t="b">
        <v>0</v>
      </c>
      <c r="N166" s="401" t="b">
        <v>0</v>
      </c>
      <c r="O166" s="402"/>
      <c r="P166" s="363"/>
      <c r="Q166" s="557"/>
      <c r="R166" s="550"/>
      <c r="S166" s="5"/>
      <c r="T166" s="5"/>
      <c r="U166" s="5"/>
      <c r="V166" s="557">
        <f t="shared" si="31"/>
        <v>0</v>
      </c>
      <c r="W166" s="5"/>
      <c r="X166" s="362"/>
      <c r="Y166" s="394" t="s">
        <v>263</v>
      </c>
      <c r="Z166" s="550"/>
      <c r="AA166" s="5"/>
      <c r="AB166" s="392"/>
      <c r="AC166" s="5"/>
      <c r="AD166" s="5"/>
      <c r="AE166" s="363"/>
      <c r="AF166" s="557" t="str">
        <f t="shared" si="28"/>
        <v/>
      </c>
      <c r="AG166" s="557" t="str">
        <f t="shared" si="29"/>
        <v/>
      </c>
      <c r="AH166" s="589"/>
      <c r="AK166" s="107" t="s">
        <v>211</v>
      </c>
      <c r="AL166" s="387">
        <f t="shared" si="32"/>
        <v>0</v>
      </c>
      <c r="AM166" s="387">
        <f t="shared" si="33"/>
        <v>0</v>
      </c>
    </row>
    <row r="167" spans="1:39" s="391" customFormat="1" ht="39" hidden="1" customHeight="1" outlineLevel="2" collapsed="1">
      <c r="A167" s="721" t="s">
        <v>127</v>
      </c>
      <c r="B167" s="732" t="s">
        <v>128</v>
      </c>
      <c r="C167" s="724" t="s">
        <v>129</v>
      </c>
      <c r="D167" s="725"/>
      <c r="E167" s="725"/>
      <c r="F167" s="726"/>
      <c r="G167" s="458"/>
      <c r="H167" s="388" t="str">
        <f t="shared" si="30"/>
        <v/>
      </c>
      <c r="I167" s="458"/>
      <c r="J167" s="458"/>
      <c r="K167" s="557" t="str">
        <f t="shared" si="27"/>
        <v/>
      </c>
      <c r="L167" s="362"/>
      <c r="M167" s="544" t="b">
        <v>0</v>
      </c>
      <c r="N167" s="389"/>
      <c r="O167" s="402"/>
      <c r="P167" s="363"/>
      <c r="Q167" s="5"/>
      <c r="R167" s="5"/>
      <c r="S167" s="5"/>
      <c r="T167" s="5"/>
      <c r="U167" s="5"/>
      <c r="V167" s="557">
        <f t="shared" si="31"/>
        <v>0</v>
      </c>
      <c r="W167" s="5"/>
      <c r="X167" s="362"/>
      <c r="Y167" s="364"/>
      <c r="Z167" s="557"/>
      <c r="AA167" s="557"/>
      <c r="AB167" s="390"/>
      <c r="AC167" s="557"/>
      <c r="AD167" s="557"/>
      <c r="AE167" s="363"/>
      <c r="AF167" s="557" t="str">
        <f t="shared" si="28"/>
        <v/>
      </c>
      <c r="AG167" s="557" t="str">
        <f t="shared" si="29"/>
        <v/>
      </c>
      <c r="AH167" s="589"/>
      <c r="AK167" s="107" t="s">
        <v>213</v>
      </c>
      <c r="AL167" s="387">
        <f t="shared" si="32"/>
        <v>0</v>
      </c>
      <c r="AM167" s="387">
        <f t="shared" si="33"/>
        <v>0</v>
      </c>
    </row>
    <row r="168" spans="1:39" s="391" customFormat="1" ht="100.25" hidden="1" customHeight="1" outlineLevel="3">
      <c r="A168" s="722"/>
      <c r="B168" s="733"/>
      <c r="C168" s="746" t="s">
        <v>122</v>
      </c>
      <c r="D168" s="747"/>
      <c r="E168" s="784" t="s">
        <v>231</v>
      </c>
      <c r="F168" s="545" t="s">
        <v>239</v>
      </c>
      <c r="G168" s="458"/>
      <c r="H168" s="388" t="str">
        <f t="shared" si="30"/>
        <v/>
      </c>
      <c r="I168" s="458"/>
      <c r="J168" s="458"/>
      <c r="K168" s="557" t="str">
        <f t="shared" si="27"/>
        <v/>
      </c>
      <c r="L168" s="362"/>
      <c r="M168" s="544" t="b">
        <v>0</v>
      </c>
      <c r="N168" s="389"/>
      <c r="O168" s="402"/>
      <c r="P168" s="363"/>
      <c r="Q168" s="5"/>
      <c r="R168" s="5"/>
      <c r="S168" s="5"/>
      <c r="T168" s="5"/>
      <c r="U168" s="5"/>
      <c r="V168" s="557">
        <f t="shared" si="31"/>
        <v>0</v>
      </c>
      <c r="W168" s="5"/>
      <c r="X168" s="362"/>
      <c r="Y168" s="364"/>
      <c r="Z168" s="557"/>
      <c r="AA168" s="557"/>
      <c r="AB168" s="390"/>
      <c r="AC168" s="557"/>
      <c r="AD168" s="557"/>
      <c r="AE168" s="363"/>
      <c r="AF168" s="557" t="str">
        <f t="shared" si="28"/>
        <v/>
      </c>
      <c r="AG168" s="557" t="str">
        <f t="shared" si="29"/>
        <v/>
      </c>
      <c r="AH168" s="589"/>
      <c r="AK168" s="107" t="s">
        <v>213</v>
      </c>
      <c r="AL168" s="387">
        <f t="shared" si="32"/>
        <v>0</v>
      </c>
      <c r="AM168" s="387">
        <f t="shared" si="33"/>
        <v>0</v>
      </c>
    </row>
    <row r="169" spans="1:39" s="391" customFormat="1" ht="90" hidden="1" customHeight="1" outlineLevel="3">
      <c r="A169" s="722"/>
      <c r="B169" s="733"/>
      <c r="C169" s="830"/>
      <c r="D169" s="831"/>
      <c r="E169" s="785"/>
      <c r="F169" s="545" t="s">
        <v>240</v>
      </c>
      <c r="G169" s="458"/>
      <c r="H169" s="388" t="str">
        <f t="shared" si="30"/>
        <v/>
      </c>
      <c r="I169" s="458"/>
      <c r="J169" s="458"/>
      <c r="K169" s="557" t="str">
        <f t="shared" si="27"/>
        <v/>
      </c>
      <c r="L169" s="362"/>
      <c r="M169" s="544" t="b">
        <v>0</v>
      </c>
      <c r="N169" s="389"/>
      <c r="O169" s="402"/>
      <c r="P169" s="363"/>
      <c r="Q169" s="5"/>
      <c r="R169" s="5"/>
      <c r="S169" s="5"/>
      <c r="T169" s="5"/>
      <c r="U169" s="5"/>
      <c r="V169" s="557">
        <f t="shared" si="31"/>
        <v>0</v>
      </c>
      <c r="W169" s="5"/>
      <c r="X169" s="362"/>
      <c r="Y169" s="364"/>
      <c r="Z169" s="557"/>
      <c r="AA169" s="557"/>
      <c r="AB169" s="390"/>
      <c r="AC169" s="557"/>
      <c r="AD169" s="557"/>
      <c r="AE169" s="363"/>
      <c r="AF169" s="557" t="str">
        <f t="shared" si="28"/>
        <v/>
      </c>
      <c r="AG169" s="557" t="str">
        <f t="shared" si="29"/>
        <v/>
      </c>
      <c r="AH169" s="589"/>
      <c r="AK169" s="107" t="s">
        <v>213</v>
      </c>
      <c r="AL169" s="387">
        <f t="shared" si="32"/>
        <v>0</v>
      </c>
      <c r="AM169" s="387">
        <f t="shared" si="33"/>
        <v>0</v>
      </c>
    </row>
    <row r="170" spans="1:39" s="391" customFormat="1" ht="161" hidden="1" customHeight="1" outlineLevel="3">
      <c r="A170" s="722"/>
      <c r="B170" s="733"/>
      <c r="C170" s="830"/>
      <c r="D170" s="831"/>
      <c r="E170" s="785"/>
      <c r="F170" s="545" t="s">
        <v>241</v>
      </c>
      <c r="G170" s="458"/>
      <c r="H170" s="388" t="str">
        <f t="shared" si="30"/>
        <v/>
      </c>
      <c r="I170" s="458"/>
      <c r="J170" s="458"/>
      <c r="K170" s="557" t="str">
        <f t="shared" si="27"/>
        <v/>
      </c>
      <c r="L170" s="362"/>
      <c r="M170" s="544" t="b">
        <v>0</v>
      </c>
      <c r="N170" s="389"/>
      <c r="O170" s="402"/>
      <c r="P170" s="363"/>
      <c r="Q170" s="5"/>
      <c r="R170" s="5"/>
      <c r="S170" s="5"/>
      <c r="T170" s="5"/>
      <c r="U170" s="5"/>
      <c r="V170" s="557">
        <f t="shared" si="31"/>
        <v>0</v>
      </c>
      <c r="W170" s="5"/>
      <c r="X170" s="362"/>
      <c r="Y170" s="364"/>
      <c r="Z170" s="557"/>
      <c r="AA170" s="557"/>
      <c r="AB170" s="390"/>
      <c r="AC170" s="557"/>
      <c r="AD170" s="557"/>
      <c r="AE170" s="363"/>
      <c r="AF170" s="557" t="str">
        <f t="shared" si="28"/>
        <v/>
      </c>
      <c r="AG170" s="557" t="str">
        <f t="shared" si="29"/>
        <v/>
      </c>
      <c r="AH170" s="589"/>
      <c r="AK170" s="107" t="s">
        <v>213</v>
      </c>
      <c r="AL170" s="387">
        <f t="shared" si="32"/>
        <v>0</v>
      </c>
      <c r="AM170" s="387">
        <f t="shared" si="33"/>
        <v>0</v>
      </c>
    </row>
    <row r="171" spans="1:39" s="391" customFormat="1" ht="90" hidden="1" customHeight="1" outlineLevel="3">
      <c r="A171" s="723"/>
      <c r="B171" s="733"/>
      <c r="C171" s="748"/>
      <c r="D171" s="749"/>
      <c r="E171" s="786"/>
      <c r="F171" s="545" t="s">
        <v>132</v>
      </c>
      <c r="G171" s="458"/>
      <c r="H171" s="388" t="str">
        <f t="shared" si="30"/>
        <v/>
      </c>
      <c r="I171" s="458"/>
      <c r="J171" s="458"/>
      <c r="K171" s="557" t="str">
        <f t="shared" si="27"/>
        <v/>
      </c>
      <c r="L171" s="362"/>
      <c r="M171" s="544" t="b">
        <v>0</v>
      </c>
      <c r="N171" s="389"/>
      <c r="O171" s="402"/>
      <c r="P171" s="363"/>
      <c r="Q171" s="5"/>
      <c r="R171" s="5"/>
      <c r="S171" s="5"/>
      <c r="T171" s="5"/>
      <c r="U171" s="5"/>
      <c r="V171" s="557">
        <f t="shared" si="31"/>
        <v>0</v>
      </c>
      <c r="W171" s="5"/>
      <c r="X171" s="362"/>
      <c r="Y171" s="364"/>
      <c r="Z171" s="557"/>
      <c r="AA171" s="557"/>
      <c r="AB171" s="390"/>
      <c r="AC171" s="557"/>
      <c r="AD171" s="557"/>
      <c r="AE171" s="363"/>
      <c r="AF171" s="557" t="str">
        <f t="shared" si="28"/>
        <v/>
      </c>
      <c r="AG171" s="557" t="str">
        <f t="shared" si="29"/>
        <v/>
      </c>
      <c r="AH171" s="589"/>
      <c r="AK171" s="107" t="s">
        <v>213</v>
      </c>
      <c r="AL171" s="387">
        <f t="shared" si="32"/>
        <v>0</v>
      </c>
      <c r="AM171" s="387">
        <f t="shared" si="33"/>
        <v>0</v>
      </c>
    </row>
    <row r="172" spans="1:39" s="391" customFormat="1" ht="39" hidden="1" customHeight="1" outlineLevel="2" collapsed="1">
      <c r="A172" s="721" t="s">
        <v>133</v>
      </c>
      <c r="B172" s="732" t="s">
        <v>134</v>
      </c>
      <c r="C172" s="724" t="s">
        <v>135</v>
      </c>
      <c r="D172" s="725"/>
      <c r="E172" s="725"/>
      <c r="F172" s="726"/>
      <c r="G172" s="458"/>
      <c r="H172" s="388" t="str">
        <f t="shared" si="30"/>
        <v/>
      </c>
      <c r="I172" s="458"/>
      <c r="J172" s="458"/>
      <c r="K172" s="557" t="str">
        <f t="shared" si="27"/>
        <v/>
      </c>
      <c r="L172" s="362"/>
      <c r="M172" s="544" t="b">
        <v>0</v>
      </c>
      <c r="N172" s="389"/>
      <c r="O172" s="402"/>
      <c r="P172" s="363"/>
      <c r="Q172" s="5"/>
      <c r="R172" s="5"/>
      <c r="S172" s="5"/>
      <c r="T172" s="5"/>
      <c r="U172" s="5"/>
      <c r="V172" s="557">
        <f t="shared" si="31"/>
        <v>0</v>
      </c>
      <c r="W172" s="5"/>
      <c r="X172" s="362"/>
      <c r="Y172" s="364"/>
      <c r="Z172" s="557"/>
      <c r="AA172" s="557"/>
      <c r="AB172" s="390"/>
      <c r="AC172" s="557"/>
      <c r="AD172" s="557"/>
      <c r="AE172" s="363"/>
      <c r="AF172" s="557" t="str">
        <f t="shared" si="28"/>
        <v/>
      </c>
      <c r="AG172" s="557" t="str">
        <f t="shared" si="29"/>
        <v/>
      </c>
      <c r="AH172" s="589"/>
      <c r="AK172" s="107" t="s">
        <v>214</v>
      </c>
      <c r="AL172" s="387">
        <f t="shared" si="32"/>
        <v>0</v>
      </c>
      <c r="AM172" s="387">
        <f t="shared" si="33"/>
        <v>0</v>
      </c>
    </row>
    <row r="173" spans="1:39" s="391" customFormat="1" ht="162" hidden="1" customHeight="1" outlineLevel="3">
      <c r="A173" s="722"/>
      <c r="B173" s="733"/>
      <c r="C173" s="756" t="s">
        <v>122</v>
      </c>
      <c r="D173" s="757"/>
      <c r="E173" s="784" t="s">
        <v>231</v>
      </c>
      <c r="F173" s="545" t="s">
        <v>242</v>
      </c>
      <c r="G173" s="458"/>
      <c r="H173" s="388" t="str">
        <f t="shared" si="30"/>
        <v/>
      </c>
      <c r="I173" s="458"/>
      <c r="J173" s="458"/>
      <c r="K173" s="557" t="str">
        <f t="shared" si="27"/>
        <v/>
      </c>
      <c r="L173" s="362"/>
      <c r="M173" s="544" t="b">
        <v>0</v>
      </c>
      <c r="N173" s="389"/>
      <c r="O173" s="402"/>
      <c r="P173" s="363"/>
      <c r="Q173" s="5"/>
      <c r="R173" s="5"/>
      <c r="S173" s="5"/>
      <c r="T173" s="5"/>
      <c r="U173" s="5"/>
      <c r="V173" s="557">
        <f t="shared" si="31"/>
        <v>0</v>
      </c>
      <c r="W173" s="5"/>
      <c r="X173" s="362"/>
      <c r="Y173" s="364"/>
      <c r="Z173" s="557"/>
      <c r="AA173" s="557"/>
      <c r="AB173" s="390"/>
      <c r="AC173" s="557"/>
      <c r="AD173" s="557"/>
      <c r="AE173" s="363"/>
      <c r="AF173" s="557" t="str">
        <f t="shared" si="28"/>
        <v/>
      </c>
      <c r="AG173" s="557" t="str">
        <f t="shared" si="29"/>
        <v/>
      </c>
      <c r="AH173" s="589"/>
      <c r="AK173" s="107" t="s">
        <v>214</v>
      </c>
      <c r="AL173" s="387">
        <f t="shared" si="32"/>
        <v>0</v>
      </c>
      <c r="AM173" s="387">
        <f t="shared" si="33"/>
        <v>0</v>
      </c>
    </row>
    <row r="174" spans="1:39" s="391" customFormat="1" ht="139.25" hidden="1" customHeight="1" outlineLevel="3">
      <c r="A174" s="722"/>
      <c r="B174" s="733"/>
      <c r="C174" s="758"/>
      <c r="D174" s="759"/>
      <c r="E174" s="785"/>
      <c r="F174" s="545" t="s">
        <v>243</v>
      </c>
      <c r="G174" s="458"/>
      <c r="H174" s="388" t="str">
        <f t="shared" si="30"/>
        <v/>
      </c>
      <c r="I174" s="458"/>
      <c r="J174" s="458"/>
      <c r="K174" s="557" t="str">
        <f t="shared" si="27"/>
        <v/>
      </c>
      <c r="L174" s="362"/>
      <c r="M174" s="544" t="b">
        <v>0</v>
      </c>
      <c r="N174" s="389"/>
      <c r="O174" s="402"/>
      <c r="P174" s="363"/>
      <c r="Q174" s="5"/>
      <c r="R174" s="5"/>
      <c r="S174" s="5"/>
      <c r="T174" s="5"/>
      <c r="U174" s="5"/>
      <c r="V174" s="557">
        <f t="shared" si="31"/>
        <v>0</v>
      </c>
      <c r="W174" s="5"/>
      <c r="X174" s="362"/>
      <c r="Y174" s="364"/>
      <c r="Z174" s="557"/>
      <c r="AA174" s="557"/>
      <c r="AB174" s="390"/>
      <c r="AC174" s="557"/>
      <c r="AD174" s="557"/>
      <c r="AE174" s="363"/>
      <c r="AF174" s="557" t="str">
        <f t="shared" si="28"/>
        <v/>
      </c>
      <c r="AG174" s="557" t="str">
        <f t="shared" si="29"/>
        <v/>
      </c>
      <c r="AH174" s="589"/>
      <c r="AK174" s="107" t="s">
        <v>214</v>
      </c>
      <c r="AL174" s="387">
        <f t="shared" si="32"/>
        <v>0</v>
      </c>
      <c r="AM174" s="387">
        <f t="shared" si="33"/>
        <v>0</v>
      </c>
    </row>
    <row r="175" spans="1:39" s="391" customFormat="1" ht="139.25" hidden="1" customHeight="1" outlineLevel="3">
      <c r="A175" s="722"/>
      <c r="B175" s="733"/>
      <c r="C175" s="758"/>
      <c r="D175" s="759"/>
      <c r="E175" s="786"/>
      <c r="F175" s="545" t="s">
        <v>140</v>
      </c>
      <c r="G175" s="458"/>
      <c r="H175" s="388" t="str">
        <f t="shared" si="30"/>
        <v/>
      </c>
      <c r="I175" s="458"/>
      <c r="J175" s="458"/>
      <c r="K175" s="557" t="str">
        <f t="shared" si="27"/>
        <v/>
      </c>
      <c r="L175" s="362"/>
      <c r="M175" s="544" t="b">
        <v>0</v>
      </c>
      <c r="N175" s="389"/>
      <c r="O175" s="402"/>
      <c r="P175" s="363"/>
      <c r="Q175" s="5"/>
      <c r="R175" s="5"/>
      <c r="S175" s="5"/>
      <c r="T175" s="5"/>
      <c r="U175" s="5"/>
      <c r="V175" s="557">
        <f t="shared" si="31"/>
        <v>0</v>
      </c>
      <c r="W175" s="5"/>
      <c r="X175" s="362"/>
      <c r="Y175" s="364"/>
      <c r="Z175" s="557"/>
      <c r="AA175" s="557"/>
      <c r="AB175" s="390"/>
      <c r="AC175" s="557"/>
      <c r="AD175" s="557"/>
      <c r="AE175" s="363"/>
      <c r="AF175" s="557" t="str">
        <f t="shared" si="28"/>
        <v/>
      </c>
      <c r="AG175" s="557" t="str">
        <f t="shared" si="29"/>
        <v/>
      </c>
      <c r="AH175" s="589"/>
      <c r="AK175" s="107" t="s">
        <v>214</v>
      </c>
      <c r="AL175" s="387">
        <f t="shared" si="32"/>
        <v>0</v>
      </c>
      <c r="AM175" s="387">
        <f t="shared" si="33"/>
        <v>0</v>
      </c>
    </row>
    <row r="176" spans="1:39" s="391" customFormat="1" ht="60" hidden="1" customHeight="1" outlineLevel="3">
      <c r="A176" s="723"/>
      <c r="B176" s="733"/>
      <c r="C176" s="760"/>
      <c r="D176" s="761"/>
      <c r="E176" s="762" t="s">
        <v>244</v>
      </c>
      <c r="F176" s="763"/>
      <c r="G176" s="458"/>
      <c r="H176" s="388" t="str">
        <f t="shared" si="30"/>
        <v/>
      </c>
      <c r="I176" s="458"/>
      <c r="J176" s="458"/>
      <c r="K176" s="557" t="str">
        <f t="shared" si="27"/>
        <v/>
      </c>
      <c r="L176" s="362"/>
      <c r="M176" s="544" t="b">
        <v>0</v>
      </c>
      <c r="N176" s="389"/>
      <c r="O176" s="402"/>
      <c r="P176" s="363"/>
      <c r="Q176" s="5"/>
      <c r="R176" s="5"/>
      <c r="S176" s="5"/>
      <c r="T176" s="5"/>
      <c r="U176" s="5"/>
      <c r="V176" s="557">
        <f t="shared" si="31"/>
        <v>0</v>
      </c>
      <c r="W176" s="5"/>
      <c r="X176" s="362"/>
      <c r="Y176" s="364"/>
      <c r="Z176" s="557"/>
      <c r="AA176" s="557"/>
      <c r="AB176" s="390"/>
      <c r="AC176" s="557"/>
      <c r="AD176" s="557"/>
      <c r="AE176" s="363"/>
      <c r="AF176" s="557" t="str">
        <f t="shared" si="28"/>
        <v/>
      </c>
      <c r="AG176" s="557" t="str">
        <f t="shared" si="29"/>
        <v/>
      </c>
      <c r="AH176" s="589"/>
      <c r="AK176" s="107" t="s">
        <v>214</v>
      </c>
      <c r="AL176" s="387">
        <f t="shared" si="32"/>
        <v>0</v>
      </c>
      <c r="AM176" s="387">
        <f t="shared" si="33"/>
        <v>0</v>
      </c>
    </row>
    <row r="177" spans="1:39" s="391" customFormat="1" ht="39" hidden="1" customHeight="1" outlineLevel="3">
      <c r="A177" s="721" t="s">
        <v>215</v>
      </c>
      <c r="B177" s="733"/>
      <c r="C177" s="784" t="s">
        <v>170</v>
      </c>
      <c r="D177" s="840" t="s">
        <v>264</v>
      </c>
      <c r="E177" s="841"/>
      <c r="F177" s="842"/>
      <c r="G177" s="836"/>
      <c r="H177" s="838" t="str">
        <f>IF(G177="","",G177/$G$238)</f>
        <v/>
      </c>
      <c r="I177" s="836"/>
      <c r="J177" s="836"/>
      <c r="K177" s="712" t="str">
        <f>IF(SUM(I177:J178)=0,"",SUM(I177:J178))</f>
        <v/>
      </c>
      <c r="L177" s="362"/>
      <c r="M177" s="796"/>
      <c r="N177" s="401" t="b">
        <v>0</v>
      </c>
      <c r="O177" s="402"/>
      <c r="P177" s="363"/>
      <c r="Q177" s="712"/>
      <c r="R177" s="712"/>
      <c r="S177" s="712"/>
      <c r="T177" s="712"/>
      <c r="U177" s="712"/>
      <c r="V177" s="712"/>
      <c r="W177" s="712"/>
      <c r="X177" s="362"/>
      <c r="Y177" s="364" t="s">
        <v>112</v>
      </c>
      <c r="Z177" s="5"/>
      <c r="AA177" s="5"/>
      <c r="AB177" s="358"/>
      <c r="AC177" s="712"/>
      <c r="AD177" s="712"/>
      <c r="AE177" s="358"/>
      <c r="AF177" s="712" t="str">
        <f t="shared" ref="AF177:AF181" si="34">IF(G177="","",IF(AND(V177="",Z177="",Z178="",AC177=""),"Missing Info",IF(G177-V177-Z177-Z178+AC177=0,"OK","Review financial exposure")))</f>
        <v/>
      </c>
      <c r="AG177" s="712" t="str">
        <f>IF(K177="","",IF(AND(W177="",AA177="",AA178="",AD177=""),"Missing Info",IF(K177-W177-AA177-AA178+AD177=0,"OK","Review emissions")))</f>
        <v/>
      </c>
      <c r="AH177" s="589"/>
      <c r="AK177" s="348" t="s">
        <v>265</v>
      </c>
      <c r="AL177" s="387">
        <f t="shared" si="32"/>
        <v>0</v>
      </c>
      <c r="AM177" s="387">
        <f t="shared" si="33"/>
        <v>0</v>
      </c>
    </row>
    <row r="178" spans="1:39" s="391" customFormat="1" ht="39" hidden="1" customHeight="1" outlineLevel="3">
      <c r="A178" s="722"/>
      <c r="B178" s="733"/>
      <c r="C178" s="785"/>
      <c r="D178" s="843"/>
      <c r="E178" s="844"/>
      <c r="F178" s="845"/>
      <c r="G178" s="837"/>
      <c r="H178" s="839"/>
      <c r="I178" s="837"/>
      <c r="J178" s="837"/>
      <c r="K178" s="713"/>
      <c r="L178" s="362"/>
      <c r="M178" s="797"/>
      <c r="N178" s="401" t="b">
        <v>0</v>
      </c>
      <c r="O178" s="402"/>
      <c r="P178" s="363"/>
      <c r="Q178" s="713"/>
      <c r="R178" s="713"/>
      <c r="S178" s="713"/>
      <c r="T178" s="713"/>
      <c r="U178" s="713"/>
      <c r="V178" s="713"/>
      <c r="W178" s="713"/>
      <c r="X178" s="362"/>
      <c r="Y178" s="364" t="s">
        <v>114</v>
      </c>
      <c r="Z178" s="5"/>
      <c r="AA178" s="5"/>
      <c r="AB178" s="358"/>
      <c r="AC178" s="713"/>
      <c r="AD178" s="713"/>
      <c r="AE178" s="358"/>
      <c r="AF178" s="713"/>
      <c r="AG178" s="713"/>
      <c r="AH178" s="589"/>
      <c r="AK178" s="348" t="s">
        <v>265</v>
      </c>
      <c r="AL178" s="387">
        <f t="shared" si="32"/>
        <v>0</v>
      </c>
      <c r="AM178" s="387">
        <f t="shared" si="33"/>
        <v>0</v>
      </c>
    </row>
    <row r="179" spans="1:39" s="391" customFormat="1" ht="66" hidden="1" customHeight="1" outlineLevel="3">
      <c r="A179" s="722"/>
      <c r="B179" s="733"/>
      <c r="C179" s="785"/>
      <c r="D179" s="784" t="s">
        <v>266</v>
      </c>
      <c r="E179" s="784" t="s">
        <v>231</v>
      </c>
      <c r="F179" s="784" t="s">
        <v>267</v>
      </c>
      <c r="G179" s="836"/>
      <c r="H179" s="838" t="str">
        <f>IF(G179="","",G179/$G$238)</f>
        <v/>
      </c>
      <c r="I179" s="836"/>
      <c r="J179" s="836"/>
      <c r="K179" s="712" t="str">
        <f>IF(SUM(I179:J180)=0,"",SUM(I179:J180))</f>
        <v/>
      </c>
      <c r="L179" s="362"/>
      <c r="M179" s="796"/>
      <c r="N179" s="401" t="b">
        <v>0</v>
      </c>
      <c r="O179" s="402"/>
      <c r="P179" s="363"/>
      <c r="Q179" s="712"/>
      <c r="R179" s="712"/>
      <c r="S179" s="712"/>
      <c r="T179" s="712"/>
      <c r="U179" s="712"/>
      <c r="V179" s="712"/>
      <c r="W179" s="712"/>
      <c r="X179" s="362"/>
      <c r="Y179" s="364" t="s">
        <v>112</v>
      </c>
      <c r="Z179" s="5"/>
      <c r="AA179" s="5"/>
      <c r="AB179" s="358"/>
      <c r="AC179" s="712"/>
      <c r="AD179" s="712"/>
      <c r="AE179" s="358"/>
      <c r="AF179" s="712" t="str">
        <f t="shared" si="34"/>
        <v/>
      </c>
      <c r="AG179" s="712" t="str">
        <f>IF(K179="","",IF(AND(W179="",AA179="",AA180="",AD179=""),"Missing Info",IF(K179-W179-AA179-AA180+AD179=0,"OK","Review emissions")))</f>
        <v/>
      </c>
      <c r="AH179" s="589"/>
      <c r="AK179" s="348" t="s">
        <v>265</v>
      </c>
      <c r="AL179" s="387">
        <f t="shared" si="32"/>
        <v>0</v>
      </c>
      <c r="AM179" s="387">
        <f t="shared" si="33"/>
        <v>0</v>
      </c>
    </row>
    <row r="180" spans="1:39" s="391" customFormat="1" ht="93" hidden="1" customHeight="1" outlineLevel="3">
      <c r="A180" s="722"/>
      <c r="B180" s="733"/>
      <c r="C180" s="785"/>
      <c r="D180" s="785"/>
      <c r="E180" s="786"/>
      <c r="F180" s="786"/>
      <c r="G180" s="837"/>
      <c r="H180" s="839"/>
      <c r="I180" s="837"/>
      <c r="J180" s="837"/>
      <c r="K180" s="713"/>
      <c r="L180" s="362"/>
      <c r="M180" s="797"/>
      <c r="N180" s="401" t="b">
        <v>0</v>
      </c>
      <c r="O180" s="402"/>
      <c r="P180" s="363"/>
      <c r="Q180" s="713"/>
      <c r="R180" s="713"/>
      <c r="S180" s="713"/>
      <c r="T180" s="713"/>
      <c r="U180" s="713"/>
      <c r="V180" s="713"/>
      <c r="W180" s="713"/>
      <c r="X180" s="362"/>
      <c r="Y180" s="364" t="s">
        <v>114</v>
      </c>
      <c r="Z180" s="5"/>
      <c r="AA180" s="5"/>
      <c r="AB180" s="358"/>
      <c r="AC180" s="713"/>
      <c r="AD180" s="713"/>
      <c r="AE180" s="358"/>
      <c r="AF180" s="713"/>
      <c r="AG180" s="713"/>
      <c r="AH180" s="589"/>
      <c r="AK180" s="348" t="s">
        <v>265</v>
      </c>
      <c r="AL180" s="387">
        <f t="shared" si="32"/>
        <v>0</v>
      </c>
      <c r="AM180" s="387">
        <f t="shared" si="33"/>
        <v>0</v>
      </c>
    </row>
    <row r="181" spans="1:39" s="391" customFormat="1" ht="39" hidden="1" customHeight="1" outlineLevel="3">
      <c r="A181" s="722"/>
      <c r="B181" s="733"/>
      <c r="C181" s="785"/>
      <c r="D181" s="785"/>
      <c r="E181" s="764" t="s">
        <v>244</v>
      </c>
      <c r="F181" s="765"/>
      <c r="G181" s="836"/>
      <c r="H181" s="838" t="str">
        <f>IF(G181="","",G181/$G$238)</f>
        <v/>
      </c>
      <c r="I181" s="836"/>
      <c r="J181" s="836"/>
      <c r="K181" s="712" t="str">
        <f>IF(SUM(I181:J182)=0,"",SUM(I181:J182))</f>
        <v/>
      </c>
      <c r="L181" s="362"/>
      <c r="M181" s="796"/>
      <c r="N181" s="401" t="b">
        <v>0</v>
      </c>
      <c r="O181" s="402"/>
      <c r="P181" s="363"/>
      <c r="Q181" s="712"/>
      <c r="R181" s="712"/>
      <c r="S181" s="712"/>
      <c r="T181" s="712"/>
      <c r="U181" s="712"/>
      <c r="V181" s="712"/>
      <c r="W181" s="712"/>
      <c r="X181" s="362"/>
      <c r="Y181" s="364" t="s">
        <v>112</v>
      </c>
      <c r="Z181" s="5"/>
      <c r="AA181" s="5"/>
      <c r="AB181" s="358"/>
      <c r="AC181" s="712"/>
      <c r="AD181" s="712"/>
      <c r="AE181" s="358"/>
      <c r="AF181" s="712" t="str">
        <f t="shared" si="34"/>
        <v/>
      </c>
      <c r="AG181" s="712" t="str">
        <f>IF(K181="","",IF(AND(W181="",AA181="",AA182="",AD181=""),"Missing Info",IF(K181-W181-AA181-AA182+AD181=0,"OK","Review emissions")))</f>
        <v/>
      </c>
      <c r="AH181" s="589"/>
      <c r="AK181" s="348" t="s">
        <v>265</v>
      </c>
      <c r="AL181" s="387">
        <f t="shared" si="32"/>
        <v>0</v>
      </c>
      <c r="AM181" s="387">
        <f t="shared" si="33"/>
        <v>0</v>
      </c>
    </row>
    <row r="182" spans="1:39" s="391" customFormat="1" ht="39" hidden="1" customHeight="1" outlineLevel="3">
      <c r="A182" s="722"/>
      <c r="B182" s="733"/>
      <c r="C182" s="785"/>
      <c r="D182" s="786"/>
      <c r="E182" s="766"/>
      <c r="F182" s="767"/>
      <c r="G182" s="837"/>
      <c r="H182" s="839"/>
      <c r="I182" s="837"/>
      <c r="J182" s="837"/>
      <c r="K182" s="713"/>
      <c r="L182" s="362"/>
      <c r="M182" s="797"/>
      <c r="N182" s="401" t="b">
        <v>0</v>
      </c>
      <c r="O182" s="402"/>
      <c r="P182" s="363"/>
      <c r="Q182" s="713"/>
      <c r="R182" s="713"/>
      <c r="S182" s="713"/>
      <c r="T182" s="713"/>
      <c r="U182" s="713"/>
      <c r="V182" s="713"/>
      <c r="W182" s="713"/>
      <c r="X182" s="362"/>
      <c r="Y182" s="364" t="s">
        <v>114</v>
      </c>
      <c r="Z182" s="5"/>
      <c r="AA182" s="5"/>
      <c r="AB182" s="358"/>
      <c r="AC182" s="713"/>
      <c r="AD182" s="713"/>
      <c r="AE182" s="358"/>
      <c r="AF182" s="713"/>
      <c r="AG182" s="713"/>
      <c r="AH182" s="589"/>
      <c r="AK182" s="348" t="s">
        <v>265</v>
      </c>
      <c r="AL182" s="387">
        <f t="shared" si="32"/>
        <v>0</v>
      </c>
      <c r="AM182" s="387">
        <f t="shared" si="33"/>
        <v>0</v>
      </c>
    </row>
    <row r="183" spans="1:39" s="391" customFormat="1" ht="39" hidden="1" customHeight="1" outlineLevel="3">
      <c r="A183" s="722"/>
      <c r="B183" s="733"/>
      <c r="C183" s="785"/>
      <c r="D183" s="737" t="s">
        <v>784</v>
      </c>
      <c r="E183" s="738"/>
      <c r="F183" s="739"/>
      <c r="G183" s="458"/>
      <c r="H183" s="388" t="str">
        <f t="shared" ref="H183:H189" si="35">IF(G183="","",G183/$G$238)</f>
        <v/>
      </c>
      <c r="I183" s="458"/>
      <c r="J183" s="458"/>
      <c r="K183" s="557" t="str">
        <f t="shared" ref="K183:K188" si="36">IF(SUM(I183:J183)=0,"",SUM(I183:J183))</f>
        <v/>
      </c>
      <c r="L183" s="362"/>
      <c r="M183" s="401" t="b">
        <v>0</v>
      </c>
      <c r="N183" s="401" t="b">
        <v>0</v>
      </c>
      <c r="O183" s="402"/>
      <c r="P183" s="363"/>
      <c r="Q183" s="5"/>
      <c r="R183" s="5"/>
      <c r="S183" s="5"/>
      <c r="T183" s="5"/>
      <c r="U183" s="5"/>
      <c r="V183" s="557">
        <f t="shared" ref="V183:V223" si="37">IF(M183=TRUE,SUM(Q183:U183),0)</f>
        <v>0</v>
      </c>
      <c r="W183" s="5"/>
      <c r="X183" s="362"/>
      <c r="Y183" s="364" t="s">
        <v>112</v>
      </c>
      <c r="Z183" s="5"/>
      <c r="AA183" s="5"/>
      <c r="AB183" s="358"/>
      <c r="AC183" s="5"/>
      <c r="AD183" s="5"/>
      <c r="AE183" s="358"/>
      <c r="AF183" s="557" t="str">
        <f t="shared" ref="AF183:AF188" si="38">IF(G183="","",IF(AND(V183="",Z183="",AC183=""),"Missing Info",IF(G183-V183-Z183+AC183=0,"OK","Review financial exposure")))</f>
        <v/>
      </c>
      <c r="AG183" s="557" t="str">
        <f t="shared" ref="AG183:AG188" si="39">IF(K183="","",IF(AND(W183="",AA183="",AD183=""),"Missing Info",IF(K183-W183-AA183+AD183=0,"OK","Review emissions")))</f>
        <v/>
      </c>
      <c r="AH183" s="589"/>
      <c r="AK183" s="348" t="s">
        <v>265</v>
      </c>
      <c r="AL183" s="387">
        <f t="shared" si="32"/>
        <v>0</v>
      </c>
      <c r="AM183" s="387">
        <f t="shared" si="33"/>
        <v>0</v>
      </c>
    </row>
    <row r="184" spans="1:39" s="391" customFormat="1" ht="150" hidden="1" customHeight="1" outlineLevel="3">
      <c r="A184" s="722"/>
      <c r="B184" s="733"/>
      <c r="C184" s="785"/>
      <c r="D184" s="764" t="s">
        <v>783</v>
      </c>
      <c r="E184" s="545" t="s">
        <v>231</v>
      </c>
      <c r="F184" s="545" t="s">
        <v>782</v>
      </c>
      <c r="G184" s="458"/>
      <c r="H184" s="388" t="str">
        <f t="shared" si="35"/>
        <v/>
      </c>
      <c r="I184" s="458"/>
      <c r="J184" s="458"/>
      <c r="K184" s="557" t="str">
        <f t="shared" si="36"/>
        <v/>
      </c>
      <c r="L184" s="362"/>
      <c r="M184" s="401" t="b">
        <v>0</v>
      </c>
      <c r="N184" s="401" t="b">
        <v>0</v>
      </c>
      <c r="O184" s="402"/>
      <c r="P184" s="363"/>
      <c r="Q184" s="5"/>
      <c r="R184" s="5"/>
      <c r="S184" s="5"/>
      <c r="T184" s="5"/>
      <c r="U184" s="5"/>
      <c r="V184" s="557">
        <f t="shared" si="37"/>
        <v>0</v>
      </c>
      <c r="W184" s="5"/>
      <c r="X184" s="362"/>
      <c r="Y184" s="364" t="s">
        <v>112</v>
      </c>
      <c r="Z184" s="5"/>
      <c r="AA184" s="5"/>
      <c r="AB184" s="358"/>
      <c r="AC184" s="5"/>
      <c r="AD184" s="5"/>
      <c r="AE184" s="358"/>
      <c r="AF184" s="557" t="str">
        <f t="shared" si="38"/>
        <v/>
      </c>
      <c r="AG184" s="557" t="str">
        <f t="shared" si="39"/>
        <v/>
      </c>
      <c r="AH184" s="589"/>
      <c r="AK184" s="348" t="s">
        <v>265</v>
      </c>
      <c r="AL184" s="387">
        <f t="shared" si="32"/>
        <v>0</v>
      </c>
      <c r="AM184" s="387">
        <f t="shared" si="33"/>
        <v>0</v>
      </c>
    </row>
    <row r="185" spans="1:39" s="391" customFormat="1" ht="60" hidden="1" customHeight="1" outlineLevel="3">
      <c r="A185" s="722"/>
      <c r="B185" s="733"/>
      <c r="C185" s="786"/>
      <c r="D185" s="766"/>
      <c r="E185" s="762" t="s">
        <v>244</v>
      </c>
      <c r="F185" s="763"/>
      <c r="G185" s="458"/>
      <c r="H185" s="388" t="str">
        <f t="shared" si="35"/>
        <v/>
      </c>
      <c r="I185" s="458"/>
      <c r="J185" s="458"/>
      <c r="K185" s="557" t="str">
        <f t="shared" si="36"/>
        <v/>
      </c>
      <c r="L185" s="362"/>
      <c r="M185" s="401" t="b">
        <v>0</v>
      </c>
      <c r="N185" s="401" t="b">
        <v>0</v>
      </c>
      <c r="O185" s="402"/>
      <c r="P185" s="363"/>
      <c r="Q185" s="5"/>
      <c r="R185" s="5"/>
      <c r="S185" s="5"/>
      <c r="T185" s="5"/>
      <c r="U185" s="5"/>
      <c r="V185" s="557">
        <f t="shared" si="37"/>
        <v>0</v>
      </c>
      <c r="W185" s="5"/>
      <c r="X185" s="362"/>
      <c r="Y185" s="364" t="s">
        <v>112</v>
      </c>
      <c r="Z185" s="5"/>
      <c r="AA185" s="5"/>
      <c r="AB185" s="358"/>
      <c r="AC185" s="5"/>
      <c r="AD185" s="5"/>
      <c r="AE185" s="358"/>
      <c r="AF185" s="557" t="str">
        <f t="shared" si="38"/>
        <v/>
      </c>
      <c r="AG185" s="557" t="str">
        <f t="shared" si="39"/>
        <v/>
      </c>
      <c r="AH185" s="589"/>
      <c r="AK185" s="348" t="s">
        <v>265</v>
      </c>
      <c r="AL185" s="387">
        <f t="shared" si="32"/>
        <v>0</v>
      </c>
      <c r="AM185" s="387">
        <f t="shared" si="33"/>
        <v>0</v>
      </c>
    </row>
    <row r="186" spans="1:39" s="391" customFormat="1" ht="39" hidden="1" customHeight="1" outlineLevel="3">
      <c r="A186" s="722"/>
      <c r="B186" s="733"/>
      <c r="C186" s="784" t="s">
        <v>175</v>
      </c>
      <c r="D186" s="737" t="s">
        <v>268</v>
      </c>
      <c r="E186" s="738"/>
      <c r="F186" s="739"/>
      <c r="G186" s="550"/>
      <c r="H186" s="388" t="str">
        <f t="shared" si="35"/>
        <v/>
      </c>
      <c r="I186" s="550"/>
      <c r="J186" s="550"/>
      <c r="K186" s="557" t="str">
        <f t="shared" si="36"/>
        <v/>
      </c>
      <c r="L186" s="362"/>
      <c r="M186" s="401" t="b">
        <v>0</v>
      </c>
      <c r="N186" s="401" t="b">
        <v>0</v>
      </c>
      <c r="O186" s="402"/>
      <c r="P186" s="363"/>
      <c r="Q186" s="5"/>
      <c r="R186" s="5"/>
      <c r="S186" s="5"/>
      <c r="T186" s="5"/>
      <c r="U186" s="5"/>
      <c r="V186" s="557">
        <f t="shared" si="37"/>
        <v>0</v>
      </c>
      <c r="W186" s="5"/>
      <c r="X186" s="362"/>
      <c r="Y186" s="364" t="s">
        <v>177</v>
      </c>
      <c r="Z186" s="5"/>
      <c r="AA186" s="5"/>
      <c r="AB186" s="392"/>
      <c r="AC186" s="5"/>
      <c r="AD186" s="5"/>
      <c r="AE186" s="363"/>
      <c r="AF186" s="557" t="str">
        <f t="shared" si="38"/>
        <v/>
      </c>
      <c r="AG186" s="557" t="str">
        <f t="shared" si="39"/>
        <v/>
      </c>
      <c r="AH186" s="589"/>
      <c r="AK186" s="107" t="s">
        <v>216</v>
      </c>
      <c r="AL186" s="387">
        <f t="shared" si="32"/>
        <v>0</v>
      </c>
      <c r="AM186" s="387">
        <f t="shared" si="33"/>
        <v>0</v>
      </c>
    </row>
    <row r="187" spans="1:39" s="391" customFormat="1" ht="166.25" hidden="1" customHeight="1" outlineLevel="3">
      <c r="A187" s="722"/>
      <c r="B187" s="733"/>
      <c r="C187" s="785"/>
      <c r="D187" s="784" t="s">
        <v>179</v>
      </c>
      <c r="E187" s="545" t="s">
        <v>231</v>
      </c>
      <c r="F187" s="545" t="s">
        <v>242</v>
      </c>
      <c r="G187" s="550"/>
      <c r="H187" s="388" t="str">
        <f t="shared" si="35"/>
        <v/>
      </c>
      <c r="I187" s="550"/>
      <c r="J187" s="550"/>
      <c r="K187" s="557" t="str">
        <f t="shared" si="36"/>
        <v/>
      </c>
      <c r="L187" s="362"/>
      <c r="M187" s="544" t="b">
        <v>0</v>
      </c>
      <c r="N187" s="544" t="b">
        <v>0</v>
      </c>
      <c r="O187" s="402"/>
      <c r="P187" s="363"/>
      <c r="Q187" s="5"/>
      <c r="R187" s="5"/>
      <c r="S187" s="5"/>
      <c r="T187" s="5"/>
      <c r="U187" s="5"/>
      <c r="V187" s="557">
        <f t="shared" si="37"/>
        <v>0</v>
      </c>
      <c r="W187" s="5"/>
      <c r="X187" s="362"/>
      <c r="Y187" s="364" t="s">
        <v>177</v>
      </c>
      <c r="Z187" s="5"/>
      <c r="AA187" s="5"/>
      <c r="AB187" s="392"/>
      <c r="AC187" s="5"/>
      <c r="AD187" s="5"/>
      <c r="AE187" s="363"/>
      <c r="AF187" s="557" t="str">
        <f t="shared" si="38"/>
        <v/>
      </c>
      <c r="AG187" s="557" t="str">
        <f t="shared" si="39"/>
        <v/>
      </c>
      <c r="AH187" s="589"/>
      <c r="AK187" s="107" t="s">
        <v>216</v>
      </c>
      <c r="AL187" s="387">
        <f t="shared" si="32"/>
        <v>0</v>
      </c>
      <c r="AM187" s="387">
        <f t="shared" si="33"/>
        <v>0</v>
      </c>
    </row>
    <row r="188" spans="1:39" s="391" customFormat="1" ht="71" hidden="1" customHeight="1" outlineLevel="3">
      <c r="A188" s="722"/>
      <c r="B188" s="733"/>
      <c r="C188" s="785"/>
      <c r="D188" s="786"/>
      <c r="E188" s="762" t="s">
        <v>244</v>
      </c>
      <c r="F188" s="763"/>
      <c r="G188" s="550"/>
      <c r="H188" s="551" t="str">
        <f t="shared" si="35"/>
        <v/>
      </c>
      <c r="I188" s="550"/>
      <c r="J188" s="550"/>
      <c r="K188" s="540" t="str">
        <f t="shared" si="36"/>
        <v/>
      </c>
      <c r="L188" s="362"/>
      <c r="M188" s="544" t="b">
        <v>0</v>
      </c>
      <c r="N188" s="544" t="b">
        <v>0</v>
      </c>
      <c r="O188" s="402"/>
      <c r="P188" s="363"/>
      <c r="Q188" s="539"/>
      <c r="R188" s="539"/>
      <c r="S188" s="539"/>
      <c r="T188" s="539"/>
      <c r="U188" s="539"/>
      <c r="V188" s="540">
        <f t="shared" si="37"/>
        <v>0</v>
      </c>
      <c r="W188" s="539"/>
      <c r="X188" s="362"/>
      <c r="Y188" s="364" t="s">
        <v>177</v>
      </c>
      <c r="Z188" s="5"/>
      <c r="AA188" s="5"/>
      <c r="AB188" s="392"/>
      <c r="AC188" s="539"/>
      <c r="AD188" s="539"/>
      <c r="AE188" s="363"/>
      <c r="AF188" s="540" t="str">
        <f t="shared" si="38"/>
        <v/>
      </c>
      <c r="AG188" s="540" t="str">
        <f t="shared" si="39"/>
        <v/>
      </c>
      <c r="AH188" s="589"/>
      <c r="AK188" s="107" t="s">
        <v>216</v>
      </c>
      <c r="AL188" s="387">
        <f t="shared" si="32"/>
        <v>0</v>
      </c>
      <c r="AM188" s="387">
        <f t="shared" si="33"/>
        <v>0</v>
      </c>
    </row>
    <row r="189" spans="1:39" s="391" customFormat="1" ht="39" hidden="1" customHeight="1" outlineLevel="3">
      <c r="A189" s="722"/>
      <c r="B189" s="733"/>
      <c r="C189" s="785"/>
      <c r="D189" s="740" t="s">
        <v>269</v>
      </c>
      <c r="E189" s="741"/>
      <c r="F189" s="742"/>
      <c r="G189" s="836"/>
      <c r="H189" s="838" t="str">
        <f t="shared" si="35"/>
        <v/>
      </c>
      <c r="I189" s="836"/>
      <c r="J189" s="836"/>
      <c r="K189" s="712" t="str">
        <f>IF(SUM(I189:J190)=0,"",SUM(I189:J190))</f>
        <v/>
      </c>
      <c r="L189" s="362"/>
      <c r="M189" s="808" t="b">
        <v>0</v>
      </c>
      <c r="N189" s="544" t="b">
        <v>0</v>
      </c>
      <c r="O189" s="402"/>
      <c r="P189" s="363"/>
      <c r="Q189" s="710"/>
      <c r="R189" s="710"/>
      <c r="S189" s="710"/>
      <c r="T189" s="710"/>
      <c r="U189" s="710"/>
      <c r="V189" s="712">
        <f t="shared" si="37"/>
        <v>0</v>
      </c>
      <c r="W189" s="710"/>
      <c r="X189" s="362"/>
      <c r="Y189" s="364" t="s">
        <v>181</v>
      </c>
      <c r="Z189" s="5"/>
      <c r="AA189" s="5"/>
      <c r="AB189" s="392"/>
      <c r="AC189" s="710"/>
      <c r="AD189" s="710"/>
      <c r="AE189" s="363"/>
      <c r="AF189" s="712" t="str">
        <f t="shared" ref="AF189:AF199" si="40">IF(G189="","",IF(AND(V189="",Z189="",Z190="",AC189=""),"Missing Info",IF(G189-V189-Z189-Z190+AC189=0,"OK","Review financial exposure")))</f>
        <v/>
      </c>
      <c r="AG189" s="712" t="str">
        <f>IF(K189="","",IF(AND(W189="",AA189="",AA190="",AD189=""),"Missing Info",IF(K189-W189-AA189-AA190+AD189=0,"OK","Review emissions")))</f>
        <v/>
      </c>
      <c r="AH189" s="589"/>
      <c r="AK189" s="107" t="s">
        <v>218</v>
      </c>
      <c r="AL189" s="387">
        <f t="shared" si="32"/>
        <v>0</v>
      </c>
      <c r="AM189" s="387">
        <f t="shared" si="33"/>
        <v>0</v>
      </c>
    </row>
    <row r="190" spans="1:39" s="391" customFormat="1" ht="39" hidden="1" customHeight="1" outlineLevel="3">
      <c r="A190" s="722"/>
      <c r="B190" s="733"/>
      <c r="C190" s="785"/>
      <c r="D190" s="743"/>
      <c r="E190" s="744"/>
      <c r="F190" s="745"/>
      <c r="G190" s="837"/>
      <c r="H190" s="839"/>
      <c r="I190" s="837"/>
      <c r="J190" s="837"/>
      <c r="K190" s="713"/>
      <c r="L190" s="362"/>
      <c r="M190" s="809"/>
      <c r="N190" s="544" t="b">
        <v>0</v>
      </c>
      <c r="O190" s="402"/>
      <c r="P190" s="363"/>
      <c r="Q190" s="711"/>
      <c r="R190" s="711"/>
      <c r="S190" s="711"/>
      <c r="T190" s="711"/>
      <c r="U190" s="711"/>
      <c r="V190" s="713">
        <f t="shared" si="37"/>
        <v>0</v>
      </c>
      <c r="W190" s="711"/>
      <c r="X190" s="362"/>
      <c r="Y190" s="364" t="s">
        <v>183</v>
      </c>
      <c r="Z190" s="5"/>
      <c r="AA190" s="5"/>
      <c r="AB190" s="392"/>
      <c r="AC190" s="711"/>
      <c r="AD190" s="711"/>
      <c r="AE190" s="363"/>
      <c r="AF190" s="713"/>
      <c r="AG190" s="713"/>
      <c r="AH190" s="589"/>
      <c r="AK190" s="107" t="s">
        <v>218</v>
      </c>
      <c r="AL190" s="387">
        <f t="shared" si="32"/>
        <v>0</v>
      </c>
      <c r="AM190" s="387">
        <f t="shared" si="33"/>
        <v>0</v>
      </c>
    </row>
    <row r="191" spans="1:39" s="391" customFormat="1" ht="66" hidden="1" customHeight="1" outlineLevel="3">
      <c r="A191" s="722"/>
      <c r="B191" s="733"/>
      <c r="C191" s="785"/>
      <c r="D191" s="784" t="s">
        <v>184</v>
      </c>
      <c r="E191" s="784" t="s">
        <v>231</v>
      </c>
      <c r="F191" s="784" t="s">
        <v>242</v>
      </c>
      <c r="G191" s="836"/>
      <c r="H191" s="838" t="str">
        <f>IF(G191="","",G191/$G$238)</f>
        <v/>
      </c>
      <c r="I191" s="836"/>
      <c r="J191" s="836"/>
      <c r="K191" s="712" t="str">
        <f>IF(SUM(I191:J192)=0,"",SUM(I191:J192))</f>
        <v/>
      </c>
      <c r="L191" s="362"/>
      <c r="M191" s="808" t="b">
        <v>0</v>
      </c>
      <c r="N191" s="544" t="b">
        <v>0</v>
      </c>
      <c r="O191" s="402"/>
      <c r="P191" s="363"/>
      <c r="Q191" s="710"/>
      <c r="R191" s="710"/>
      <c r="S191" s="710"/>
      <c r="T191" s="710"/>
      <c r="U191" s="710"/>
      <c r="V191" s="712">
        <f t="shared" si="37"/>
        <v>0</v>
      </c>
      <c r="W191" s="710"/>
      <c r="X191" s="362"/>
      <c r="Y191" s="364" t="s">
        <v>262</v>
      </c>
      <c r="Z191" s="5"/>
      <c r="AA191" s="5"/>
      <c r="AB191" s="392"/>
      <c r="AC191" s="710"/>
      <c r="AD191" s="710"/>
      <c r="AE191" s="363"/>
      <c r="AF191" s="712" t="str">
        <f t="shared" si="40"/>
        <v/>
      </c>
      <c r="AG191" s="712" t="str">
        <f>IF(K191="","",IF(AND(W191="",AA191="",AA192="",AD191=""),"Missing Info",IF(K191-W191-AA191-AA192+AD191=0,"OK","Review emissions")))</f>
        <v/>
      </c>
      <c r="AH191" s="589"/>
      <c r="AK191" s="107" t="s">
        <v>218</v>
      </c>
      <c r="AL191" s="387">
        <f t="shared" si="32"/>
        <v>0</v>
      </c>
      <c r="AM191" s="387">
        <f t="shared" si="33"/>
        <v>0</v>
      </c>
    </row>
    <row r="192" spans="1:39" s="391" customFormat="1" ht="81" hidden="1" customHeight="1" outlineLevel="3">
      <c r="A192" s="722"/>
      <c r="B192" s="733"/>
      <c r="C192" s="785"/>
      <c r="D192" s="785"/>
      <c r="E192" s="786"/>
      <c r="F192" s="786"/>
      <c r="G192" s="837"/>
      <c r="H192" s="839"/>
      <c r="I192" s="837"/>
      <c r="J192" s="837"/>
      <c r="K192" s="713"/>
      <c r="L192" s="362"/>
      <c r="M192" s="809"/>
      <c r="N192" s="544" t="b">
        <v>0</v>
      </c>
      <c r="O192" s="402"/>
      <c r="P192" s="363"/>
      <c r="Q192" s="711"/>
      <c r="R192" s="711"/>
      <c r="S192" s="711"/>
      <c r="T192" s="711"/>
      <c r="U192" s="711"/>
      <c r="V192" s="713">
        <f t="shared" si="37"/>
        <v>0</v>
      </c>
      <c r="W192" s="711"/>
      <c r="X192" s="362"/>
      <c r="Y192" s="364" t="s">
        <v>183</v>
      </c>
      <c r="Z192" s="5"/>
      <c r="AA192" s="5"/>
      <c r="AB192" s="392"/>
      <c r="AC192" s="711"/>
      <c r="AD192" s="711"/>
      <c r="AE192" s="363"/>
      <c r="AF192" s="713"/>
      <c r="AG192" s="713"/>
      <c r="AH192" s="589"/>
      <c r="AK192" s="107" t="s">
        <v>218</v>
      </c>
      <c r="AL192" s="387">
        <f t="shared" si="32"/>
        <v>0</v>
      </c>
      <c r="AM192" s="387">
        <f t="shared" si="33"/>
        <v>0</v>
      </c>
    </row>
    <row r="193" spans="1:39" s="391" customFormat="1" ht="39" hidden="1" customHeight="1" outlineLevel="3">
      <c r="A193" s="722"/>
      <c r="B193" s="733"/>
      <c r="C193" s="785"/>
      <c r="D193" s="785"/>
      <c r="E193" s="764" t="s">
        <v>244</v>
      </c>
      <c r="F193" s="765"/>
      <c r="G193" s="836"/>
      <c r="H193" s="838" t="str">
        <f>IF(G193="","",G193/$G$238)</f>
        <v/>
      </c>
      <c r="I193" s="836"/>
      <c r="J193" s="836"/>
      <c r="K193" s="712" t="str">
        <f>IF(SUM(I193:J194)=0,"",SUM(I193:J194))</f>
        <v/>
      </c>
      <c r="L193" s="362"/>
      <c r="M193" s="808" t="b">
        <v>0</v>
      </c>
      <c r="N193" s="544" t="b">
        <v>0</v>
      </c>
      <c r="O193" s="402"/>
      <c r="P193" s="363"/>
      <c r="Q193" s="710"/>
      <c r="R193" s="710"/>
      <c r="S193" s="710"/>
      <c r="T193" s="710"/>
      <c r="U193" s="710"/>
      <c r="V193" s="712">
        <f t="shared" si="37"/>
        <v>0</v>
      </c>
      <c r="W193" s="710"/>
      <c r="X193" s="362"/>
      <c r="Y193" s="364" t="s">
        <v>262</v>
      </c>
      <c r="Z193" s="5"/>
      <c r="AA193" s="5"/>
      <c r="AB193" s="392"/>
      <c r="AC193" s="710"/>
      <c r="AD193" s="710"/>
      <c r="AE193" s="363"/>
      <c r="AF193" s="712" t="str">
        <f t="shared" si="40"/>
        <v/>
      </c>
      <c r="AG193" s="712" t="str">
        <f>IF(K193="","",IF(AND(W193="",AA193="",AA194="",AD193=""),"Missing Info",IF(K193-W193-AA193-AA194+AD193=0,"OK","Review emissions")))</f>
        <v/>
      </c>
      <c r="AH193" s="589"/>
      <c r="AK193" s="107" t="s">
        <v>218</v>
      </c>
      <c r="AL193" s="387">
        <f t="shared" si="32"/>
        <v>0</v>
      </c>
      <c r="AM193" s="387">
        <f t="shared" si="33"/>
        <v>0</v>
      </c>
    </row>
    <row r="194" spans="1:39" s="391" customFormat="1" ht="39" hidden="1" customHeight="1" outlineLevel="3">
      <c r="A194" s="722"/>
      <c r="B194" s="733"/>
      <c r="C194" s="785"/>
      <c r="D194" s="786"/>
      <c r="E194" s="766"/>
      <c r="F194" s="767"/>
      <c r="G194" s="837"/>
      <c r="H194" s="839"/>
      <c r="I194" s="837"/>
      <c r="J194" s="837"/>
      <c r="K194" s="713"/>
      <c r="L194" s="362"/>
      <c r="M194" s="809"/>
      <c r="N194" s="544" t="b">
        <v>0</v>
      </c>
      <c r="O194" s="402"/>
      <c r="P194" s="363"/>
      <c r="Q194" s="711"/>
      <c r="R194" s="711"/>
      <c r="S194" s="711"/>
      <c r="T194" s="711"/>
      <c r="U194" s="711"/>
      <c r="V194" s="713">
        <f t="shared" si="37"/>
        <v>0</v>
      </c>
      <c r="W194" s="711"/>
      <c r="X194" s="362"/>
      <c r="Y194" s="364" t="s">
        <v>183</v>
      </c>
      <c r="Z194" s="5"/>
      <c r="AA194" s="5"/>
      <c r="AB194" s="392"/>
      <c r="AC194" s="711"/>
      <c r="AD194" s="711"/>
      <c r="AE194" s="363"/>
      <c r="AF194" s="713"/>
      <c r="AG194" s="713"/>
      <c r="AH194" s="589"/>
      <c r="AK194" s="107" t="s">
        <v>218</v>
      </c>
      <c r="AL194" s="387">
        <f t="shared" si="32"/>
        <v>0</v>
      </c>
      <c r="AM194" s="387">
        <f t="shared" si="33"/>
        <v>0</v>
      </c>
    </row>
    <row r="195" spans="1:39" s="391" customFormat="1" ht="39" hidden="1" customHeight="1" outlineLevel="3">
      <c r="A195" s="722"/>
      <c r="B195" s="733"/>
      <c r="C195" s="785"/>
      <c r="D195" s="740" t="s">
        <v>219</v>
      </c>
      <c r="E195" s="741"/>
      <c r="F195" s="742"/>
      <c r="G195" s="836"/>
      <c r="H195" s="838" t="str">
        <f>IF(G195="","",G195/$G$238)</f>
        <v/>
      </c>
      <c r="I195" s="836"/>
      <c r="J195" s="836"/>
      <c r="K195" s="712" t="str">
        <f>IF(SUM(I195:J196)=0,"",SUM(I195:J196))</f>
        <v/>
      </c>
      <c r="L195" s="362"/>
      <c r="M195" s="808" t="b">
        <v>0</v>
      </c>
      <c r="N195" s="544" t="b">
        <v>0</v>
      </c>
      <c r="O195" s="402"/>
      <c r="P195" s="363"/>
      <c r="Q195" s="710"/>
      <c r="R195" s="710"/>
      <c r="S195" s="710"/>
      <c r="T195" s="710"/>
      <c r="U195" s="710"/>
      <c r="V195" s="712">
        <f t="shared" si="37"/>
        <v>0</v>
      </c>
      <c r="W195" s="710"/>
      <c r="X195" s="362"/>
      <c r="Y195" s="364" t="s">
        <v>186</v>
      </c>
      <c r="Z195" s="5"/>
      <c r="AA195" s="5"/>
      <c r="AB195" s="392"/>
      <c r="AC195" s="710"/>
      <c r="AD195" s="710"/>
      <c r="AE195" s="363"/>
      <c r="AF195" s="712" t="str">
        <f t="shared" si="40"/>
        <v/>
      </c>
      <c r="AG195" s="712" t="str">
        <f>IF(K195="","",IF(AND(W195="",AA195="",AA196="",AD195=""),"Missing Info",IF(K195-W195-AA195-AA196+AD195=0,"OK","Review emissions")))</f>
        <v/>
      </c>
      <c r="AH195" s="589"/>
      <c r="AK195" s="107" t="s">
        <v>220</v>
      </c>
      <c r="AL195" s="387">
        <f t="shared" si="32"/>
        <v>0</v>
      </c>
      <c r="AM195" s="387">
        <f t="shared" si="33"/>
        <v>0</v>
      </c>
    </row>
    <row r="196" spans="1:39" s="391" customFormat="1" ht="39" hidden="1" customHeight="1" outlineLevel="3">
      <c r="A196" s="722"/>
      <c r="B196" s="733"/>
      <c r="C196" s="785"/>
      <c r="D196" s="743"/>
      <c r="E196" s="744"/>
      <c r="F196" s="745"/>
      <c r="G196" s="837"/>
      <c r="H196" s="839"/>
      <c r="I196" s="837"/>
      <c r="J196" s="837"/>
      <c r="K196" s="713"/>
      <c r="L196" s="362"/>
      <c r="M196" s="809"/>
      <c r="N196" s="544" t="b">
        <v>0</v>
      </c>
      <c r="O196" s="402"/>
      <c r="P196" s="363"/>
      <c r="Q196" s="711"/>
      <c r="R196" s="711"/>
      <c r="S196" s="711"/>
      <c r="T196" s="711"/>
      <c r="U196" s="711"/>
      <c r="V196" s="713">
        <f t="shared" si="37"/>
        <v>0</v>
      </c>
      <c r="W196" s="711"/>
      <c r="X196" s="362"/>
      <c r="Y196" s="364" t="s">
        <v>188</v>
      </c>
      <c r="Z196" s="5"/>
      <c r="AA196" s="5"/>
      <c r="AB196" s="392"/>
      <c r="AC196" s="711"/>
      <c r="AD196" s="711"/>
      <c r="AE196" s="363"/>
      <c r="AF196" s="713"/>
      <c r="AG196" s="713"/>
      <c r="AH196" s="589"/>
      <c r="AK196" s="107" t="s">
        <v>220</v>
      </c>
      <c r="AL196" s="387">
        <f t="shared" si="32"/>
        <v>0</v>
      </c>
      <c r="AM196" s="387">
        <f t="shared" si="33"/>
        <v>0</v>
      </c>
    </row>
    <row r="197" spans="1:39" s="391" customFormat="1" ht="65" hidden="1" customHeight="1" outlineLevel="3">
      <c r="A197" s="722"/>
      <c r="B197" s="733"/>
      <c r="C197" s="785"/>
      <c r="D197" s="784" t="s">
        <v>189</v>
      </c>
      <c r="E197" s="784" t="s">
        <v>231</v>
      </c>
      <c r="F197" s="784" t="s">
        <v>242</v>
      </c>
      <c r="G197" s="836"/>
      <c r="H197" s="838" t="str">
        <f>IF(G197="","",G197/$G$238)</f>
        <v/>
      </c>
      <c r="I197" s="836"/>
      <c r="J197" s="836"/>
      <c r="K197" s="712" t="str">
        <f>IF(SUM(I197:J198)=0,"",SUM(I197:J198))</f>
        <v/>
      </c>
      <c r="L197" s="362"/>
      <c r="M197" s="808" t="b">
        <v>0</v>
      </c>
      <c r="N197" s="544" t="b">
        <v>0</v>
      </c>
      <c r="O197" s="402"/>
      <c r="P197" s="363"/>
      <c r="Q197" s="710"/>
      <c r="R197" s="710"/>
      <c r="S197" s="710"/>
      <c r="T197" s="710"/>
      <c r="U197" s="710"/>
      <c r="V197" s="712">
        <f t="shared" si="37"/>
        <v>0</v>
      </c>
      <c r="W197" s="710"/>
      <c r="X197" s="362"/>
      <c r="Y197" s="364" t="s">
        <v>186</v>
      </c>
      <c r="Z197" s="5"/>
      <c r="AA197" s="5"/>
      <c r="AB197" s="392"/>
      <c r="AC197" s="710"/>
      <c r="AD197" s="710"/>
      <c r="AE197" s="363"/>
      <c r="AF197" s="712" t="str">
        <f t="shared" si="40"/>
        <v/>
      </c>
      <c r="AG197" s="712" t="str">
        <f>IF(K197="","",IF(AND(W197="",AA197="",AA198="",AD197=""),"Missing Info",IF(K197-W197-AA197-AA198+AD197=0,"OK","Review emissions")))</f>
        <v/>
      </c>
      <c r="AH197" s="589"/>
      <c r="AK197" s="107" t="s">
        <v>220</v>
      </c>
      <c r="AL197" s="387">
        <f t="shared" si="32"/>
        <v>0</v>
      </c>
      <c r="AM197" s="387">
        <f t="shared" si="33"/>
        <v>0</v>
      </c>
    </row>
    <row r="198" spans="1:39" s="391" customFormat="1" ht="93" hidden="1" customHeight="1" outlineLevel="3">
      <c r="A198" s="722"/>
      <c r="B198" s="733"/>
      <c r="C198" s="785"/>
      <c r="D198" s="785"/>
      <c r="E198" s="786"/>
      <c r="F198" s="786"/>
      <c r="G198" s="837"/>
      <c r="H198" s="839"/>
      <c r="I198" s="837"/>
      <c r="J198" s="837"/>
      <c r="K198" s="713"/>
      <c r="L198" s="362"/>
      <c r="M198" s="809"/>
      <c r="N198" s="544" t="b">
        <v>0</v>
      </c>
      <c r="O198" s="402"/>
      <c r="P198" s="363"/>
      <c r="Q198" s="711"/>
      <c r="R198" s="711"/>
      <c r="S198" s="711"/>
      <c r="T198" s="711"/>
      <c r="U198" s="711"/>
      <c r="V198" s="713">
        <f t="shared" si="37"/>
        <v>0</v>
      </c>
      <c r="W198" s="711"/>
      <c r="X198" s="362"/>
      <c r="Y198" s="364" t="s">
        <v>188</v>
      </c>
      <c r="Z198" s="5"/>
      <c r="AA198" s="5"/>
      <c r="AB198" s="392"/>
      <c r="AC198" s="711"/>
      <c r="AD198" s="711"/>
      <c r="AE198" s="363"/>
      <c r="AF198" s="713"/>
      <c r="AG198" s="713"/>
      <c r="AH198" s="589"/>
      <c r="AK198" s="107" t="s">
        <v>220</v>
      </c>
      <c r="AL198" s="387">
        <f t="shared" si="32"/>
        <v>0</v>
      </c>
      <c r="AM198" s="387">
        <f t="shared" si="33"/>
        <v>0</v>
      </c>
    </row>
    <row r="199" spans="1:39" s="391" customFormat="1" ht="39" hidden="1" customHeight="1" outlineLevel="3">
      <c r="A199" s="722"/>
      <c r="B199" s="733"/>
      <c r="C199" s="785"/>
      <c r="D199" s="785"/>
      <c r="E199" s="764" t="s">
        <v>244</v>
      </c>
      <c r="F199" s="765"/>
      <c r="G199" s="836"/>
      <c r="H199" s="838" t="str">
        <f>IF(G199="","",G199/$G$238)</f>
        <v/>
      </c>
      <c r="I199" s="836"/>
      <c r="J199" s="836"/>
      <c r="K199" s="712" t="str">
        <f>IF(SUM(I199:J200)=0,"",SUM(I199:J200))</f>
        <v/>
      </c>
      <c r="L199" s="362"/>
      <c r="M199" s="808" t="b">
        <v>0</v>
      </c>
      <c r="N199" s="544" t="b">
        <v>0</v>
      </c>
      <c r="O199" s="402"/>
      <c r="P199" s="363"/>
      <c r="Q199" s="710"/>
      <c r="R199" s="710"/>
      <c r="S199" s="710"/>
      <c r="T199" s="710"/>
      <c r="U199" s="710"/>
      <c r="V199" s="712">
        <f t="shared" si="37"/>
        <v>0</v>
      </c>
      <c r="W199" s="710"/>
      <c r="X199" s="362"/>
      <c r="Y199" s="364" t="s">
        <v>186</v>
      </c>
      <c r="Z199" s="5"/>
      <c r="AA199" s="5"/>
      <c r="AB199" s="392"/>
      <c r="AC199" s="710"/>
      <c r="AD199" s="710"/>
      <c r="AE199" s="363"/>
      <c r="AF199" s="712" t="str">
        <f t="shared" si="40"/>
        <v/>
      </c>
      <c r="AG199" s="712" t="str">
        <f>IF(K199="","",IF(AND(W199="",AA199="",AA200="",AD199=""),"Missing Info",IF(K199-W199-AA199-AA200+AD199=0,"OK","Review emissions")))</f>
        <v/>
      </c>
      <c r="AH199" s="589"/>
      <c r="AK199" s="107" t="s">
        <v>220</v>
      </c>
      <c r="AL199" s="387">
        <f t="shared" si="32"/>
        <v>0</v>
      </c>
      <c r="AM199" s="387">
        <f t="shared" si="33"/>
        <v>0</v>
      </c>
    </row>
    <row r="200" spans="1:39" s="391" customFormat="1" ht="39" hidden="1" customHeight="1" outlineLevel="3">
      <c r="A200" s="722"/>
      <c r="B200" s="733"/>
      <c r="C200" s="786"/>
      <c r="D200" s="786"/>
      <c r="E200" s="766"/>
      <c r="F200" s="767"/>
      <c r="G200" s="837"/>
      <c r="H200" s="839"/>
      <c r="I200" s="837"/>
      <c r="J200" s="837"/>
      <c r="K200" s="713"/>
      <c r="L200" s="362"/>
      <c r="M200" s="809"/>
      <c r="N200" s="544" t="b">
        <v>0</v>
      </c>
      <c r="O200" s="402"/>
      <c r="P200" s="363"/>
      <c r="Q200" s="711"/>
      <c r="R200" s="711"/>
      <c r="S200" s="711"/>
      <c r="T200" s="711"/>
      <c r="U200" s="711"/>
      <c r="V200" s="713">
        <f t="shared" si="37"/>
        <v>0</v>
      </c>
      <c r="W200" s="711"/>
      <c r="X200" s="362"/>
      <c r="Y200" s="364" t="s">
        <v>188</v>
      </c>
      <c r="Z200" s="5"/>
      <c r="AA200" s="5"/>
      <c r="AB200" s="392"/>
      <c r="AC200" s="711"/>
      <c r="AD200" s="711"/>
      <c r="AE200" s="363"/>
      <c r="AF200" s="713"/>
      <c r="AG200" s="713"/>
      <c r="AH200" s="589"/>
      <c r="AK200" s="107" t="s">
        <v>220</v>
      </c>
      <c r="AL200" s="387">
        <f t="shared" si="32"/>
        <v>0</v>
      </c>
      <c r="AM200" s="387">
        <f t="shared" si="33"/>
        <v>0</v>
      </c>
    </row>
    <row r="201" spans="1:39" s="391" customFormat="1" ht="39" hidden="1" customHeight="1" outlineLevel="3">
      <c r="A201" s="722"/>
      <c r="B201" s="733"/>
      <c r="C201" s="784" t="s">
        <v>190</v>
      </c>
      <c r="D201" s="737" t="s">
        <v>270</v>
      </c>
      <c r="E201" s="738"/>
      <c r="F201" s="739"/>
      <c r="G201" s="550"/>
      <c r="H201" s="388" t="str">
        <f t="shared" ref="H201:H207" si="41">IF(G201="","",G201/$G$238)</f>
        <v/>
      </c>
      <c r="I201" s="550"/>
      <c r="J201" s="550"/>
      <c r="K201" s="557" t="str">
        <f t="shared" ref="K201:K206" si="42">IF(SUM(I201:J201)=0,"",SUM(I201:J201))</f>
        <v/>
      </c>
      <c r="L201" s="362"/>
      <c r="M201" s="544" t="b">
        <v>0</v>
      </c>
      <c r="N201" s="544" t="b">
        <v>0</v>
      </c>
      <c r="O201" s="402"/>
      <c r="P201" s="363"/>
      <c r="Q201" s="5"/>
      <c r="R201" s="5"/>
      <c r="S201" s="5"/>
      <c r="T201" s="5"/>
      <c r="U201" s="5"/>
      <c r="V201" s="557">
        <f t="shared" si="37"/>
        <v>0</v>
      </c>
      <c r="W201" s="5"/>
      <c r="X201" s="362"/>
      <c r="Y201" s="364" t="s">
        <v>192</v>
      </c>
      <c r="Z201" s="5"/>
      <c r="AA201" s="5"/>
      <c r="AB201" s="392"/>
      <c r="AC201" s="5"/>
      <c r="AD201" s="5"/>
      <c r="AE201" s="363"/>
      <c r="AF201" s="557" t="str">
        <f t="shared" ref="AF201:AF206" si="43">IF(G201="","",IF(AND(V201="",Z201="",AC201=""),"Missing Info",IF(G201-V201-Z201+AC201=0,"OK","Review financial exposure")))</f>
        <v/>
      </c>
      <c r="AG201" s="557" t="str">
        <f t="shared" ref="AG201:AG206" si="44">IF(K201="","",IF(AND(W201="",AA201="",AD201=""),"Missing Info",IF(K201-W201-AA201+AD201=0,"OK","Review emissions")))</f>
        <v/>
      </c>
      <c r="AH201" s="589"/>
      <c r="AK201" s="107" t="s">
        <v>221</v>
      </c>
      <c r="AL201" s="387">
        <f t="shared" si="32"/>
        <v>0</v>
      </c>
      <c r="AM201" s="387">
        <f t="shared" si="33"/>
        <v>0</v>
      </c>
    </row>
    <row r="202" spans="1:39" s="391" customFormat="1" ht="151.25" hidden="1" customHeight="1" outlineLevel="3">
      <c r="A202" s="722"/>
      <c r="B202" s="733"/>
      <c r="C202" s="785"/>
      <c r="D202" s="784" t="s">
        <v>194</v>
      </c>
      <c r="E202" s="545" t="s">
        <v>231</v>
      </c>
      <c r="F202" s="545" t="s">
        <v>242</v>
      </c>
      <c r="G202" s="550"/>
      <c r="H202" s="388" t="str">
        <f t="shared" si="41"/>
        <v/>
      </c>
      <c r="I202" s="550"/>
      <c r="J202" s="550"/>
      <c r="K202" s="557" t="str">
        <f t="shared" si="42"/>
        <v/>
      </c>
      <c r="L202" s="362"/>
      <c r="M202" s="544" t="b">
        <v>0</v>
      </c>
      <c r="N202" s="544" t="b">
        <v>0</v>
      </c>
      <c r="O202" s="402"/>
      <c r="P202" s="363"/>
      <c r="Q202" s="5"/>
      <c r="R202" s="5"/>
      <c r="S202" s="5"/>
      <c r="T202" s="5"/>
      <c r="U202" s="5"/>
      <c r="V202" s="557">
        <f t="shared" si="37"/>
        <v>0</v>
      </c>
      <c r="W202" s="5"/>
      <c r="X202" s="362"/>
      <c r="Y202" s="364" t="s">
        <v>192</v>
      </c>
      <c r="Z202" s="5"/>
      <c r="AA202" s="5"/>
      <c r="AB202" s="392"/>
      <c r="AC202" s="5"/>
      <c r="AD202" s="5"/>
      <c r="AE202" s="363"/>
      <c r="AF202" s="557" t="str">
        <f t="shared" si="43"/>
        <v/>
      </c>
      <c r="AG202" s="557" t="str">
        <f t="shared" si="44"/>
        <v/>
      </c>
      <c r="AH202" s="589"/>
      <c r="AK202" s="107" t="s">
        <v>221</v>
      </c>
      <c r="AL202" s="387">
        <f t="shared" si="32"/>
        <v>0</v>
      </c>
      <c r="AM202" s="387">
        <f t="shared" si="33"/>
        <v>0</v>
      </c>
    </row>
    <row r="203" spans="1:39" s="391" customFormat="1" ht="62" hidden="1" customHeight="1" outlineLevel="3">
      <c r="A203" s="722"/>
      <c r="B203" s="733"/>
      <c r="C203" s="785"/>
      <c r="D203" s="786"/>
      <c r="E203" s="762" t="s">
        <v>244</v>
      </c>
      <c r="F203" s="763"/>
      <c r="G203" s="550"/>
      <c r="H203" s="388" t="str">
        <f t="shared" si="41"/>
        <v/>
      </c>
      <c r="I203" s="550"/>
      <c r="J203" s="550"/>
      <c r="K203" s="557" t="str">
        <f t="shared" si="42"/>
        <v/>
      </c>
      <c r="L203" s="362"/>
      <c r="M203" s="544" t="b">
        <v>0</v>
      </c>
      <c r="N203" s="544" t="b">
        <v>0</v>
      </c>
      <c r="O203" s="402"/>
      <c r="P203" s="363"/>
      <c r="Q203" s="5"/>
      <c r="R203" s="5"/>
      <c r="S203" s="5"/>
      <c r="T203" s="5"/>
      <c r="U203" s="5"/>
      <c r="V203" s="557">
        <f t="shared" si="37"/>
        <v>0</v>
      </c>
      <c r="W203" s="5"/>
      <c r="X203" s="362"/>
      <c r="Y203" s="364" t="s">
        <v>192</v>
      </c>
      <c r="Z203" s="5"/>
      <c r="AA203" s="5"/>
      <c r="AB203" s="392"/>
      <c r="AC203" s="5"/>
      <c r="AD203" s="5"/>
      <c r="AE203" s="363"/>
      <c r="AF203" s="557" t="str">
        <f t="shared" si="43"/>
        <v/>
      </c>
      <c r="AG203" s="557" t="str">
        <f t="shared" si="44"/>
        <v/>
      </c>
      <c r="AH203" s="589"/>
      <c r="AK203" s="107" t="s">
        <v>221</v>
      </c>
      <c r="AL203" s="387">
        <f t="shared" si="32"/>
        <v>0</v>
      </c>
      <c r="AM203" s="387">
        <f t="shared" si="33"/>
        <v>0</v>
      </c>
    </row>
    <row r="204" spans="1:39" s="391" customFormat="1" ht="57" hidden="1" customHeight="1" outlineLevel="3">
      <c r="A204" s="722"/>
      <c r="B204" s="733"/>
      <c r="C204" s="785"/>
      <c r="D204" s="737" t="s">
        <v>271</v>
      </c>
      <c r="E204" s="738"/>
      <c r="F204" s="739"/>
      <c r="G204" s="550"/>
      <c r="H204" s="388" t="str">
        <f t="shared" si="41"/>
        <v/>
      </c>
      <c r="I204" s="550"/>
      <c r="J204" s="550"/>
      <c r="K204" s="557" t="str">
        <f t="shared" si="42"/>
        <v/>
      </c>
      <c r="L204" s="362"/>
      <c r="M204" s="544" t="b">
        <v>0</v>
      </c>
      <c r="N204" s="544" t="b">
        <v>0</v>
      </c>
      <c r="O204" s="402"/>
      <c r="P204" s="363"/>
      <c r="Q204" s="5"/>
      <c r="R204" s="5"/>
      <c r="S204" s="5"/>
      <c r="T204" s="5"/>
      <c r="U204" s="5"/>
      <c r="V204" s="557">
        <f t="shared" si="37"/>
        <v>0</v>
      </c>
      <c r="W204" s="5"/>
      <c r="X204" s="362"/>
      <c r="Y204" s="364" t="s">
        <v>196</v>
      </c>
      <c r="Z204" s="5"/>
      <c r="AA204" s="5"/>
      <c r="AB204" s="392"/>
      <c r="AC204" s="5"/>
      <c r="AD204" s="5"/>
      <c r="AE204" s="363"/>
      <c r="AF204" s="557" t="str">
        <f t="shared" si="43"/>
        <v/>
      </c>
      <c r="AG204" s="557" t="str">
        <f t="shared" si="44"/>
        <v/>
      </c>
      <c r="AH204" s="589"/>
      <c r="AK204" s="107" t="s">
        <v>222</v>
      </c>
      <c r="AL204" s="387">
        <f t="shared" si="32"/>
        <v>0</v>
      </c>
      <c r="AM204" s="387">
        <f t="shared" si="33"/>
        <v>0</v>
      </c>
    </row>
    <row r="205" spans="1:39" s="391" customFormat="1" ht="157.25" hidden="1" customHeight="1" outlineLevel="3">
      <c r="A205" s="722"/>
      <c r="B205" s="733"/>
      <c r="C205" s="785"/>
      <c r="D205" s="784" t="s">
        <v>198</v>
      </c>
      <c r="E205" s="545" t="s">
        <v>231</v>
      </c>
      <c r="F205" s="545" t="s">
        <v>242</v>
      </c>
      <c r="G205" s="550"/>
      <c r="H205" s="388" t="str">
        <f t="shared" si="41"/>
        <v/>
      </c>
      <c r="I205" s="550"/>
      <c r="J205" s="550"/>
      <c r="K205" s="557" t="str">
        <f t="shared" si="42"/>
        <v/>
      </c>
      <c r="L205" s="362"/>
      <c r="M205" s="544" t="b">
        <v>0</v>
      </c>
      <c r="N205" s="544" t="b">
        <v>0</v>
      </c>
      <c r="O205" s="402"/>
      <c r="P205" s="363"/>
      <c r="Q205" s="5"/>
      <c r="R205" s="5"/>
      <c r="S205" s="5"/>
      <c r="T205" s="5"/>
      <c r="U205" s="5"/>
      <c r="V205" s="557">
        <f t="shared" si="37"/>
        <v>0</v>
      </c>
      <c r="W205" s="5"/>
      <c r="X205" s="362"/>
      <c r="Y205" s="364" t="s">
        <v>196</v>
      </c>
      <c r="Z205" s="5"/>
      <c r="AA205" s="5"/>
      <c r="AB205" s="392"/>
      <c r="AC205" s="5"/>
      <c r="AD205" s="5"/>
      <c r="AE205" s="363"/>
      <c r="AF205" s="557" t="str">
        <f t="shared" si="43"/>
        <v/>
      </c>
      <c r="AG205" s="557" t="str">
        <f t="shared" si="44"/>
        <v/>
      </c>
      <c r="AH205" s="589"/>
      <c r="AK205" s="107" t="s">
        <v>222</v>
      </c>
      <c r="AL205" s="387">
        <f t="shared" si="32"/>
        <v>0</v>
      </c>
      <c r="AM205" s="387">
        <f t="shared" si="33"/>
        <v>0</v>
      </c>
    </row>
    <row r="206" spans="1:39" s="391" customFormat="1" ht="63" hidden="1" customHeight="1" outlineLevel="3">
      <c r="A206" s="722"/>
      <c r="B206" s="733"/>
      <c r="C206" s="785"/>
      <c r="D206" s="786"/>
      <c r="E206" s="762" t="s">
        <v>244</v>
      </c>
      <c r="F206" s="763"/>
      <c r="G206" s="550"/>
      <c r="H206" s="388" t="str">
        <f t="shared" si="41"/>
        <v/>
      </c>
      <c r="I206" s="550"/>
      <c r="J206" s="550"/>
      <c r="K206" s="557" t="str">
        <f t="shared" si="42"/>
        <v/>
      </c>
      <c r="L206" s="362"/>
      <c r="M206" s="544" t="b">
        <v>0</v>
      </c>
      <c r="N206" s="544" t="b">
        <v>0</v>
      </c>
      <c r="O206" s="402"/>
      <c r="P206" s="363"/>
      <c r="Q206" s="5"/>
      <c r="R206" s="5"/>
      <c r="S206" s="5"/>
      <c r="T206" s="5"/>
      <c r="U206" s="5"/>
      <c r="V206" s="557">
        <f t="shared" si="37"/>
        <v>0</v>
      </c>
      <c r="W206" s="5"/>
      <c r="X206" s="362"/>
      <c r="Y206" s="364" t="s">
        <v>196</v>
      </c>
      <c r="Z206" s="5"/>
      <c r="AA206" s="5"/>
      <c r="AB206" s="392"/>
      <c r="AC206" s="5"/>
      <c r="AD206" s="5"/>
      <c r="AE206" s="363"/>
      <c r="AF206" s="557" t="str">
        <f t="shared" si="43"/>
        <v/>
      </c>
      <c r="AG206" s="557" t="str">
        <f t="shared" si="44"/>
        <v/>
      </c>
      <c r="AH206" s="589"/>
      <c r="AK206" s="107" t="s">
        <v>222</v>
      </c>
      <c r="AL206" s="387">
        <f t="shared" si="32"/>
        <v>0</v>
      </c>
      <c r="AM206" s="387">
        <f t="shared" si="33"/>
        <v>0</v>
      </c>
    </row>
    <row r="207" spans="1:39" s="391" customFormat="1" ht="39" hidden="1" customHeight="1" outlineLevel="3">
      <c r="A207" s="722"/>
      <c r="B207" s="733"/>
      <c r="C207" s="784" t="s">
        <v>199</v>
      </c>
      <c r="D207" s="740" t="s">
        <v>272</v>
      </c>
      <c r="E207" s="741"/>
      <c r="F207" s="742"/>
      <c r="G207" s="836"/>
      <c r="H207" s="838" t="str">
        <f t="shared" si="41"/>
        <v/>
      </c>
      <c r="I207" s="836"/>
      <c r="J207" s="836"/>
      <c r="K207" s="712" t="str">
        <f>IF(SUM(I207:J208)=0,"",SUM(I207:J208))</f>
        <v/>
      </c>
      <c r="L207" s="362"/>
      <c r="M207" s="808" t="b">
        <v>0</v>
      </c>
      <c r="N207" s="544" t="b">
        <v>0</v>
      </c>
      <c r="O207" s="402"/>
      <c r="P207" s="363"/>
      <c r="Q207" s="710"/>
      <c r="R207" s="710"/>
      <c r="S207" s="710"/>
      <c r="T207" s="710"/>
      <c r="U207" s="710"/>
      <c r="V207" s="712">
        <f t="shared" si="37"/>
        <v>0</v>
      </c>
      <c r="W207" s="710"/>
      <c r="X207" s="362"/>
      <c r="Y207" s="364" t="s">
        <v>201</v>
      </c>
      <c r="Z207" s="5"/>
      <c r="AA207" s="5"/>
      <c r="AB207" s="392"/>
      <c r="AC207" s="710"/>
      <c r="AD207" s="710"/>
      <c r="AE207" s="363"/>
      <c r="AF207" s="712" t="str">
        <f t="shared" ref="AF207:AF211" si="45">IF(G207="","",IF(AND(V207="",Z207="",Z208="",AC207=""),"Missing Info",IF(G207-V207-Z207-Z208+AC207=0,"OK","Review financial exposure")))</f>
        <v/>
      </c>
      <c r="AG207" s="712" t="str">
        <f>IF(K207="","",IF(AND(W207="",AA207="",AA208="",AD207=""),"Missing Info",IF(K207-W207-AA207-AA208+AD207=0,"OK","Review emissions")))</f>
        <v/>
      </c>
      <c r="AH207" s="589"/>
      <c r="AK207" s="107" t="s">
        <v>223</v>
      </c>
      <c r="AL207" s="387">
        <f t="shared" si="32"/>
        <v>0</v>
      </c>
      <c r="AM207" s="387">
        <f t="shared" si="33"/>
        <v>0</v>
      </c>
    </row>
    <row r="208" spans="1:39" s="391" customFormat="1" ht="39" hidden="1" customHeight="1" outlineLevel="3">
      <c r="A208" s="722"/>
      <c r="B208" s="733"/>
      <c r="C208" s="785"/>
      <c r="D208" s="743"/>
      <c r="E208" s="744"/>
      <c r="F208" s="745"/>
      <c r="G208" s="837"/>
      <c r="H208" s="839"/>
      <c r="I208" s="837"/>
      <c r="J208" s="837"/>
      <c r="K208" s="713"/>
      <c r="L208" s="362"/>
      <c r="M208" s="809"/>
      <c r="N208" s="544" t="b">
        <v>0</v>
      </c>
      <c r="O208" s="402"/>
      <c r="P208" s="363"/>
      <c r="Q208" s="711"/>
      <c r="R208" s="711"/>
      <c r="S208" s="711"/>
      <c r="T208" s="711"/>
      <c r="U208" s="711"/>
      <c r="V208" s="713">
        <f t="shared" si="37"/>
        <v>0</v>
      </c>
      <c r="W208" s="711"/>
      <c r="X208" s="362"/>
      <c r="Y208" s="364" t="s">
        <v>203</v>
      </c>
      <c r="Z208" s="5"/>
      <c r="AA208" s="5"/>
      <c r="AB208" s="392"/>
      <c r="AC208" s="711"/>
      <c r="AD208" s="711"/>
      <c r="AE208" s="363"/>
      <c r="AF208" s="713"/>
      <c r="AG208" s="713"/>
      <c r="AH208" s="589"/>
      <c r="AK208" s="107" t="s">
        <v>223</v>
      </c>
      <c r="AL208" s="387">
        <f t="shared" si="32"/>
        <v>0</v>
      </c>
      <c r="AM208" s="387">
        <f t="shared" si="33"/>
        <v>0</v>
      </c>
    </row>
    <row r="209" spans="1:39" s="391" customFormat="1" ht="68" hidden="1" customHeight="1" outlineLevel="3">
      <c r="A209" s="722"/>
      <c r="B209" s="733"/>
      <c r="C209" s="785"/>
      <c r="D209" s="784" t="s">
        <v>204</v>
      </c>
      <c r="E209" s="784" t="s">
        <v>231</v>
      </c>
      <c r="F209" s="784" t="s">
        <v>242</v>
      </c>
      <c r="G209" s="836"/>
      <c r="H209" s="838" t="str">
        <f>IF(G209="","",G209/$G$238)</f>
        <v/>
      </c>
      <c r="I209" s="836"/>
      <c r="J209" s="836"/>
      <c r="K209" s="712" t="str">
        <f>IF(SUM(I209:J210)=0,"",SUM(I209:J210))</f>
        <v/>
      </c>
      <c r="L209" s="362"/>
      <c r="M209" s="808" t="b">
        <v>0</v>
      </c>
      <c r="N209" s="544" t="b">
        <v>0</v>
      </c>
      <c r="O209" s="402"/>
      <c r="P209" s="363"/>
      <c r="Q209" s="710"/>
      <c r="R209" s="710"/>
      <c r="S209" s="710"/>
      <c r="T209" s="710"/>
      <c r="U209" s="710"/>
      <c r="V209" s="712">
        <f t="shared" si="37"/>
        <v>0</v>
      </c>
      <c r="W209" s="710"/>
      <c r="X209" s="362"/>
      <c r="Y209" s="364" t="s">
        <v>201</v>
      </c>
      <c r="Z209" s="5"/>
      <c r="AA209" s="5"/>
      <c r="AB209" s="392"/>
      <c r="AC209" s="710"/>
      <c r="AD209" s="710"/>
      <c r="AE209" s="363"/>
      <c r="AF209" s="712" t="str">
        <f t="shared" si="45"/>
        <v/>
      </c>
      <c r="AG209" s="712" t="str">
        <f>IF(K209="","",IF(AND(W209="",AA209="",AA210="",AD209=""),"Missing Info",IF(K209-W209-AA209-AA210+AD209=0,"OK","Review emissions")))</f>
        <v/>
      </c>
      <c r="AH209" s="589"/>
      <c r="AK209" s="107" t="s">
        <v>223</v>
      </c>
      <c r="AL209" s="387">
        <f t="shared" si="32"/>
        <v>0</v>
      </c>
      <c r="AM209" s="387">
        <f t="shared" si="33"/>
        <v>0</v>
      </c>
    </row>
    <row r="210" spans="1:39" s="391" customFormat="1" ht="89" hidden="1" customHeight="1" outlineLevel="3">
      <c r="A210" s="722"/>
      <c r="B210" s="733"/>
      <c r="C210" s="785"/>
      <c r="D210" s="785"/>
      <c r="E210" s="786"/>
      <c r="F210" s="786"/>
      <c r="G210" s="837"/>
      <c r="H210" s="839"/>
      <c r="I210" s="837"/>
      <c r="J210" s="837"/>
      <c r="K210" s="713"/>
      <c r="L210" s="362"/>
      <c r="M210" s="809"/>
      <c r="N210" s="544" t="b">
        <v>0</v>
      </c>
      <c r="O210" s="402"/>
      <c r="P210" s="363"/>
      <c r="Q210" s="711"/>
      <c r="R210" s="711"/>
      <c r="S210" s="711"/>
      <c r="T210" s="711"/>
      <c r="U210" s="711"/>
      <c r="V210" s="713">
        <f t="shared" si="37"/>
        <v>0</v>
      </c>
      <c r="W210" s="711"/>
      <c r="X210" s="362"/>
      <c r="Y210" s="364" t="s">
        <v>203</v>
      </c>
      <c r="Z210" s="5"/>
      <c r="AA210" s="5"/>
      <c r="AB210" s="392"/>
      <c r="AC210" s="711"/>
      <c r="AD210" s="711"/>
      <c r="AE210" s="363"/>
      <c r="AF210" s="713"/>
      <c r="AG210" s="713"/>
      <c r="AH210" s="589"/>
      <c r="AK210" s="107" t="s">
        <v>223</v>
      </c>
      <c r="AL210" s="387">
        <f t="shared" si="32"/>
        <v>0</v>
      </c>
      <c r="AM210" s="387">
        <f t="shared" si="33"/>
        <v>0</v>
      </c>
    </row>
    <row r="211" spans="1:39" s="391" customFormat="1" ht="39" hidden="1" customHeight="1" outlineLevel="3">
      <c r="A211" s="722"/>
      <c r="B211" s="733"/>
      <c r="C211" s="785"/>
      <c r="D211" s="785"/>
      <c r="E211" s="764" t="s">
        <v>244</v>
      </c>
      <c r="F211" s="765"/>
      <c r="G211" s="836"/>
      <c r="H211" s="838"/>
      <c r="I211" s="836"/>
      <c r="J211" s="836"/>
      <c r="K211" s="712" t="str">
        <f>IF(SUM(I211:J212)=0,"",SUM(I211:J212))</f>
        <v/>
      </c>
      <c r="L211" s="362"/>
      <c r="M211" s="808" t="b">
        <v>0</v>
      </c>
      <c r="N211" s="544" t="b">
        <v>0</v>
      </c>
      <c r="O211" s="402"/>
      <c r="P211" s="363"/>
      <c r="Q211" s="710"/>
      <c r="R211" s="710"/>
      <c r="S211" s="710"/>
      <c r="T211" s="710"/>
      <c r="U211" s="710"/>
      <c r="V211" s="712">
        <f t="shared" si="37"/>
        <v>0</v>
      </c>
      <c r="W211" s="710"/>
      <c r="X211" s="362"/>
      <c r="Y211" s="364" t="s">
        <v>201</v>
      </c>
      <c r="Z211" s="5"/>
      <c r="AA211" s="5"/>
      <c r="AB211" s="392"/>
      <c r="AC211" s="710"/>
      <c r="AD211" s="710"/>
      <c r="AE211" s="363"/>
      <c r="AF211" s="712" t="str">
        <f t="shared" si="45"/>
        <v/>
      </c>
      <c r="AG211" s="712" t="str">
        <f>IF(K211="","",IF(AND(W211="",AA211="",AA212="",AD211=""),"Missing Info",IF(K211-W211-AA211-AA212+AD211=0,"OK","Review emissions")))</f>
        <v/>
      </c>
      <c r="AH211" s="589"/>
      <c r="AK211" s="107" t="s">
        <v>223</v>
      </c>
      <c r="AL211" s="387">
        <f t="shared" si="32"/>
        <v>0</v>
      </c>
      <c r="AM211" s="387">
        <f t="shared" si="33"/>
        <v>0</v>
      </c>
    </row>
    <row r="212" spans="1:39" s="391" customFormat="1" ht="39" hidden="1" customHeight="1" outlineLevel="3">
      <c r="A212" s="722"/>
      <c r="B212" s="733"/>
      <c r="C212" s="786"/>
      <c r="D212" s="786"/>
      <c r="E212" s="766"/>
      <c r="F212" s="767"/>
      <c r="G212" s="837"/>
      <c r="H212" s="839"/>
      <c r="I212" s="837"/>
      <c r="J212" s="837"/>
      <c r="K212" s="713"/>
      <c r="L212" s="362"/>
      <c r="M212" s="809"/>
      <c r="N212" s="544" t="b">
        <v>0</v>
      </c>
      <c r="O212" s="402"/>
      <c r="P212" s="363"/>
      <c r="Q212" s="711"/>
      <c r="R212" s="711"/>
      <c r="S212" s="711"/>
      <c r="T212" s="711"/>
      <c r="U212" s="711"/>
      <c r="V212" s="713">
        <f t="shared" si="37"/>
        <v>0</v>
      </c>
      <c r="W212" s="711"/>
      <c r="X212" s="362"/>
      <c r="Y212" s="364" t="s">
        <v>203</v>
      </c>
      <c r="Z212" s="5"/>
      <c r="AA212" s="5"/>
      <c r="AB212" s="392"/>
      <c r="AC212" s="711"/>
      <c r="AD212" s="711"/>
      <c r="AE212" s="363"/>
      <c r="AF212" s="713"/>
      <c r="AG212" s="713"/>
      <c r="AH212" s="589"/>
      <c r="AK212" s="107" t="s">
        <v>223</v>
      </c>
      <c r="AL212" s="387">
        <f t="shared" si="32"/>
        <v>0</v>
      </c>
      <c r="AM212" s="387">
        <f t="shared" si="33"/>
        <v>0</v>
      </c>
    </row>
    <row r="213" spans="1:39" s="391" customFormat="1" ht="39" hidden="1" customHeight="1" outlineLevel="3">
      <c r="A213" s="722"/>
      <c r="B213" s="733"/>
      <c r="C213" s="764" t="s">
        <v>16</v>
      </c>
      <c r="D213" s="737" t="s">
        <v>273</v>
      </c>
      <c r="E213" s="738"/>
      <c r="F213" s="739"/>
      <c r="G213" s="550"/>
      <c r="H213" s="388"/>
      <c r="I213" s="550"/>
      <c r="J213" s="550"/>
      <c r="K213" s="557"/>
      <c r="L213" s="362"/>
      <c r="M213" s="544" t="b">
        <v>0</v>
      </c>
      <c r="N213" s="544" t="b">
        <v>0</v>
      </c>
      <c r="O213" s="402"/>
      <c r="P213" s="363"/>
      <c r="Q213" s="5"/>
      <c r="R213" s="5"/>
      <c r="S213" s="5"/>
      <c r="T213" s="5"/>
      <c r="U213" s="5"/>
      <c r="V213" s="557">
        <f t="shared" si="37"/>
        <v>0</v>
      </c>
      <c r="W213" s="5"/>
      <c r="X213" s="362"/>
      <c r="Y213" s="364" t="s">
        <v>206</v>
      </c>
      <c r="Z213" s="5"/>
      <c r="AA213" s="5"/>
      <c r="AB213" s="392"/>
      <c r="AC213" s="5"/>
      <c r="AD213" s="5"/>
      <c r="AE213" s="363"/>
      <c r="AF213" s="557" t="str">
        <f t="shared" ref="AF213:AF223" si="46">IF(G213="","",IF(AND(V213="",Z213="",AC213=""),"Missing Info",IF(G213-V213-Z213+AC213=0,"OK","Review financial exposure")))</f>
        <v/>
      </c>
      <c r="AG213" s="557" t="str">
        <f t="shared" ref="AG213:AG223" si="47">IF(K213="","",IF(AND(W213="",AA213="",AD213=""),"Missing Info",IF(K213-W213-AA213+AD213=0,"OK","Review emissions")))</f>
        <v/>
      </c>
      <c r="AH213" s="589"/>
      <c r="AK213" s="107" t="s">
        <v>224</v>
      </c>
      <c r="AL213" s="387">
        <f t="shared" si="32"/>
        <v>0</v>
      </c>
      <c r="AM213" s="387">
        <f t="shared" si="33"/>
        <v>0</v>
      </c>
    </row>
    <row r="214" spans="1:39" s="391" customFormat="1" ht="155" hidden="1" customHeight="1" outlineLevel="3">
      <c r="A214" s="722"/>
      <c r="B214" s="733"/>
      <c r="C214" s="787"/>
      <c r="D214" s="784" t="s">
        <v>16</v>
      </c>
      <c r="E214" s="545" t="s">
        <v>231</v>
      </c>
      <c r="F214" s="545" t="s">
        <v>242</v>
      </c>
      <c r="G214" s="550"/>
      <c r="H214" s="388" t="str">
        <f t="shared" ref="H214:H233" si="48">IF(G214="","",G214/$G$238)</f>
        <v/>
      </c>
      <c r="I214" s="550"/>
      <c r="J214" s="550"/>
      <c r="K214" s="557" t="str">
        <f t="shared" ref="K214:K223" si="49">IF(SUM(I214:J214)=0,"",SUM(I214:J214))</f>
        <v/>
      </c>
      <c r="L214" s="362"/>
      <c r="M214" s="544" t="b">
        <v>0</v>
      </c>
      <c r="N214" s="544" t="b">
        <v>0</v>
      </c>
      <c r="O214" s="402"/>
      <c r="P214" s="363"/>
      <c r="Q214" s="5"/>
      <c r="R214" s="5"/>
      <c r="S214" s="5"/>
      <c r="T214" s="5"/>
      <c r="U214" s="5"/>
      <c r="V214" s="557">
        <f t="shared" si="37"/>
        <v>0</v>
      </c>
      <c r="W214" s="5"/>
      <c r="X214" s="362"/>
      <c r="Y214" s="364" t="s">
        <v>206</v>
      </c>
      <c r="Z214" s="5"/>
      <c r="AA214" s="5"/>
      <c r="AB214" s="392"/>
      <c r="AC214" s="5"/>
      <c r="AD214" s="5"/>
      <c r="AE214" s="363"/>
      <c r="AF214" s="557" t="str">
        <f t="shared" si="46"/>
        <v/>
      </c>
      <c r="AG214" s="557" t="str">
        <f t="shared" si="47"/>
        <v/>
      </c>
      <c r="AH214" s="589"/>
      <c r="AK214" s="107" t="s">
        <v>224</v>
      </c>
      <c r="AL214" s="387">
        <f t="shared" si="32"/>
        <v>0</v>
      </c>
      <c r="AM214" s="387">
        <f t="shared" si="33"/>
        <v>0</v>
      </c>
    </row>
    <row r="215" spans="1:39" s="391" customFormat="1" ht="56" hidden="1" customHeight="1" outlineLevel="3">
      <c r="A215" s="722"/>
      <c r="B215" s="733"/>
      <c r="C215" s="766"/>
      <c r="D215" s="786"/>
      <c r="E215" s="762" t="s">
        <v>244</v>
      </c>
      <c r="F215" s="763"/>
      <c r="G215" s="550"/>
      <c r="H215" s="388" t="str">
        <f t="shared" si="48"/>
        <v/>
      </c>
      <c r="I215" s="550"/>
      <c r="J215" s="550"/>
      <c r="K215" s="557" t="str">
        <f t="shared" si="49"/>
        <v/>
      </c>
      <c r="L215" s="362"/>
      <c r="M215" s="544" t="b">
        <v>0</v>
      </c>
      <c r="N215" s="544" t="b">
        <v>0</v>
      </c>
      <c r="O215" s="402"/>
      <c r="P215" s="363"/>
      <c r="Q215" s="5"/>
      <c r="R215" s="5"/>
      <c r="S215" s="5"/>
      <c r="T215" s="5"/>
      <c r="U215" s="5"/>
      <c r="V215" s="557">
        <f t="shared" si="37"/>
        <v>0</v>
      </c>
      <c r="W215" s="5"/>
      <c r="X215" s="362"/>
      <c r="Y215" s="364" t="s">
        <v>206</v>
      </c>
      <c r="Z215" s="5"/>
      <c r="AA215" s="5"/>
      <c r="AB215" s="392"/>
      <c r="AC215" s="5"/>
      <c r="AD215" s="5"/>
      <c r="AE215" s="363"/>
      <c r="AF215" s="557" t="str">
        <f t="shared" si="46"/>
        <v/>
      </c>
      <c r="AG215" s="557" t="str">
        <f t="shared" si="47"/>
        <v/>
      </c>
      <c r="AH215" s="589"/>
      <c r="AK215" s="107" t="s">
        <v>224</v>
      </c>
      <c r="AL215" s="387">
        <f t="shared" si="32"/>
        <v>0</v>
      </c>
      <c r="AM215" s="387">
        <f t="shared" si="33"/>
        <v>0</v>
      </c>
    </row>
    <row r="216" spans="1:39" s="391" customFormat="1" ht="39" hidden="1" customHeight="1" outlineLevel="3">
      <c r="A216" s="722"/>
      <c r="B216" s="733"/>
      <c r="C216" s="764" t="s">
        <v>208</v>
      </c>
      <c r="D216" s="737" t="s">
        <v>225</v>
      </c>
      <c r="E216" s="738"/>
      <c r="F216" s="739"/>
      <c r="G216" s="550"/>
      <c r="H216" s="388" t="str">
        <f t="shared" si="48"/>
        <v/>
      </c>
      <c r="I216" s="550"/>
      <c r="J216" s="550"/>
      <c r="K216" s="557" t="str">
        <f t="shared" si="49"/>
        <v/>
      </c>
      <c r="L216" s="362"/>
      <c r="M216" s="544" t="b">
        <v>0</v>
      </c>
      <c r="N216" s="544" t="b">
        <v>0</v>
      </c>
      <c r="O216" s="402"/>
      <c r="P216" s="363"/>
      <c r="Q216" s="5"/>
      <c r="R216" s="5"/>
      <c r="S216" s="5"/>
      <c r="T216" s="5"/>
      <c r="U216" s="5"/>
      <c r="V216" s="557">
        <f t="shared" si="37"/>
        <v>0</v>
      </c>
      <c r="W216" s="5"/>
      <c r="X216" s="362"/>
      <c r="Y216" s="394" t="s">
        <v>210</v>
      </c>
      <c r="Z216" s="5"/>
      <c r="AA216" s="5"/>
      <c r="AB216" s="392"/>
      <c r="AC216" s="5"/>
      <c r="AD216" s="5"/>
      <c r="AE216" s="363"/>
      <c r="AF216" s="557" t="str">
        <f t="shared" si="46"/>
        <v/>
      </c>
      <c r="AG216" s="557" t="str">
        <f t="shared" si="47"/>
        <v/>
      </c>
      <c r="AH216" s="589"/>
      <c r="AK216" s="107" t="s">
        <v>226</v>
      </c>
      <c r="AL216" s="387">
        <f t="shared" si="32"/>
        <v>0</v>
      </c>
      <c r="AM216" s="387">
        <f t="shared" si="33"/>
        <v>0</v>
      </c>
    </row>
    <row r="217" spans="1:39" s="391" customFormat="1" ht="154.25" hidden="1" customHeight="1" outlineLevel="3">
      <c r="A217" s="722"/>
      <c r="B217" s="733"/>
      <c r="C217" s="787"/>
      <c r="D217" s="784" t="s">
        <v>212</v>
      </c>
      <c r="E217" s="784" t="s">
        <v>231</v>
      </c>
      <c r="F217" s="545" t="s">
        <v>242</v>
      </c>
      <c r="G217" s="550"/>
      <c r="H217" s="388" t="str">
        <f t="shared" si="48"/>
        <v/>
      </c>
      <c r="I217" s="550"/>
      <c r="J217" s="550"/>
      <c r="K217" s="557" t="str">
        <f t="shared" si="49"/>
        <v/>
      </c>
      <c r="L217" s="362"/>
      <c r="M217" s="544" t="b">
        <v>0</v>
      </c>
      <c r="N217" s="544" t="b">
        <v>0</v>
      </c>
      <c r="O217" s="402"/>
      <c r="P217" s="363"/>
      <c r="Q217" s="5"/>
      <c r="R217" s="5"/>
      <c r="S217" s="5"/>
      <c r="T217" s="5"/>
      <c r="U217" s="5"/>
      <c r="V217" s="557">
        <f t="shared" si="37"/>
        <v>0</v>
      </c>
      <c r="W217" s="5"/>
      <c r="X217" s="362"/>
      <c r="Y217" s="394" t="s">
        <v>210</v>
      </c>
      <c r="Z217" s="5"/>
      <c r="AA217" s="5"/>
      <c r="AB217" s="392"/>
      <c r="AC217" s="5"/>
      <c r="AD217" s="5"/>
      <c r="AE217" s="363"/>
      <c r="AF217" s="557" t="str">
        <f t="shared" si="46"/>
        <v/>
      </c>
      <c r="AG217" s="557" t="str">
        <f t="shared" si="47"/>
        <v/>
      </c>
      <c r="AH217" s="589"/>
      <c r="AK217" s="107" t="s">
        <v>226</v>
      </c>
      <c r="AL217" s="387">
        <f t="shared" si="32"/>
        <v>0</v>
      </c>
      <c r="AM217" s="387">
        <f t="shared" si="33"/>
        <v>0</v>
      </c>
    </row>
    <row r="218" spans="1:39" s="391" customFormat="1" ht="133.25" hidden="1" customHeight="1" outlineLevel="3">
      <c r="A218" s="722"/>
      <c r="B218" s="733"/>
      <c r="C218" s="787"/>
      <c r="D218" s="785"/>
      <c r="E218" s="785"/>
      <c r="F218" s="545" t="s">
        <v>243</v>
      </c>
      <c r="G218" s="550"/>
      <c r="H218" s="388" t="str">
        <f t="shared" si="48"/>
        <v/>
      </c>
      <c r="I218" s="550"/>
      <c r="J218" s="550"/>
      <c r="K218" s="557" t="str">
        <f t="shared" si="49"/>
        <v/>
      </c>
      <c r="L218" s="362"/>
      <c r="M218" s="544" t="b">
        <v>0</v>
      </c>
      <c r="N218" s="544" t="b">
        <v>0</v>
      </c>
      <c r="O218" s="402"/>
      <c r="P218" s="363"/>
      <c r="Q218" s="5"/>
      <c r="R218" s="5"/>
      <c r="S218" s="5"/>
      <c r="T218" s="5"/>
      <c r="U218" s="5"/>
      <c r="V218" s="557">
        <f t="shared" si="37"/>
        <v>0</v>
      </c>
      <c r="W218" s="5"/>
      <c r="X218" s="362"/>
      <c r="Y218" s="394" t="s">
        <v>210</v>
      </c>
      <c r="Z218" s="5"/>
      <c r="AA218" s="5"/>
      <c r="AB218" s="392"/>
      <c r="AC218" s="5"/>
      <c r="AD218" s="5"/>
      <c r="AE218" s="363"/>
      <c r="AF218" s="557" t="str">
        <f t="shared" si="46"/>
        <v/>
      </c>
      <c r="AG218" s="557" t="str">
        <f t="shared" si="47"/>
        <v/>
      </c>
      <c r="AH218" s="589"/>
      <c r="AK218" s="107" t="s">
        <v>226</v>
      </c>
      <c r="AL218" s="387">
        <f t="shared" si="32"/>
        <v>0</v>
      </c>
      <c r="AM218" s="387">
        <f t="shared" si="33"/>
        <v>0</v>
      </c>
    </row>
    <row r="219" spans="1:39" s="391" customFormat="1" ht="51" hidden="1" outlineLevel="3">
      <c r="A219" s="722"/>
      <c r="B219" s="733"/>
      <c r="C219" s="787"/>
      <c r="D219" s="785"/>
      <c r="E219" s="786"/>
      <c r="F219" s="545" t="s">
        <v>140</v>
      </c>
      <c r="G219" s="550"/>
      <c r="H219" s="388" t="str">
        <f t="shared" si="48"/>
        <v/>
      </c>
      <c r="I219" s="550"/>
      <c r="J219" s="550"/>
      <c r="K219" s="557" t="str">
        <f t="shared" si="49"/>
        <v/>
      </c>
      <c r="L219" s="362"/>
      <c r="M219" s="544" t="b">
        <v>0</v>
      </c>
      <c r="N219" s="544" t="b">
        <v>0</v>
      </c>
      <c r="O219" s="402"/>
      <c r="P219" s="363"/>
      <c r="Q219" s="5"/>
      <c r="R219" s="5"/>
      <c r="S219" s="5"/>
      <c r="T219" s="5"/>
      <c r="U219" s="5"/>
      <c r="V219" s="557">
        <f t="shared" si="37"/>
        <v>0</v>
      </c>
      <c r="W219" s="5"/>
      <c r="X219" s="362"/>
      <c r="Y219" s="394" t="s">
        <v>210</v>
      </c>
      <c r="Z219" s="5"/>
      <c r="AA219" s="5"/>
      <c r="AB219" s="392"/>
      <c r="AC219" s="5"/>
      <c r="AD219" s="5"/>
      <c r="AE219" s="363"/>
      <c r="AF219" s="557" t="str">
        <f t="shared" si="46"/>
        <v/>
      </c>
      <c r="AG219" s="557" t="str">
        <f t="shared" si="47"/>
        <v/>
      </c>
      <c r="AH219" s="589"/>
      <c r="AK219" s="107" t="s">
        <v>226</v>
      </c>
      <c r="AL219" s="387">
        <f t="shared" si="32"/>
        <v>0</v>
      </c>
      <c r="AM219" s="387">
        <f t="shared" si="33"/>
        <v>0</v>
      </c>
    </row>
    <row r="220" spans="1:39" s="391" customFormat="1" ht="56" hidden="1" customHeight="1" outlineLevel="3">
      <c r="A220" s="722"/>
      <c r="B220" s="733"/>
      <c r="C220" s="766"/>
      <c r="D220" s="785"/>
      <c r="E220" s="762" t="s">
        <v>244</v>
      </c>
      <c r="F220" s="763"/>
      <c r="G220" s="550"/>
      <c r="H220" s="388" t="str">
        <f t="shared" si="48"/>
        <v/>
      </c>
      <c r="I220" s="550"/>
      <c r="J220" s="550"/>
      <c r="K220" s="557" t="str">
        <f t="shared" si="49"/>
        <v/>
      </c>
      <c r="L220" s="362"/>
      <c r="M220" s="544" t="b">
        <v>0</v>
      </c>
      <c r="N220" s="544" t="b">
        <v>0</v>
      </c>
      <c r="O220" s="402"/>
      <c r="P220" s="363"/>
      <c r="Q220" s="5"/>
      <c r="R220" s="5"/>
      <c r="S220" s="5"/>
      <c r="T220" s="5"/>
      <c r="U220" s="5"/>
      <c r="V220" s="557">
        <f t="shared" si="37"/>
        <v>0</v>
      </c>
      <c r="W220" s="5"/>
      <c r="X220" s="362"/>
      <c r="Y220" s="394" t="s">
        <v>210</v>
      </c>
      <c r="Z220" s="5"/>
      <c r="AA220" s="5"/>
      <c r="AB220" s="392"/>
      <c r="AC220" s="5"/>
      <c r="AD220" s="5"/>
      <c r="AE220" s="363"/>
      <c r="AF220" s="557" t="str">
        <f t="shared" si="46"/>
        <v/>
      </c>
      <c r="AG220" s="557" t="str">
        <f t="shared" si="47"/>
        <v/>
      </c>
      <c r="AH220" s="589"/>
      <c r="AK220" s="107" t="s">
        <v>226</v>
      </c>
      <c r="AL220" s="387">
        <f t="shared" si="32"/>
        <v>0</v>
      </c>
      <c r="AM220" s="387">
        <f t="shared" si="33"/>
        <v>0</v>
      </c>
    </row>
    <row r="221" spans="1:39" s="391" customFormat="1" ht="39" hidden="1" customHeight="1" outlineLevel="3">
      <c r="A221" s="722"/>
      <c r="B221" s="733"/>
      <c r="C221" s="801" t="s">
        <v>227</v>
      </c>
      <c r="D221" s="737" t="s">
        <v>274</v>
      </c>
      <c r="E221" s="738"/>
      <c r="F221" s="739"/>
      <c r="G221" s="550"/>
      <c r="H221" s="388" t="str">
        <f t="shared" si="48"/>
        <v/>
      </c>
      <c r="I221" s="550"/>
      <c r="J221" s="550"/>
      <c r="K221" s="557" t="str">
        <f t="shared" si="49"/>
        <v/>
      </c>
      <c r="L221" s="362"/>
      <c r="M221" s="544" t="b">
        <v>0</v>
      </c>
      <c r="N221" s="389"/>
      <c r="O221" s="402"/>
      <c r="P221" s="363"/>
      <c r="Q221" s="5"/>
      <c r="R221" s="5"/>
      <c r="S221" s="5"/>
      <c r="T221" s="5"/>
      <c r="U221" s="5"/>
      <c r="V221" s="557">
        <f t="shared" si="37"/>
        <v>0</v>
      </c>
      <c r="W221" s="5"/>
      <c r="X221" s="362"/>
      <c r="Y221" s="364"/>
      <c r="Z221" s="557"/>
      <c r="AA221" s="557"/>
      <c r="AB221" s="390"/>
      <c r="AC221" s="557"/>
      <c r="AD221" s="557"/>
      <c r="AE221" s="363"/>
      <c r="AF221" s="557" t="str">
        <f t="shared" si="46"/>
        <v/>
      </c>
      <c r="AG221" s="557" t="str">
        <f t="shared" si="47"/>
        <v/>
      </c>
      <c r="AH221" s="589"/>
      <c r="AK221" s="107" t="s">
        <v>228</v>
      </c>
      <c r="AL221" s="387">
        <f t="shared" si="32"/>
        <v>0</v>
      </c>
      <c r="AM221" s="387">
        <f t="shared" si="33"/>
        <v>0</v>
      </c>
    </row>
    <row r="222" spans="1:39" s="391" customFormat="1" ht="158" hidden="1" customHeight="1" outlineLevel="3">
      <c r="A222" s="722"/>
      <c r="B222" s="733"/>
      <c r="C222" s="846"/>
      <c r="D222" s="784" t="s">
        <v>227</v>
      </c>
      <c r="E222" s="545" t="s">
        <v>231</v>
      </c>
      <c r="F222" s="545" t="s">
        <v>242</v>
      </c>
      <c r="G222" s="550"/>
      <c r="H222" s="388" t="str">
        <f t="shared" si="48"/>
        <v/>
      </c>
      <c r="I222" s="550"/>
      <c r="J222" s="550"/>
      <c r="K222" s="557" t="str">
        <f t="shared" si="49"/>
        <v/>
      </c>
      <c r="L222" s="362"/>
      <c r="M222" s="544" t="b">
        <v>0</v>
      </c>
      <c r="N222" s="389"/>
      <c r="O222" s="402"/>
      <c r="P222" s="363"/>
      <c r="Q222" s="5"/>
      <c r="R222" s="5"/>
      <c r="S222" s="5"/>
      <c r="T222" s="5"/>
      <c r="U222" s="5"/>
      <c r="V222" s="557">
        <f t="shared" si="37"/>
        <v>0</v>
      </c>
      <c r="W222" s="5"/>
      <c r="X222" s="362"/>
      <c r="Y222" s="364"/>
      <c r="Z222" s="557"/>
      <c r="AA222" s="557"/>
      <c r="AB222" s="390"/>
      <c r="AC222" s="557"/>
      <c r="AD222" s="557"/>
      <c r="AE222" s="363"/>
      <c r="AF222" s="557" t="str">
        <f t="shared" si="46"/>
        <v/>
      </c>
      <c r="AG222" s="557" t="str">
        <f t="shared" si="47"/>
        <v/>
      </c>
      <c r="AH222" s="589"/>
      <c r="AK222" s="107" t="s">
        <v>228</v>
      </c>
      <c r="AL222" s="387">
        <f t="shared" si="32"/>
        <v>0</v>
      </c>
      <c r="AM222" s="387">
        <f t="shared" si="33"/>
        <v>0</v>
      </c>
    </row>
    <row r="223" spans="1:39" s="391" customFormat="1" ht="55.25" hidden="1" customHeight="1" outlineLevel="3">
      <c r="A223" s="723"/>
      <c r="B223" s="788"/>
      <c r="C223" s="847"/>
      <c r="D223" s="786"/>
      <c r="E223" s="762" t="s">
        <v>244</v>
      </c>
      <c r="F223" s="763"/>
      <c r="G223" s="550"/>
      <c r="H223" s="388" t="str">
        <f t="shared" si="48"/>
        <v/>
      </c>
      <c r="I223" s="550"/>
      <c r="J223" s="550"/>
      <c r="K223" s="557" t="str">
        <f t="shared" si="49"/>
        <v/>
      </c>
      <c r="L223" s="362"/>
      <c r="M223" s="544" t="b">
        <v>0</v>
      </c>
      <c r="N223" s="389"/>
      <c r="O223" s="402"/>
      <c r="P223" s="363"/>
      <c r="Q223" s="5"/>
      <c r="R223" s="5"/>
      <c r="S223" s="5"/>
      <c r="T223" s="5"/>
      <c r="U223" s="5"/>
      <c r="V223" s="557">
        <f t="shared" si="37"/>
        <v>0</v>
      </c>
      <c r="W223" s="5"/>
      <c r="X223" s="362"/>
      <c r="Y223" s="364"/>
      <c r="Z223" s="557"/>
      <c r="AA223" s="557"/>
      <c r="AB223" s="390"/>
      <c r="AC223" s="557"/>
      <c r="AD223" s="557"/>
      <c r="AE223" s="363"/>
      <c r="AF223" s="557" t="str">
        <f t="shared" si="46"/>
        <v/>
      </c>
      <c r="AG223" s="557" t="str">
        <f t="shared" si="47"/>
        <v/>
      </c>
      <c r="AH223" s="589"/>
      <c r="AK223" s="107" t="s">
        <v>228</v>
      </c>
      <c r="AL223" s="387">
        <f t="shared" si="32"/>
        <v>0</v>
      </c>
      <c r="AM223" s="387">
        <f t="shared" si="33"/>
        <v>0</v>
      </c>
    </row>
    <row r="224" spans="1:39" s="391" customFormat="1" ht="33" hidden="1" customHeight="1" outlineLevel="2">
      <c r="A224" s="752"/>
      <c r="B224" s="814" t="s">
        <v>142</v>
      </c>
      <c r="C224" s="762" t="s">
        <v>245</v>
      </c>
      <c r="D224" s="832"/>
      <c r="E224" s="832"/>
      <c r="F224" s="832"/>
      <c r="G224" s="459"/>
      <c r="H224" s="365" t="str">
        <f t="shared" si="48"/>
        <v/>
      </c>
      <c r="I224" s="557"/>
      <c r="J224" s="557"/>
      <c r="K224" s="557"/>
      <c r="L224" s="367"/>
      <c r="M224" s="557"/>
      <c r="N224" s="557"/>
      <c r="O224" s="557"/>
      <c r="P224" s="368"/>
      <c r="Q224" s="557"/>
      <c r="R224" s="557"/>
      <c r="S224" s="557"/>
      <c r="T224" s="557"/>
      <c r="U224" s="557"/>
      <c r="V224" s="557"/>
      <c r="W224" s="557"/>
      <c r="X224" s="574"/>
      <c r="Y224" s="364"/>
      <c r="Z224" s="557"/>
      <c r="AA224" s="557"/>
      <c r="AB224" s="390"/>
      <c r="AC224" s="557"/>
      <c r="AD224" s="557"/>
      <c r="AE224" s="395"/>
      <c r="AF224" s="557"/>
      <c r="AG224" s="557"/>
      <c r="AH224" s="589"/>
      <c r="AK224" s="348"/>
    </row>
    <row r="225" spans="1:37" s="391" customFormat="1" ht="33" hidden="1" customHeight="1" outlineLevel="2">
      <c r="A225" s="753"/>
      <c r="B225" s="815"/>
      <c r="C225" s="762" t="s">
        <v>246</v>
      </c>
      <c r="D225" s="832"/>
      <c r="E225" s="832"/>
      <c r="F225" s="832"/>
      <c r="G225" s="459"/>
      <c r="H225" s="365" t="str">
        <f t="shared" si="48"/>
        <v/>
      </c>
      <c r="I225" s="557"/>
      <c r="J225" s="557"/>
      <c r="K225" s="557"/>
      <c r="L225" s="367"/>
      <c r="M225" s="557"/>
      <c r="N225" s="557"/>
      <c r="O225" s="557"/>
      <c r="P225" s="368"/>
      <c r="Q225" s="557"/>
      <c r="R225" s="557"/>
      <c r="S225" s="557"/>
      <c r="T225" s="557"/>
      <c r="U225" s="557"/>
      <c r="V225" s="557"/>
      <c r="W225" s="557"/>
      <c r="X225" s="574"/>
      <c r="Y225" s="364"/>
      <c r="Z225" s="557"/>
      <c r="AA225" s="557"/>
      <c r="AB225" s="390"/>
      <c r="AC225" s="557"/>
      <c r="AD225" s="557"/>
      <c r="AE225" s="395"/>
      <c r="AF225" s="557"/>
      <c r="AG225" s="557"/>
      <c r="AH225" s="589"/>
      <c r="AK225" s="348"/>
    </row>
    <row r="226" spans="1:37" s="391" customFormat="1" ht="33" hidden="1" customHeight="1" outlineLevel="2">
      <c r="A226" s="753"/>
      <c r="B226" s="815"/>
      <c r="C226" s="762" t="s">
        <v>247</v>
      </c>
      <c r="D226" s="832"/>
      <c r="E226" s="832"/>
      <c r="F226" s="832"/>
      <c r="G226" s="459"/>
      <c r="H226" s="365" t="str">
        <f t="shared" si="48"/>
        <v/>
      </c>
      <c r="I226" s="557"/>
      <c r="J226" s="557"/>
      <c r="K226" s="557"/>
      <c r="L226" s="367"/>
      <c r="M226" s="557"/>
      <c r="N226" s="557"/>
      <c r="O226" s="557"/>
      <c r="P226" s="368"/>
      <c r="Q226" s="557"/>
      <c r="R226" s="557"/>
      <c r="S226" s="557"/>
      <c r="T226" s="557"/>
      <c r="U226" s="557"/>
      <c r="V226" s="557"/>
      <c r="W226" s="557"/>
      <c r="X226" s="574"/>
      <c r="Y226" s="364"/>
      <c r="Z226" s="557"/>
      <c r="AA226" s="557"/>
      <c r="AB226" s="390"/>
      <c r="AC226" s="557"/>
      <c r="AD226" s="557"/>
      <c r="AE226" s="395"/>
      <c r="AF226" s="557"/>
      <c r="AG226" s="557"/>
      <c r="AH226" s="589"/>
      <c r="AK226" s="348"/>
    </row>
    <row r="227" spans="1:37" s="391" customFormat="1" ht="44" hidden="1" customHeight="1" outlineLevel="2">
      <c r="A227" s="753"/>
      <c r="B227" s="815"/>
      <c r="C227" s="762" t="s">
        <v>248</v>
      </c>
      <c r="D227" s="832"/>
      <c r="E227" s="832"/>
      <c r="F227" s="763"/>
      <c r="G227" s="459"/>
      <c r="H227" s="365" t="str">
        <f t="shared" si="48"/>
        <v/>
      </c>
      <c r="I227" s="557"/>
      <c r="J227" s="557"/>
      <c r="K227" s="557"/>
      <c r="L227" s="367"/>
      <c r="M227" s="557"/>
      <c r="N227" s="557"/>
      <c r="O227" s="557"/>
      <c r="P227" s="368"/>
      <c r="Q227" s="557"/>
      <c r="R227" s="557"/>
      <c r="S227" s="557"/>
      <c r="T227" s="557"/>
      <c r="U227" s="557"/>
      <c r="V227" s="557"/>
      <c r="W227" s="557"/>
      <c r="X227" s="574"/>
      <c r="Y227" s="364"/>
      <c r="Z227" s="557"/>
      <c r="AA227" s="557"/>
      <c r="AB227" s="390"/>
      <c r="AC227" s="557"/>
      <c r="AD227" s="557"/>
      <c r="AE227" s="395"/>
      <c r="AF227" s="557"/>
      <c r="AG227" s="557"/>
      <c r="AH227" s="589"/>
      <c r="AK227" s="348"/>
    </row>
    <row r="228" spans="1:37" s="391" customFormat="1" ht="51" hidden="1" customHeight="1" outlineLevel="2">
      <c r="A228" s="753"/>
      <c r="B228" s="815"/>
      <c r="C228" s="762" t="s">
        <v>249</v>
      </c>
      <c r="D228" s="832"/>
      <c r="E228" s="832"/>
      <c r="F228" s="763"/>
      <c r="G228" s="459"/>
      <c r="H228" s="365" t="str">
        <f t="shared" si="48"/>
        <v/>
      </c>
      <c r="I228" s="557"/>
      <c r="J228" s="557"/>
      <c r="K228" s="557"/>
      <c r="L228" s="367"/>
      <c r="M228" s="557"/>
      <c r="N228" s="557"/>
      <c r="O228" s="557"/>
      <c r="P228" s="368"/>
      <c r="Q228" s="557"/>
      <c r="R228" s="557"/>
      <c r="S228" s="557"/>
      <c r="T228" s="557"/>
      <c r="U228" s="557"/>
      <c r="V228" s="557"/>
      <c r="W228" s="557"/>
      <c r="X228" s="574"/>
      <c r="Y228" s="364"/>
      <c r="Z228" s="557"/>
      <c r="AA228" s="557"/>
      <c r="AB228" s="390"/>
      <c r="AC228" s="557"/>
      <c r="AD228" s="557"/>
      <c r="AE228" s="395"/>
      <c r="AF228" s="557"/>
      <c r="AG228" s="557"/>
      <c r="AH228" s="589"/>
      <c r="AK228" s="348"/>
    </row>
    <row r="229" spans="1:37" s="391" customFormat="1" ht="43.25" hidden="1" customHeight="1" outlineLevel="2">
      <c r="A229" s="753"/>
      <c r="B229" s="815"/>
      <c r="C229" s="762" t="s">
        <v>250</v>
      </c>
      <c r="D229" s="832"/>
      <c r="E229" s="832"/>
      <c r="F229" s="763"/>
      <c r="G229" s="459"/>
      <c r="H229" s="365" t="str">
        <f t="shared" si="48"/>
        <v/>
      </c>
      <c r="I229" s="557"/>
      <c r="J229" s="557"/>
      <c r="K229" s="557"/>
      <c r="L229" s="367"/>
      <c r="M229" s="557"/>
      <c r="N229" s="557"/>
      <c r="O229" s="557"/>
      <c r="P229" s="368"/>
      <c r="Q229" s="557"/>
      <c r="R229" s="557"/>
      <c r="S229" s="557"/>
      <c r="T229" s="557"/>
      <c r="U229" s="557"/>
      <c r="V229" s="557"/>
      <c r="W229" s="557"/>
      <c r="X229" s="574"/>
      <c r="Y229" s="364"/>
      <c r="Z229" s="557"/>
      <c r="AA229" s="557"/>
      <c r="AB229" s="390"/>
      <c r="AC229" s="557"/>
      <c r="AD229" s="557"/>
      <c r="AE229" s="395"/>
      <c r="AF229" s="557"/>
      <c r="AG229" s="557"/>
      <c r="AH229" s="589"/>
      <c r="AK229" s="348"/>
    </row>
    <row r="230" spans="1:37" s="391" customFormat="1" ht="57" hidden="1" customHeight="1" outlineLevel="2">
      <c r="A230" s="753"/>
      <c r="B230" s="815"/>
      <c r="C230" s="762" t="s">
        <v>251</v>
      </c>
      <c r="D230" s="832"/>
      <c r="E230" s="832"/>
      <c r="F230" s="763"/>
      <c r="G230" s="459"/>
      <c r="H230" s="365" t="str">
        <f t="shared" si="48"/>
        <v/>
      </c>
      <c r="I230" s="557"/>
      <c r="J230" s="557"/>
      <c r="K230" s="557"/>
      <c r="L230" s="367"/>
      <c r="M230" s="557"/>
      <c r="N230" s="557"/>
      <c r="O230" s="557"/>
      <c r="P230" s="368"/>
      <c r="Q230" s="557"/>
      <c r="R230" s="557"/>
      <c r="S230" s="557"/>
      <c r="T230" s="557"/>
      <c r="U230" s="557"/>
      <c r="V230" s="557"/>
      <c r="W230" s="557"/>
      <c r="X230" s="574"/>
      <c r="Y230" s="364"/>
      <c r="Z230" s="557"/>
      <c r="AA230" s="557"/>
      <c r="AB230" s="390"/>
      <c r="AC230" s="557"/>
      <c r="AD230" s="557"/>
      <c r="AE230" s="395"/>
      <c r="AF230" s="557"/>
      <c r="AG230" s="557"/>
      <c r="AH230" s="589"/>
      <c r="AK230" s="348"/>
    </row>
    <row r="231" spans="1:37" s="391" customFormat="1" ht="33" hidden="1" customHeight="1" outlineLevel="2">
      <c r="A231" s="753"/>
      <c r="B231" s="815"/>
      <c r="C231" s="762" t="s">
        <v>252</v>
      </c>
      <c r="D231" s="832"/>
      <c r="E231" s="832"/>
      <c r="F231" s="763"/>
      <c r="G231" s="459"/>
      <c r="H231" s="365" t="str">
        <f t="shared" si="48"/>
        <v/>
      </c>
      <c r="I231" s="557"/>
      <c r="J231" s="557"/>
      <c r="K231" s="557"/>
      <c r="L231" s="367"/>
      <c r="M231" s="557"/>
      <c r="N231" s="557"/>
      <c r="O231" s="557"/>
      <c r="P231" s="368"/>
      <c r="Q231" s="557"/>
      <c r="R231" s="557"/>
      <c r="S231" s="557"/>
      <c r="T231" s="557"/>
      <c r="U231" s="557"/>
      <c r="V231" s="557"/>
      <c r="W231" s="557"/>
      <c r="X231" s="574"/>
      <c r="Y231" s="364"/>
      <c r="Z231" s="557"/>
      <c r="AA231" s="557"/>
      <c r="AB231" s="390"/>
      <c r="AC231" s="557"/>
      <c r="AD231" s="557"/>
      <c r="AE231" s="395"/>
      <c r="AF231" s="557"/>
      <c r="AG231" s="557"/>
      <c r="AH231" s="589"/>
      <c r="AK231" s="348"/>
    </row>
    <row r="232" spans="1:37" s="391" customFormat="1" ht="33" hidden="1" customHeight="1" outlineLevel="2">
      <c r="A232" s="753"/>
      <c r="B232" s="815"/>
      <c r="C232" s="762" t="s">
        <v>253</v>
      </c>
      <c r="D232" s="832"/>
      <c r="E232" s="832"/>
      <c r="F232" s="832"/>
      <c r="G232" s="459"/>
      <c r="H232" s="365"/>
      <c r="I232" s="557"/>
      <c r="J232" s="557"/>
      <c r="K232" s="557"/>
      <c r="L232" s="367"/>
      <c r="M232" s="557"/>
      <c r="N232" s="557"/>
      <c r="O232" s="557"/>
      <c r="P232" s="368"/>
      <c r="Q232" s="557"/>
      <c r="R232" s="557"/>
      <c r="S232" s="557"/>
      <c r="T232" s="557"/>
      <c r="U232" s="557"/>
      <c r="V232" s="557"/>
      <c r="W232" s="557"/>
      <c r="X232" s="574"/>
      <c r="Y232" s="364"/>
      <c r="Z232" s="557"/>
      <c r="AA232" s="557"/>
      <c r="AB232" s="390"/>
      <c r="AC232" s="557"/>
      <c r="AD232" s="557"/>
      <c r="AE232" s="395"/>
      <c r="AF232" s="557"/>
      <c r="AG232" s="557"/>
      <c r="AH232" s="589"/>
      <c r="AK232" s="348"/>
    </row>
    <row r="233" spans="1:37" s="391" customFormat="1" ht="33" hidden="1" customHeight="1" outlineLevel="2">
      <c r="A233" s="753"/>
      <c r="B233" s="816"/>
      <c r="C233" s="818" t="s">
        <v>147</v>
      </c>
      <c r="D233" s="819"/>
      <c r="E233" s="819"/>
      <c r="F233" s="819"/>
      <c r="G233" s="459"/>
      <c r="H233" s="365" t="str">
        <f t="shared" si="48"/>
        <v/>
      </c>
      <c r="I233" s="557"/>
      <c r="J233" s="557"/>
      <c r="K233" s="557"/>
      <c r="L233" s="367"/>
      <c r="M233" s="557"/>
      <c r="N233" s="557"/>
      <c r="O233" s="557"/>
      <c r="P233" s="368"/>
      <c r="Q233" s="557"/>
      <c r="R233" s="557"/>
      <c r="S233" s="557"/>
      <c r="T233" s="557"/>
      <c r="U233" s="557"/>
      <c r="V233" s="557"/>
      <c r="W233" s="557"/>
      <c r="X233" s="574"/>
      <c r="Y233" s="364"/>
      <c r="Z233" s="557"/>
      <c r="AA233" s="557"/>
      <c r="AB233" s="390"/>
      <c r="AC233" s="557"/>
      <c r="AD233" s="557"/>
      <c r="AE233" s="395"/>
      <c r="AF233" s="557"/>
      <c r="AG233" s="557"/>
      <c r="AH233" s="589"/>
      <c r="AK233" s="348"/>
    </row>
    <row r="234" spans="1:37" hidden="1" outlineLevel="1"/>
    <row r="235" spans="1:37" s="391" customFormat="1" ht="34" hidden="1" outlineLevel="1">
      <c r="A235" s="605"/>
      <c r="B235" s="370" t="s">
        <v>148</v>
      </c>
      <c r="C235" s="370"/>
      <c r="D235" s="370"/>
      <c r="E235" s="370"/>
      <c r="F235" s="370"/>
      <c r="G235" s="370" t="s">
        <v>149</v>
      </c>
      <c r="H235" s="370" t="s">
        <v>150</v>
      </c>
      <c r="I235" s="371"/>
      <c r="J235" s="371"/>
      <c r="K235" s="371"/>
      <c r="L235" s="583"/>
      <c r="M235" s="14"/>
      <c r="N235" s="589"/>
      <c r="O235" s="589"/>
      <c r="P235" s="589"/>
      <c r="Q235" s="589"/>
      <c r="R235" s="589"/>
      <c r="S235" s="589"/>
      <c r="T235" s="589"/>
      <c r="U235" s="589"/>
      <c r="V235" s="589"/>
      <c r="W235" s="589"/>
      <c r="X235" s="589"/>
      <c r="Y235" s="589"/>
      <c r="Z235" s="589"/>
      <c r="AA235" s="589"/>
      <c r="AB235" s="589"/>
      <c r="AC235" s="589"/>
      <c r="AD235" s="589"/>
      <c r="AE235" s="589"/>
      <c r="AF235" s="589"/>
      <c r="AG235" s="589"/>
      <c r="AH235" s="589"/>
      <c r="AK235" s="348"/>
    </row>
    <row r="236" spans="1:37" s="391" customFormat="1" ht="35" hidden="1" customHeight="1" outlineLevel="1">
      <c r="A236" s="589"/>
      <c r="B236" s="812" t="s">
        <v>254</v>
      </c>
      <c r="C236" s="813"/>
      <c r="D236" s="813"/>
      <c r="E236" s="813"/>
      <c r="F236" s="813"/>
      <c r="G236" s="460">
        <f>IF(SUM(G89:G223)="","",SUM(G89:G223))</f>
        <v>0</v>
      </c>
      <c r="H236" s="365" t="str">
        <f>IF(G238=0,"",G236/$G$238)</f>
        <v/>
      </c>
      <c r="I236" s="374"/>
      <c r="J236" s="374"/>
      <c r="K236" s="374"/>
      <c r="L236" s="374"/>
      <c r="M236" s="14"/>
      <c r="N236" s="589"/>
      <c r="O236" s="589"/>
      <c r="P236" s="589"/>
      <c r="Q236" s="589"/>
      <c r="R236" s="589"/>
      <c r="S236" s="589"/>
      <c r="T236" s="589"/>
      <c r="U236" s="589"/>
      <c r="V236" s="589"/>
      <c r="W236" s="589"/>
      <c r="X236" s="589"/>
      <c r="Y236" s="589"/>
      <c r="Z236" s="589"/>
      <c r="AA236" s="589"/>
      <c r="AB236" s="589"/>
      <c r="AC236" s="589"/>
      <c r="AD236" s="589"/>
      <c r="AE236" s="589"/>
      <c r="AF236" s="589"/>
      <c r="AG236" s="589"/>
      <c r="AH236" s="589"/>
      <c r="AK236" s="348"/>
    </row>
    <row r="237" spans="1:37" s="391" customFormat="1" ht="35" hidden="1" customHeight="1" outlineLevel="1">
      <c r="A237" s="589"/>
      <c r="B237" s="812" t="s">
        <v>255</v>
      </c>
      <c r="C237" s="813"/>
      <c r="D237" s="813"/>
      <c r="E237" s="813"/>
      <c r="F237" s="813"/>
      <c r="G237" s="460">
        <f>+SUM(G224:G233)</f>
        <v>0</v>
      </c>
      <c r="H237" s="365" t="str">
        <f>IF(G238=0,"",G237/$G$238)</f>
        <v/>
      </c>
      <c r="I237" s="374"/>
      <c r="J237" s="374"/>
      <c r="K237" s="374"/>
      <c r="L237" s="374"/>
      <c r="M237" s="14"/>
      <c r="N237" s="589"/>
      <c r="O237" s="589"/>
      <c r="P237" s="589"/>
      <c r="Q237" s="589"/>
      <c r="R237" s="589"/>
      <c r="S237" s="589"/>
      <c r="T237" s="589"/>
      <c r="U237" s="589"/>
      <c r="V237" s="589"/>
      <c r="W237" s="589"/>
      <c r="X237" s="589"/>
      <c r="Y237" s="589"/>
      <c r="Z237" s="589"/>
      <c r="AA237" s="589"/>
      <c r="AB237" s="589"/>
      <c r="AC237" s="589"/>
      <c r="AD237" s="589"/>
      <c r="AE237" s="589"/>
      <c r="AF237" s="589"/>
      <c r="AG237" s="589"/>
      <c r="AH237" s="589"/>
      <c r="AK237" s="348"/>
    </row>
    <row r="238" spans="1:37" s="391" customFormat="1" ht="35" hidden="1" customHeight="1" outlineLevel="1">
      <c r="A238" s="589"/>
      <c r="B238" s="789" t="s">
        <v>256</v>
      </c>
      <c r="C238" s="790"/>
      <c r="D238" s="790"/>
      <c r="E238" s="790"/>
      <c r="F238" s="790"/>
      <c r="G238" s="461">
        <f>+G236+G237</f>
        <v>0</v>
      </c>
      <c r="H238" s="377"/>
      <c r="I238" s="848" t="str">
        <f>IF(G238="","",IF(G238&lt;&gt;'Financial activity types '!D12,"Error: The total must match the total in the Financial activity types tab","Exposure OK"))</f>
        <v>Exposure OK</v>
      </c>
      <c r="J238" s="848"/>
      <c r="K238" s="848"/>
      <c r="L238" s="374"/>
      <c r="M238" s="706" t="s">
        <v>154</v>
      </c>
      <c r="N238" s="706"/>
      <c r="O238" s="706"/>
      <c r="P238" s="589"/>
      <c r="Q238" s="589"/>
      <c r="R238" s="589"/>
      <c r="S238" s="589"/>
      <c r="T238" s="589"/>
      <c r="U238" s="589"/>
      <c r="V238" s="589"/>
      <c r="W238" s="589"/>
      <c r="X238" s="589"/>
      <c r="Y238" s="589"/>
      <c r="Z238" s="589"/>
      <c r="AA238" s="589"/>
      <c r="AB238" s="589"/>
      <c r="AC238" s="589"/>
      <c r="AD238" s="589"/>
      <c r="AE238" s="589"/>
      <c r="AF238" s="589"/>
      <c r="AG238" s="589"/>
      <c r="AH238" s="589"/>
      <c r="AK238" s="348"/>
    </row>
    <row r="239" spans="1:37" s="411" customFormat="1" ht="35" hidden="1" customHeight="1" outlineLevel="1">
      <c r="A239" s="595"/>
      <c r="B239" s="789" t="s">
        <v>257</v>
      </c>
      <c r="C239" s="790"/>
      <c r="D239" s="790"/>
      <c r="E239" s="790"/>
      <c r="F239" s="790"/>
      <c r="G239" s="461">
        <f>(SUMIF(M89:M171,TRUE,V89:V171)+SUMIF(N89:N171,TRUE,Z89:Z171)-SUMIFS(AC89:AC171,M89:M171,TRUE,N89:N171,TRUE)-SUMIFS(AC116,M116,TRUE,N117,TRUE)-SUMIFS(AC118,M118,TRUE,N119,TRUE)-SUMIFS(AC120,M120,TRUE,N121,TRUE)-SUMIFS(AC122,M122,TRUE,N123,TRUE)-SUMIFS(AC124,M124,TRUE,N125,TRUE)-SUMIFS(AC126,M126,TRUE,N127,TRUE)-SUMIFS(AC128,M128,TRUE,N129,TRUE)-SUMIFS(AC130,M130,TRUE,N131,TRUE)-SUMIFS(AC132,M132,TRUE,N133,TRUE)-SUMIFS(AC134,M134,TRUE,N135,TRUE)-SUMIFS(AC146,M146,TRUE,N147,TRUE)-SUMIFS(AC148,M148,TRUE,N149,TRUE)-SUMIFS(AC150,M150,TRUE,N151,TRUE)-SUMIFS(AC152,M152,TRUE,N153,TRUE)-SUMIFS(AC154,M154,TRUE,N155,TRUE))</f>
        <v>0</v>
      </c>
      <c r="H239" s="377" t="e">
        <f>G239/SUM(G89:G171)</f>
        <v>#DIV/0!</v>
      </c>
      <c r="I239" s="849" t="e">
        <f>IF(G238="","",IF(H239&lt;&gt;100%,"Error: The FI must cover 100% of segments A, B, and C","Coverage OK"))</f>
        <v>#DIV/0!</v>
      </c>
      <c r="J239" s="849"/>
      <c r="K239" s="849"/>
      <c r="L239" s="590"/>
      <c r="M239" s="706"/>
      <c r="N239" s="706"/>
      <c r="O239" s="706"/>
      <c r="P239" s="595"/>
      <c r="Q239" s="595"/>
      <c r="R239" s="595"/>
      <c r="S239" s="595"/>
      <c r="T239" s="595"/>
      <c r="U239" s="595"/>
      <c r="V239" s="595"/>
      <c r="W239" s="595"/>
      <c r="X239" s="595"/>
      <c r="Y239" s="595"/>
      <c r="Z239" s="595"/>
      <c r="AA239" s="595"/>
      <c r="AB239" s="595"/>
      <c r="AC239" s="595"/>
      <c r="AD239" s="595"/>
      <c r="AE239" s="595"/>
      <c r="AF239" s="595"/>
      <c r="AG239" s="595"/>
      <c r="AH239" s="595"/>
      <c r="AK239" s="348"/>
    </row>
    <row r="240" spans="1:37" s="408" customFormat="1" ht="46.5" hidden="1" customHeight="1" outlineLevel="1">
      <c r="A240" s="599"/>
      <c r="B240" s="789" t="s">
        <v>258</v>
      </c>
      <c r="C240" s="790"/>
      <c r="D240" s="790"/>
      <c r="E240" s="790"/>
      <c r="F240" s="790"/>
      <c r="G240" s="461">
        <f>(SUMIF(M89:M223,TRUE,V89:V223)+SUMIF(N89:N223,TRUE,Z89:Z223)-SUMIFS(AC89:AC223,M89:M223,TRUE,N89:N223,TRUE)-SUMIFS(AC116,M116,TRUE,N117,TRUE)-SUMIFS(AC118,M118,TRUE,N119,TRUE)-SUMIFS(AC120,M120,TRUE,N121,TRUE)-SUMIFS(AC122,M122,TRUE,N123,TRUE)-SUMIFS(AC124,M124,TRUE,N125,TRUE)-SUMIFS(AC126,M126,TRUE,N127,TRUE)-SUMIFS(AC128,M128,TRUE,N129,TRUE)-SUMIFS(AC130,M130,TRUE,N131,TRUE)-SUMIFS(AC132,M132,TRUE,N133,TRUE)-SUMIFS(AC134,M134,TRUE,N135,TRUE)-SUMIFS(AC146,M146,TRUE,N147,TRUE)-SUMIFS(AC148,M148,TRUE,N149,TRUE)-SUMIFS(AC150,M150,TRUE,N151,TRUE)-SUMIFS(AC152,M152,TRUE,N153,TRUE)-SUMIFS(AC154,M154,TRUE,N155,TRUE)-SUMIFS(AC189,M189,TRUE,N190,TRUE)-SUMIFS(AC191,M191,TRUE,N192,TRUE)-SUMIFS(AC193,M193,TRUE,N194,TRUE)-SUMIFS(AC195,M195,TRUE,N196,TRUE)-SUMIFS(AC197,M197,TRUE,N198,TRUE)-SUMIFS(AC199,M199,TRUE,N200,TRUE)-SUMIFS(AC207,M207,TRUE,N208,TRUE)-SUMIFS(AC209,M209,TRUE,N210,TRUE)-SUMIFS(AC211,M211,TRUE,N212,TRUE))</f>
        <v>0</v>
      </c>
      <c r="H240" s="377" t="e">
        <f>G240/SUM(G89:G223)</f>
        <v>#DIV/0!</v>
      </c>
      <c r="I240" s="849" t="e">
        <f>IF(G238="","",IF(H240&lt;67%,"Error: The FI must cover 67% or more of segments A, B, C, and D","Coverage OK"))</f>
        <v>#DIV/0!</v>
      </c>
      <c r="J240" s="849"/>
      <c r="K240" s="849"/>
      <c r="L240" s="586"/>
      <c r="M240" s="706"/>
      <c r="N240" s="706"/>
      <c r="O240" s="706"/>
      <c r="P240" s="599"/>
      <c r="Q240" s="599"/>
      <c r="R240" s="599"/>
      <c r="S240" s="599"/>
      <c r="T240" s="599"/>
      <c r="U240" s="599"/>
      <c r="V240" s="599"/>
      <c r="W240" s="599"/>
      <c r="X240" s="599"/>
      <c r="Y240" s="599"/>
      <c r="Z240" s="599"/>
      <c r="AA240" s="599"/>
      <c r="AB240" s="599"/>
      <c r="AC240" s="599"/>
      <c r="AD240" s="599"/>
      <c r="AE240" s="599"/>
      <c r="AF240" s="599"/>
      <c r="AG240" s="599"/>
      <c r="AH240" s="599"/>
      <c r="AK240" s="348"/>
    </row>
    <row r="241" spans="1:37" s="408" customFormat="1" ht="35" hidden="1" customHeight="1" outlineLevel="1">
      <c r="A241" s="599"/>
      <c r="B241" s="812" t="s">
        <v>157</v>
      </c>
      <c r="C241" s="813"/>
      <c r="D241" s="813"/>
      <c r="E241" s="813"/>
      <c r="F241" s="813"/>
      <c r="G241" s="557">
        <f>SUMIF(M89:M223,TRUE,V89:V223)</f>
        <v>0</v>
      </c>
      <c r="H241" s="365" t="e">
        <f>G241/SUM(G89:G223)</f>
        <v>#DIV/0!</v>
      </c>
      <c r="I241" s="396"/>
      <c r="J241" s="397"/>
      <c r="K241" s="398"/>
      <c r="L241" s="599"/>
      <c r="M241" s="706"/>
      <c r="N241" s="706"/>
      <c r="O241" s="706"/>
      <c r="P241" s="599"/>
      <c r="Q241" s="599"/>
      <c r="R241" s="599"/>
      <c r="S241" s="599"/>
      <c r="T241" s="599"/>
      <c r="U241" s="599"/>
      <c r="V241" s="599"/>
      <c r="W241" s="599"/>
      <c r="X241" s="599"/>
      <c r="Y241" s="599"/>
      <c r="Z241" s="599"/>
      <c r="AA241" s="599"/>
      <c r="AB241" s="599"/>
      <c r="AC241" s="599"/>
      <c r="AD241" s="599"/>
      <c r="AE241" s="599"/>
      <c r="AF241" s="599"/>
      <c r="AG241" s="599"/>
      <c r="AH241" s="599"/>
      <c r="AK241" s="348"/>
    </row>
    <row r="242" spans="1:37" s="386" customFormat="1" ht="35" hidden="1" customHeight="1" outlineLevel="1">
      <c r="A242" s="600"/>
      <c r="B242" s="812" t="s">
        <v>158</v>
      </c>
      <c r="C242" s="813"/>
      <c r="D242" s="813"/>
      <c r="E242" s="813"/>
      <c r="F242" s="813"/>
      <c r="G242" s="557">
        <f>SUMIF(N89:N223,TRUE,Z89:Z223)</f>
        <v>0</v>
      </c>
      <c r="H242" s="365" t="e">
        <f>G242/SUM(G89:G223)</f>
        <v>#DIV/0!</v>
      </c>
      <c r="I242" s="585"/>
      <c r="J242" s="585"/>
      <c r="K242" s="585"/>
      <c r="L242" s="600"/>
      <c r="M242" s="706"/>
      <c r="N242" s="706"/>
      <c r="O242" s="706"/>
      <c r="P242" s="600"/>
      <c r="Q242" s="600"/>
      <c r="R242" s="600"/>
      <c r="S242" s="600"/>
      <c r="T242" s="600"/>
      <c r="U242" s="600"/>
      <c r="V242" s="600"/>
      <c r="W242" s="600"/>
      <c r="X242" s="600"/>
      <c r="Y242" s="600"/>
      <c r="Z242" s="600"/>
      <c r="AA242" s="600"/>
      <c r="AB242" s="600"/>
      <c r="AC242" s="600"/>
      <c r="AD242" s="600"/>
      <c r="AE242" s="600"/>
      <c r="AF242" s="600"/>
      <c r="AG242" s="600"/>
      <c r="AH242" s="600"/>
      <c r="AK242" s="348"/>
    </row>
    <row r="243" spans="1:37" s="386" customFormat="1" ht="35" hidden="1" customHeight="1" outlineLevel="1">
      <c r="A243" s="600"/>
      <c r="B243" s="812" t="s">
        <v>159</v>
      </c>
      <c r="C243" s="813"/>
      <c r="D243" s="813"/>
      <c r="E243" s="813"/>
      <c r="F243" s="813"/>
      <c r="G243" s="557">
        <f>SUMIFS(AC89:AC223,M89:M223,TRUE,N89:N223,TRUE)</f>
        <v>0</v>
      </c>
      <c r="H243" s="365" t="e">
        <f>G243/SUM(G89:G223)</f>
        <v>#DIV/0!</v>
      </c>
      <c r="I243" s="374"/>
      <c r="J243" s="374"/>
      <c r="K243" s="374"/>
      <c r="L243" s="601"/>
      <c r="M243" s="706"/>
      <c r="N243" s="706"/>
      <c r="O243" s="706"/>
      <c r="P243" s="600"/>
      <c r="Q243" s="600"/>
      <c r="R243" s="600"/>
      <c r="S243" s="600"/>
      <c r="T243" s="600"/>
      <c r="U243" s="600"/>
      <c r="V243" s="600"/>
      <c r="W243" s="600"/>
      <c r="X243" s="600"/>
      <c r="Y243" s="600"/>
      <c r="Z243" s="600"/>
      <c r="AA243" s="600"/>
      <c r="AB243" s="600"/>
      <c r="AC243" s="600"/>
      <c r="AD243" s="600"/>
      <c r="AE243" s="600"/>
      <c r="AF243" s="600"/>
      <c r="AG243" s="600"/>
      <c r="AH243" s="600"/>
      <c r="AK243" s="348"/>
    </row>
    <row r="244" spans="1:37" ht="46.5" hidden="1" customHeight="1" outlineLevel="1">
      <c r="B244" s="791" t="s">
        <v>259</v>
      </c>
      <c r="C244" s="792"/>
      <c r="D244" s="792"/>
      <c r="E244" s="792"/>
      <c r="F244" s="792"/>
      <c r="G244" s="376">
        <f>(SUMIF(M89:M223,TRUE,W89:W223)+SUMIF(N89:N223,TRUE,AA89:AA223)-SUMIFS(AD89:AD223,M89:M223,TRUE,N89:N223,TRUE)-SUMIFS(AD116,M116,TRUE,N117,TRUE)-SUMIFS(AD118,M118,TRUE,N119,TRUE)-SUMIFS(AD120,M120,TRUE,N121,TRUE)-SUMIFS(AD122,M122,TRUE,N123,TRUE)-SUMIFS(AD124,M124,TRUE,N125,TRUE)-SUMIFS(AD126,M126,TRUE,N127,TRUE)-SUMIFS(AD128,M128,TRUE,N129,TRUE)-SUMIFS(AD130,M130,TRUE,N131,TRUE)-SUMIFS(AD132,M132,TRUE,N133,TRUE)-SUMIFS(AD134,M134,TRUE,N135,TRUE)-SUMIFS(AD146,M146,TRUE,N147,TRUE)-SUMIFS(AD148,M148,TRUE,N149,TRUE)-SUMIFS(AD150,M150,TRUE,N151,TRUE)-SUMIFS(AD152,M152,TRUE,N153,TRUE)-SUMIFS(AD154,M154,TRUE,N155,TRUE)-SUMIFS(AD189,M189,TRUE,N190,TRUE)-SUMIFS(AD191,M191,TRUE,N192,TRUE)-SUMIFS(AD193,M193,TRUE,N194,TRUE)-SUMIFS(AD195,M195,TRUE,N196,TRUE)-SUMIFS(AD197,M197,TRUE,N198,TRUE)-SUMIFS(AD199,M199,TRUE,N200,TRUE)-SUMIFS(AD207,M207,TRUE,N208,TRUE)-SUMIFS(AD209,M209,TRUE,N210,TRUE)-SUMIFS(AD211,M211,TRUE,N212,TRUE))</f>
        <v>0</v>
      </c>
      <c r="H244" s="377" t="e">
        <f>G244/SUM(K89:K223)</f>
        <v>#DIV/0!</v>
      </c>
      <c r="I244" s="849" t="e">
        <f>IF(G238="","",IF(H244&lt;67%,"Error: The FI must cover 67% or more of segments A, B, C, and D","Coverage OK"))</f>
        <v>#DIV/0!</v>
      </c>
      <c r="J244" s="849"/>
      <c r="K244" s="849"/>
      <c r="M244" s="706"/>
      <c r="N244" s="706"/>
      <c r="O244" s="706"/>
    </row>
  </sheetData>
  <sheetProtection algorithmName="SHA-512" hashValue="1c3bnnKyOJjf83HO2R30um0qnf+8RjkHkLzGFmF/0fcTEcu/g+gYKsbuCIn/Lyk9PhUyIgJwfkTUI7ac/UXXZQ==" saltValue="ekUkyH1DjedlE8t57AQGWw==" spinCount="100000" sheet="1" formatCells="0" formatColumns="0" formatRows="0" selectLockedCells="1"/>
  <mergeCells count="886">
    <mergeCell ref="B244:F244"/>
    <mergeCell ref="I66:K66"/>
    <mergeCell ref="I67:K67"/>
    <mergeCell ref="I68:K68"/>
    <mergeCell ref="I72:K72"/>
    <mergeCell ref="I238:K238"/>
    <mergeCell ref="I239:K239"/>
    <mergeCell ref="I240:K240"/>
    <mergeCell ref="I244:K244"/>
    <mergeCell ref="K197:K198"/>
    <mergeCell ref="K199:K200"/>
    <mergeCell ref="K207:K208"/>
    <mergeCell ref="K209:K210"/>
    <mergeCell ref="K211:K212"/>
    <mergeCell ref="D99:F99"/>
    <mergeCell ref="D100:D103"/>
    <mergeCell ref="J199:J200"/>
    <mergeCell ref="J207:J208"/>
    <mergeCell ref="J209:J210"/>
    <mergeCell ref="J211:J212"/>
    <mergeCell ref="K116:K117"/>
    <mergeCell ref="K118:K119"/>
    <mergeCell ref="K120:K121"/>
    <mergeCell ref="I126:I127"/>
    <mergeCell ref="R124:R125"/>
    <mergeCell ref="S124:S125"/>
    <mergeCell ref="T124:T125"/>
    <mergeCell ref="M152:M153"/>
    <mergeCell ref="C16:K16"/>
    <mergeCell ref="M16:O16"/>
    <mergeCell ref="C85:K85"/>
    <mergeCell ref="M85:O85"/>
    <mergeCell ref="B72:F72"/>
    <mergeCell ref="D89:F90"/>
    <mergeCell ref="D91:D98"/>
    <mergeCell ref="K89:K90"/>
    <mergeCell ref="K91:K92"/>
    <mergeCell ref="K93:K94"/>
    <mergeCell ref="K95:K96"/>
    <mergeCell ref="K97:K98"/>
    <mergeCell ref="A18:K18"/>
    <mergeCell ref="I20:I21"/>
    <mergeCell ref="I22:I23"/>
    <mergeCell ref="I116:I117"/>
    <mergeCell ref="I118:I119"/>
    <mergeCell ref="I120:I121"/>
    <mergeCell ref="I122:I123"/>
    <mergeCell ref="I124:I125"/>
    <mergeCell ref="I128:I129"/>
    <mergeCell ref="I130:I131"/>
    <mergeCell ref="K122:K123"/>
    <mergeCell ref="K124:K125"/>
    <mergeCell ref="K126:K127"/>
    <mergeCell ref="K128:K129"/>
    <mergeCell ref="K130:K131"/>
    <mergeCell ref="J116:J117"/>
    <mergeCell ref="J118:J119"/>
    <mergeCell ref="J120:J121"/>
    <mergeCell ref="J122:J123"/>
    <mergeCell ref="J124:J125"/>
    <mergeCell ref="J126:J127"/>
    <mergeCell ref="J128:J129"/>
    <mergeCell ref="J130:J131"/>
    <mergeCell ref="AF211:AF212"/>
    <mergeCell ref="M93:M94"/>
    <mergeCell ref="M95:M96"/>
    <mergeCell ref="AC95:AC96"/>
    <mergeCell ref="R211:R212"/>
    <mergeCell ref="S211:S212"/>
    <mergeCell ref="T211:T212"/>
    <mergeCell ref="U211:U212"/>
    <mergeCell ref="V211:V212"/>
    <mergeCell ref="AC211:AC212"/>
    <mergeCell ref="T207:T208"/>
    <mergeCell ref="U207:U208"/>
    <mergeCell ref="V207:V208"/>
    <mergeCell ref="AC207:AC208"/>
    <mergeCell ref="AF207:AF208"/>
    <mergeCell ref="S189:S190"/>
    <mergeCell ref="T189:T190"/>
    <mergeCell ref="U189:U190"/>
    <mergeCell ref="V189:V190"/>
    <mergeCell ref="AC189:AC190"/>
    <mergeCell ref="AF189:AF190"/>
    <mergeCell ref="U181:U182"/>
    <mergeCell ref="V181:V182"/>
    <mergeCell ref="U95:U96"/>
    <mergeCell ref="M199:M200"/>
    <mergeCell ref="J197:J198"/>
    <mergeCell ref="I197:I198"/>
    <mergeCell ref="I199:I200"/>
    <mergeCell ref="G193:G194"/>
    <mergeCell ref="R195:R196"/>
    <mergeCell ref="S195:S196"/>
    <mergeCell ref="I193:I194"/>
    <mergeCell ref="K195:K196"/>
    <mergeCell ref="S179:S180"/>
    <mergeCell ref="T179:T180"/>
    <mergeCell ref="U179:U180"/>
    <mergeCell ref="V179:V180"/>
    <mergeCell ref="S193:S194"/>
    <mergeCell ref="G197:G198"/>
    <mergeCell ref="H197:H198"/>
    <mergeCell ref="M197:M198"/>
    <mergeCell ref="Q197:Q198"/>
    <mergeCell ref="R197:R198"/>
    <mergeCell ref="S197:S198"/>
    <mergeCell ref="I195:I196"/>
    <mergeCell ref="G195:G196"/>
    <mergeCell ref="H195:H196"/>
    <mergeCell ref="M195:M196"/>
    <mergeCell ref="M191:M192"/>
    <mergeCell ref="G191:G192"/>
    <mergeCell ref="H191:H192"/>
    <mergeCell ref="H193:H194"/>
    <mergeCell ref="D205:D206"/>
    <mergeCell ref="D195:F196"/>
    <mergeCell ref="G207:G208"/>
    <mergeCell ref="H207:H208"/>
    <mergeCell ref="W179:W180"/>
    <mergeCell ref="M177:M178"/>
    <mergeCell ref="J177:J178"/>
    <mergeCell ref="AF181:AF182"/>
    <mergeCell ref="G189:G190"/>
    <mergeCell ref="H189:H190"/>
    <mergeCell ref="M189:M190"/>
    <mergeCell ref="Q189:Q190"/>
    <mergeCell ref="R189:R190"/>
    <mergeCell ref="AC179:AC180"/>
    <mergeCell ref="AF179:AF180"/>
    <mergeCell ref="G181:G182"/>
    <mergeCell ref="H181:H182"/>
    <mergeCell ref="M181:M182"/>
    <mergeCell ref="Q181:Q182"/>
    <mergeCell ref="R181:R182"/>
    <mergeCell ref="S181:S182"/>
    <mergeCell ref="T181:T182"/>
    <mergeCell ref="Q179:Q180"/>
    <mergeCell ref="R179:R180"/>
    <mergeCell ref="AF191:AF192"/>
    <mergeCell ref="AF195:AF196"/>
    <mergeCell ref="AC193:AC194"/>
    <mergeCell ref="AF193:AF194"/>
    <mergeCell ref="AC177:AC178"/>
    <mergeCell ref="AF177:AF178"/>
    <mergeCell ref="AC181:AC182"/>
    <mergeCell ref="V195:V196"/>
    <mergeCell ref="AC195:AC196"/>
    <mergeCell ref="V193:V194"/>
    <mergeCell ref="V191:V192"/>
    <mergeCell ref="AC191:AC192"/>
    <mergeCell ref="S148:S149"/>
    <mergeCell ref="T148:T149"/>
    <mergeCell ref="J148:J149"/>
    <mergeCell ref="J150:J151"/>
    <mergeCell ref="J152:J153"/>
    <mergeCell ref="T193:T194"/>
    <mergeCell ref="U193:U194"/>
    <mergeCell ref="T199:T200"/>
    <mergeCell ref="U199:U200"/>
    <mergeCell ref="M193:M194"/>
    <mergeCell ref="K193:K194"/>
    <mergeCell ref="U195:U196"/>
    <mergeCell ref="M179:M180"/>
    <mergeCell ref="Q177:Q178"/>
    <mergeCell ref="R177:R178"/>
    <mergeCell ref="S177:S178"/>
    <mergeCell ref="T177:T178"/>
    <mergeCell ref="K177:K178"/>
    <mergeCell ref="K179:K180"/>
    <mergeCell ref="J179:J180"/>
    <mergeCell ref="K181:K182"/>
    <mergeCell ref="K189:K190"/>
    <mergeCell ref="Q193:Q194"/>
    <mergeCell ref="R193:R194"/>
    <mergeCell ref="Q152:Q153"/>
    <mergeCell ref="R152:R153"/>
    <mergeCell ref="S152:S153"/>
    <mergeCell ref="T152:T153"/>
    <mergeCell ref="U152:U153"/>
    <mergeCell ref="V152:V153"/>
    <mergeCell ref="Q150:Q151"/>
    <mergeCell ref="R150:R151"/>
    <mergeCell ref="S150:S151"/>
    <mergeCell ref="T150:T151"/>
    <mergeCell ref="AF132:AF133"/>
    <mergeCell ref="E137:E140"/>
    <mergeCell ref="E142:E145"/>
    <mergeCell ref="R130:R131"/>
    <mergeCell ref="S130:S131"/>
    <mergeCell ref="T130:T131"/>
    <mergeCell ref="U130:U131"/>
    <mergeCell ref="V130:V131"/>
    <mergeCell ref="R132:R133"/>
    <mergeCell ref="S132:S133"/>
    <mergeCell ref="T132:T133"/>
    <mergeCell ref="U132:U133"/>
    <mergeCell ref="V132:V133"/>
    <mergeCell ref="H132:H133"/>
    <mergeCell ref="M130:M131"/>
    <mergeCell ref="M132:M133"/>
    <mergeCell ref="AF134:AF135"/>
    <mergeCell ref="I132:I133"/>
    <mergeCell ref="J132:J133"/>
    <mergeCell ref="J134:J135"/>
    <mergeCell ref="W134:W135"/>
    <mergeCell ref="AF130:AF131"/>
    <mergeCell ref="K132:K133"/>
    <mergeCell ref="K134:K135"/>
    <mergeCell ref="AC146:AC147"/>
    <mergeCell ref="G134:G135"/>
    <mergeCell ref="H134:H135"/>
    <mergeCell ref="M134:M135"/>
    <mergeCell ref="AC134:AC135"/>
    <mergeCell ref="U134:U135"/>
    <mergeCell ref="V134:V135"/>
    <mergeCell ref="H126:H127"/>
    <mergeCell ref="M126:M127"/>
    <mergeCell ref="Q126:Q127"/>
    <mergeCell ref="U128:U129"/>
    <mergeCell ref="V128:V129"/>
    <mergeCell ref="AC130:AC131"/>
    <mergeCell ref="AC132:AC133"/>
    <mergeCell ref="Q130:Q131"/>
    <mergeCell ref="H130:H131"/>
    <mergeCell ref="I134:I135"/>
    <mergeCell ref="I146:I147"/>
    <mergeCell ref="AC128:AC129"/>
    <mergeCell ref="J146:J147"/>
    <mergeCell ref="G128:G129"/>
    <mergeCell ref="H128:H129"/>
    <mergeCell ref="M128:M129"/>
    <mergeCell ref="K146:K147"/>
    <mergeCell ref="H122:H123"/>
    <mergeCell ref="R120:R121"/>
    <mergeCell ref="S120:S121"/>
    <mergeCell ref="T120:T121"/>
    <mergeCell ref="U120:U121"/>
    <mergeCell ref="R122:R123"/>
    <mergeCell ref="S122:S123"/>
    <mergeCell ref="T122:T123"/>
    <mergeCell ref="U122:U123"/>
    <mergeCell ref="M120:M121"/>
    <mergeCell ref="M122:M123"/>
    <mergeCell ref="H120:H121"/>
    <mergeCell ref="E105:E110"/>
    <mergeCell ref="E112:E115"/>
    <mergeCell ref="E118:E125"/>
    <mergeCell ref="F118:F119"/>
    <mergeCell ref="F120:F121"/>
    <mergeCell ref="F122:F123"/>
    <mergeCell ref="F124:F125"/>
    <mergeCell ref="G120:G121"/>
    <mergeCell ref="G122:G123"/>
    <mergeCell ref="U124:U125"/>
    <mergeCell ref="V124:V125"/>
    <mergeCell ref="T116:T117"/>
    <mergeCell ref="U116:U117"/>
    <mergeCell ref="V116:V117"/>
    <mergeCell ref="V120:V121"/>
    <mergeCell ref="V122:V123"/>
    <mergeCell ref="V89:V90"/>
    <mergeCell ref="W116:W117"/>
    <mergeCell ref="W118:W119"/>
    <mergeCell ref="W120:W121"/>
    <mergeCell ref="W122:W123"/>
    <mergeCell ref="W124:W125"/>
    <mergeCell ref="T95:T96"/>
    <mergeCell ref="AF97:AF98"/>
    <mergeCell ref="AF91:AF92"/>
    <mergeCell ref="R91:R92"/>
    <mergeCell ref="S91:S92"/>
    <mergeCell ref="T91:T92"/>
    <mergeCell ref="U91:U92"/>
    <mergeCell ref="V91:V92"/>
    <mergeCell ref="AC91:AC92"/>
    <mergeCell ref="V93:V94"/>
    <mergeCell ref="W95:W96"/>
    <mergeCell ref="W97:W98"/>
    <mergeCell ref="V95:V96"/>
    <mergeCell ref="W91:W92"/>
    <mergeCell ref="W93:W94"/>
    <mergeCell ref="R95:R96"/>
    <mergeCell ref="S95:S96"/>
    <mergeCell ref="AC89:AC90"/>
    <mergeCell ref="AF89:AF90"/>
    <mergeCell ref="AC93:AC94"/>
    <mergeCell ref="AF93:AF94"/>
    <mergeCell ref="AF95:AF96"/>
    <mergeCell ref="R93:R94"/>
    <mergeCell ref="S93:S94"/>
    <mergeCell ref="T93:T94"/>
    <mergeCell ref="U93:U94"/>
    <mergeCell ref="R89:R90"/>
    <mergeCell ref="S89:S90"/>
    <mergeCell ref="T89:T90"/>
    <mergeCell ref="U89:U90"/>
    <mergeCell ref="W89:W90"/>
    <mergeCell ref="B65:F65"/>
    <mergeCell ref="B66:F66"/>
    <mergeCell ref="B67:F67"/>
    <mergeCell ref="B68:F68"/>
    <mergeCell ref="G91:G92"/>
    <mergeCell ref="H91:H92"/>
    <mergeCell ref="M91:M92"/>
    <mergeCell ref="G89:G90"/>
    <mergeCell ref="H89:H90"/>
    <mergeCell ref="M89:M90"/>
    <mergeCell ref="E91:E98"/>
    <mergeCell ref="F91:F92"/>
    <mergeCell ref="F93:F94"/>
    <mergeCell ref="F95:F96"/>
    <mergeCell ref="F97:F98"/>
    <mergeCell ref="G95:G96"/>
    <mergeCell ref="H95:H96"/>
    <mergeCell ref="A88:B88"/>
    <mergeCell ref="B79:C79"/>
    <mergeCell ref="D79:E79"/>
    <mergeCell ref="B80:C80"/>
    <mergeCell ref="D80:E80"/>
    <mergeCell ref="B81:C81"/>
    <mergeCell ref="D81:E81"/>
    <mergeCell ref="Q89:Q90"/>
    <mergeCell ref="M87:O87"/>
    <mergeCell ref="C89:C103"/>
    <mergeCell ref="E100:E103"/>
    <mergeCell ref="I89:I90"/>
    <mergeCell ref="I91:I92"/>
    <mergeCell ref="I93:I94"/>
    <mergeCell ref="I95:I96"/>
    <mergeCell ref="I97:I98"/>
    <mergeCell ref="J89:J90"/>
    <mergeCell ref="J91:J92"/>
    <mergeCell ref="J93:J94"/>
    <mergeCell ref="J95:J96"/>
    <mergeCell ref="J97:J98"/>
    <mergeCell ref="G93:G94"/>
    <mergeCell ref="H93:H94"/>
    <mergeCell ref="Q91:Q92"/>
    <mergeCell ref="Q93:Q94"/>
    <mergeCell ref="B241:F241"/>
    <mergeCell ref="B242:F242"/>
    <mergeCell ref="B243:F243"/>
    <mergeCell ref="G24:G25"/>
    <mergeCell ref="G26:G27"/>
    <mergeCell ref="F28:F29"/>
    <mergeCell ref="E22:E29"/>
    <mergeCell ref="E31:E34"/>
    <mergeCell ref="B236:F236"/>
    <mergeCell ref="B237:F237"/>
    <mergeCell ref="B238:F238"/>
    <mergeCell ref="B239:F239"/>
    <mergeCell ref="C221:C223"/>
    <mergeCell ref="D221:F221"/>
    <mergeCell ref="C216:C220"/>
    <mergeCell ref="D216:F216"/>
    <mergeCell ref="D217:D220"/>
    <mergeCell ref="E220:F220"/>
    <mergeCell ref="E217:E219"/>
    <mergeCell ref="C161:C166"/>
    <mergeCell ref="D161:F161"/>
    <mergeCell ref="D162:D166"/>
    <mergeCell ref="D111:F111"/>
    <mergeCell ref="D112:D115"/>
    <mergeCell ref="B240:F240"/>
    <mergeCell ref="A224:A233"/>
    <mergeCell ref="B224:B233"/>
    <mergeCell ref="C224:F224"/>
    <mergeCell ref="C230:F230"/>
    <mergeCell ref="C231:F231"/>
    <mergeCell ref="C233:F233"/>
    <mergeCell ref="C229:F229"/>
    <mergeCell ref="C225:F225"/>
    <mergeCell ref="C226:F226"/>
    <mergeCell ref="C227:F227"/>
    <mergeCell ref="C228:F228"/>
    <mergeCell ref="C232:F232"/>
    <mergeCell ref="G209:G210"/>
    <mergeCell ref="H209:H210"/>
    <mergeCell ref="G211:G212"/>
    <mergeCell ref="H211:H212"/>
    <mergeCell ref="M211:M212"/>
    <mergeCell ref="M207:M208"/>
    <mergeCell ref="I209:I210"/>
    <mergeCell ref="I211:I212"/>
    <mergeCell ref="M209:M210"/>
    <mergeCell ref="I207:I208"/>
    <mergeCell ref="Q209:Q210"/>
    <mergeCell ref="R209:R210"/>
    <mergeCell ref="S209:S210"/>
    <mergeCell ref="Q211:Q212"/>
    <mergeCell ref="Q207:Q208"/>
    <mergeCell ref="R207:R208"/>
    <mergeCell ref="S207:S208"/>
    <mergeCell ref="Q199:Q200"/>
    <mergeCell ref="R199:R200"/>
    <mergeCell ref="S199:S200"/>
    <mergeCell ref="AF209:AF210"/>
    <mergeCell ref="T209:T210"/>
    <mergeCell ref="U209:U210"/>
    <mergeCell ref="V209:V210"/>
    <mergeCell ref="AC209:AC210"/>
    <mergeCell ref="T197:T198"/>
    <mergeCell ref="U197:U198"/>
    <mergeCell ref="V197:V198"/>
    <mergeCell ref="AC197:AC198"/>
    <mergeCell ref="AF197:AF198"/>
    <mergeCell ref="AC199:AC200"/>
    <mergeCell ref="AF199:AF200"/>
    <mergeCell ref="W197:W198"/>
    <mergeCell ref="W199:W200"/>
    <mergeCell ref="W207:W208"/>
    <mergeCell ref="W209:W210"/>
    <mergeCell ref="AD199:AD200"/>
    <mergeCell ref="AD207:AD208"/>
    <mergeCell ref="AD209:AD210"/>
    <mergeCell ref="V199:V200"/>
    <mergeCell ref="AD197:AD198"/>
    <mergeCell ref="C186:C200"/>
    <mergeCell ref="G179:G180"/>
    <mergeCell ref="H179:H180"/>
    <mergeCell ref="I179:I180"/>
    <mergeCell ref="I191:I192"/>
    <mergeCell ref="J193:J194"/>
    <mergeCell ref="J195:J196"/>
    <mergeCell ref="I181:I182"/>
    <mergeCell ref="I189:I190"/>
    <mergeCell ref="J181:J182"/>
    <mergeCell ref="J189:J190"/>
    <mergeCell ref="E193:F194"/>
    <mergeCell ref="D197:D200"/>
    <mergeCell ref="E197:E198"/>
    <mergeCell ref="F197:F198"/>
    <mergeCell ref="G199:G200"/>
    <mergeCell ref="H199:H200"/>
    <mergeCell ref="A172:A176"/>
    <mergeCell ref="C172:F172"/>
    <mergeCell ref="C173:D176"/>
    <mergeCell ref="E176:F176"/>
    <mergeCell ref="C201:C206"/>
    <mergeCell ref="A167:A171"/>
    <mergeCell ref="B167:B171"/>
    <mergeCell ref="C167:F167"/>
    <mergeCell ref="C168:D171"/>
    <mergeCell ref="E168:E171"/>
    <mergeCell ref="E173:E175"/>
    <mergeCell ref="A177:A223"/>
    <mergeCell ref="B172:B223"/>
    <mergeCell ref="D202:D203"/>
    <mergeCell ref="E203:F203"/>
    <mergeCell ref="D222:D223"/>
    <mergeCell ref="E223:F223"/>
    <mergeCell ref="D207:F208"/>
    <mergeCell ref="D209:D212"/>
    <mergeCell ref="E209:E210"/>
    <mergeCell ref="F209:F210"/>
    <mergeCell ref="E211:F212"/>
    <mergeCell ref="D201:F201"/>
    <mergeCell ref="D204:F204"/>
    <mergeCell ref="C207:C212"/>
    <mergeCell ref="C213:C215"/>
    <mergeCell ref="D213:F213"/>
    <mergeCell ref="D214:D215"/>
    <mergeCell ref="E215:F215"/>
    <mergeCell ref="C156:C160"/>
    <mergeCell ref="D156:F156"/>
    <mergeCell ref="D157:D160"/>
    <mergeCell ref="U191:U192"/>
    <mergeCell ref="J191:J192"/>
    <mergeCell ref="K191:K192"/>
    <mergeCell ref="Q191:Q192"/>
    <mergeCell ref="R191:R192"/>
    <mergeCell ref="S191:S192"/>
    <mergeCell ref="T191:T192"/>
    <mergeCell ref="E157:E160"/>
    <mergeCell ref="E162:E166"/>
    <mergeCell ref="E199:F200"/>
    <mergeCell ref="E206:F206"/>
    <mergeCell ref="E185:F185"/>
    <mergeCell ref="D186:F186"/>
    <mergeCell ref="D187:D188"/>
    <mergeCell ref="E188:F188"/>
    <mergeCell ref="D189:F190"/>
    <mergeCell ref="AF148:AF149"/>
    <mergeCell ref="U148:U149"/>
    <mergeCell ref="V148:V149"/>
    <mergeCell ref="AC148:AC149"/>
    <mergeCell ref="AC150:AC151"/>
    <mergeCell ref="V154:V155"/>
    <mergeCell ref="W148:W149"/>
    <mergeCell ref="W177:W178"/>
    <mergeCell ref="W181:W182"/>
    <mergeCell ref="U150:U151"/>
    <mergeCell ref="V150:V151"/>
    <mergeCell ref="AC152:AC153"/>
    <mergeCell ref="AF150:AF151"/>
    <mergeCell ref="AF152:AF153"/>
    <mergeCell ref="AD152:AD153"/>
    <mergeCell ref="C146:C155"/>
    <mergeCell ref="V146:V147"/>
    <mergeCell ref="U177:U178"/>
    <mergeCell ref="V177:V178"/>
    <mergeCell ref="K150:K151"/>
    <mergeCell ref="K152:K153"/>
    <mergeCell ref="K154:K155"/>
    <mergeCell ref="C177:C185"/>
    <mergeCell ref="D177:F178"/>
    <mergeCell ref="D179:D182"/>
    <mergeCell ref="E179:E180"/>
    <mergeCell ref="F179:F180"/>
    <mergeCell ref="G154:G155"/>
    <mergeCell ref="H154:H155"/>
    <mergeCell ref="M154:M155"/>
    <mergeCell ref="Q154:Q155"/>
    <mergeCell ref="R154:R155"/>
    <mergeCell ref="S154:S155"/>
    <mergeCell ref="T154:T155"/>
    <mergeCell ref="R148:R149"/>
    <mergeCell ref="F150:F151"/>
    <mergeCell ref="F152:F153"/>
    <mergeCell ref="F154:F155"/>
    <mergeCell ref="U154:U155"/>
    <mergeCell ref="I148:I149"/>
    <mergeCell ref="I150:I151"/>
    <mergeCell ref="I152:I153"/>
    <mergeCell ref="I154:I155"/>
    <mergeCell ref="E181:F182"/>
    <mergeCell ref="D183:F183"/>
    <mergeCell ref="D184:D185"/>
    <mergeCell ref="M150:M151"/>
    <mergeCell ref="D191:D194"/>
    <mergeCell ref="E191:E192"/>
    <mergeCell ref="F191:F192"/>
    <mergeCell ref="G150:G151"/>
    <mergeCell ref="G152:G153"/>
    <mergeCell ref="H150:H151"/>
    <mergeCell ref="H152:H153"/>
    <mergeCell ref="E148:E155"/>
    <mergeCell ref="K148:K149"/>
    <mergeCell ref="I177:I178"/>
    <mergeCell ref="G177:G178"/>
    <mergeCell ref="H177:H178"/>
    <mergeCell ref="AF146:AF147"/>
    <mergeCell ref="D148:D155"/>
    <mergeCell ref="G148:G149"/>
    <mergeCell ref="H148:H149"/>
    <mergeCell ref="M148:M149"/>
    <mergeCell ref="Q148:Q149"/>
    <mergeCell ref="Q146:Q147"/>
    <mergeCell ref="R146:R147"/>
    <mergeCell ref="S146:S147"/>
    <mergeCell ref="T146:T147"/>
    <mergeCell ref="U146:U147"/>
    <mergeCell ref="D146:F147"/>
    <mergeCell ref="G146:G147"/>
    <mergeCell ref="H146:H147"/>
    <mergeCell ref="M146:M147"/>
    <mergeCell ref="W150:W151"/>
    <mergeCell ref="W152:W153"/>
    <mergeCell ref="J154:J155"/>
    <mergeCell ref="AD148:AD149"/>
    <mergeCell ref="AD150:AD151"/>
    <mergeCell ref="AD154:AD155"/>
    <mergeCell ref="W146:W147"/>
    <mergeCell ref="F148:F149"/>
    <mergeCell ref="W154:W155"/>
    <mergeCell ref="AF120:AF121"/>
    <mergeCell ref="AF122:AF123"/>
    <mergeCell ref="AC120:AC121"/>
    <mergeCell ref="AC122:AC123"/>
    <mergeCell ref="AC154:AC155"/>
    <mergeCell ref="AF154:AF155"/>
    <mergeCell ref="C136:C145"/>
    <mergeCell ref="D136:F136"/>
    <mergeCell ref="D137:D140"/>
    <mergeCell ref="D141:F141"/>
    <mergeCell ref="D142:D145"/>
    <mergeCell ref="Q134:Q135"/>
    <mergeCell ref="R134:R135"/>
    <mergeCell ref="S134:S135"/>
    <mergeCell ref="T134:T135"/>
    <mergeCell ref="E128:E135"/>
    <mergeCell ref="F128:F129"/>
    <mergeCell ref="F130:F131"/>
    <mergeCell ref="F132:F133"/>
    <mergeCell ref="F134:F135"/>
    <mergeCell ref="G130:G131"/>
    <mergeCell ref="G132:G133"/>
    <mergeCell ref="T128:T129"/>
    <mergeCell ref="D128:D135"/>
    <mergeCell ref="AF126:AF127"/>
    <mergeCell ref="Q128:Q129"/>
    <mergeCell ref="R128:R129"/>
    <mergeCell ref="S128:S129"/>
    <mergeCell ref="R126:R127"/>
    <mergeCell ref="S126:S127"/>
    <mergeCell ref="T126:T127"/>
    <mergeCell ref="U126:U127"/>
    <mergeCell ref="V126:V127"/>
    <mergeCell ref="AC126:AC127"/>
    <mergeCell ref="W126:W127"/>
    <mergeCell ref="W128:W129"/>
    <mergeCell ref="AF128:AF129"/>
    <mergeCell ref="AF116:AF117"/>
    <mergeCell ref="D118:D125"/>
    <mergeCell ref="G118:G119"/>
    <mergeCell ref="H118:H119"/>
    <mergeCell ref="M118:M119"/>
    <mergeCell ref="H116:H117"/>
    <mergeCell ref="M116:M117"/>
    <mergeCell ref="Q116:Q117"/>
    <mergeCell ref="R116:R117"/>
    <mergeCell ref="S116:S117"/>
    <mergeCell ref="D116:F117"/>
    <mergeCell ref="G116:G117"/>
    <mergeCell ref="AC124:AC125"/>
    <mergeCell ref="AF124:AF125"/>
    <mergeCell ref="V118:V119"/>
    <mergeCell ref="AC118:AC119"/>
    <mergeCell ref="AF118:AF119"/>
    <mergeCell ref="G124:G125"/>
    <mergeCell ref="H124:H125"/>
    <mergeCell ref="M124:M125"/>
    <mergeCell ref="Q118:Q119"/>
    <mergeCell ref="R118:R119"/>
    <mergeCell ref="S118:S119"/>
    <mergeCell ref="Q124:Q125"/>
    <mergeCell ref="A104:A110"/>
    <mergeCell ref="B104:B166"/>
    <mergeCell ref="C104:F104"/>
    <mergeCell ref="C105:D110"/>
    <mergeCell ref="A111:A166"/>
    <mergeCell ref="C111:C135"/>
    <mergeCell ref="U97:U98"/>
    <mergeCell ref="V97:V98"/>
    <mergeCell ref="AC97:AC98"/>
    <mergeCell ref="A99:A103"/>
    <mergeCell ref="G97:G98"/>
    <mergeCell ref="H97:H98"/>
    <mergeCell ref="M97:M98"/>
    <mergeCell ref="Q97:Q98"/>
    <mergeCell ref="R97:R98"/>
    <mergeCell ref="S97:S98"/>
    <mergeCell ref="T97:T98"/>
    <mergeCell ref="D126:F127"/>
    <mergeCell ref="G126:G127"/>
    <mergeCell ref="AC116:AC117"/>
    <mergeCell ref="T118:T119"/>
    <mergeCell ref="U118:U119"/>
    <mergeCell ref="A89:A98"/>
    <mergeCell ref="B89:B103"/>
    <mergeCell ref="B69:F69"/>
    <mergeCell ref="B70:F70"/>
    <mergeCell ref="B71:F71"/>
    <mergeCell ref="A75:AF75"/>
    <mergeCell ref="A76:AF76"/>
    <mergeCell ref="B78:C78"/>
    <mergeCell ref="D78:E78"/>
    <mergeCell ref="AF87:AF88"/>
    <mergeCell ref="A83:AF83"/>
    <mergeCell ref="G78:M81"/>
    <mergeCell ref="A87:K87"/>
    <mergeCell ref="Q87:W87"/>
    <mergeCell ref="Y87:AA87"/>
    <mergeCell ref="AC87:AD87"/>
    <mergeCell ref="M66:O72"/>
    <mergeCell ref="B52:B61"/>
    <mergeCell ref="C52:F52"/>
    <mergeCell ref="C58:F58"/>
    <mergeCell ref="C59:F59"/>
    <mergeCell ref="C61:F61"/>
    <mergeCell ref="B64:F64"/>
    <mergeCell ref="C60:F60"/>
    <mergeCell ref="A47:A51"/>
    <mergeCell ref="B47:B51"/>
    <mergeCell ref="C47:F47"/>
    <mergeCell ref="C48:D51"/>
    <mergeCell ref="E48:E50"/>
    <mergeCell ref="E51:F51"/>
    <mergeCell ref="C53:F53"/>
    <mergeCell ref="C54:F54"/>
    <mergeCell ref="C55:F55"/>
    <mergeCell ref="C56:F56"/>
    <mergeCell ref="C57:F57"/>
    <mergeCell ref="A52:A61"/>
    <mergeCell ref="A42:A46"/>
    <mergeCell ref="B42:B46"/>
    <mergeCell ref="C42:F42"/>
    <mergeCell ref="C43:D46"/>
    <mergeCell ref="E43:E46"/>
    <mergeCell ref="A35:A41"/>
    <mergeCell ref="B35:B41"/>
    <mergeCell ref="C35:F35"/>
    <mergeCell ref="C36:D41"/>
    <mergeCell ref="E36:E41"/>
    <mergeCell ref="AF28:AF29"/>
    <mergeCell ref="A30:A34"/>
    <mergeCell ref="C30:F30"/>
    <mergeCell ref="C31:D34"/>
    <mergeCell ref="R28:R29"/>
    <mergeCell ref="S28:S29"/>
    <mergeCell ref="T28:T29"/>
    <mergeCell ref="U28:U29"/>
    <mergeCell ref="V28:V29"/>
    <mergeCell ref="AC28:AC29"/>
    <mergeCell ref="G28:G29"/>
    <mergeCell ref="H28:H29"/>
    <mergeCell ref="M28:M29"/>
    <mergeCell ref="Q28:Q29"/>
    <mergeCell ref="A20:A29"/>
    <mergeCell ref="B20:B34"/>
    <mergeCell ref="C20:F21"/>
    <mergeCell ref="G20:G21"/>
    <mergeCell ref="C22:D29"/>
    <mergeCell ref="I28:I29"/>
    <mergeCell ref="J20:J21"/>
    <mergeCell ref="J22:J23"/>
    <mergeCell ref="J24:J25"/>
    <mergeCell ref="J26:J27"/>
    <mergeCell ref="J28:J29"/>
    <mergeCell ref="K20:K21"/>
    <mergeCell ref="K22:K23"/>
    <mergeCell ref="K24:K25"/>
    <mergeCell ref="K26:K27"/>
    <mergeCell ref="K28:K29"/>
    <mergeCell ref="I26:I27"/>
    <mergeCell ref="T20:T21"/>
    <mergeCell ref="U20:U21"/>
    <mergeCell ref="V20:V21"/>
    <mergeCell ref="S26:S27"/>
    <mergeCell ref="T26:T27"/>
    <mergeCell ref="U26:U27"/>
    <mergeCell ref="AF24:AF25"/>
    <mergeCell ref="AF26:AF27"/>
    <mergeCell ref="F26:F27"/>
    <mergeCell ref="Q26:Q27"/>
    <mergeCell ref="R26:R27"/>
    <mergeCell ref="G22:G23"/>
    <mergeCell ref="H22:H23"/>
    <mergeCell ref="M22:M23"/>
    <mergeCell ref="Q22:Q23"/>
    <mergeCell ref="R22:R23"/>
    <mergeCell ref="Q20:Q21"/>
    <mergeCell ref="R20:R21"/>
    <mergeCell ref="F22:F23"/>
    <mergeCell ref="F24:F25"/>
    <mergeCell ref="AC24:AC25"/>
    <mergeCell ref="AC26:AC27"/>
    <mergeCell ref="A1:L1"/>
    <mergeCell ref="A2:AF2"/>
    <mergeCell ref="A3:H3"/>
    <mergeCell ref="A4:L4"/>
    <mergeCell ref="A6:AF6"/>
    <mergeCell ref="A7:AF7"/>
    <mergeCell ref="B12:C12"/>
    <mergeCell ref="D12:E12"/>
    <mergeCell ref="M18:O18"/>
    <mergeCell ref="B9:C9"/>
    <mergeCell ref="D9:E9"/>
    <mergeCell ref="B10:C10"/>
    <mergeCell ref="D10:E10"/>
    <mergeCell ref="B11:C11"/>
    <mergeCell ref="D11:E11"/>
    <mergeCell ref="AF18:AF19"/>
    <mergeCell ref="A19:B19"/>
    <mergeCell ref="C19:F19"/>
    <mergeCell ref="A14:AF14"/>
    <mergeCell ref="G9:M12"/>
    <mergeCell ref="Q16:W16"/>
    <mergeCell ref="Y16:AA16"/>
    <mergeCell ref="AC16:AD16"/>
    <mergeCell ref="AF16:AG16"/>
    <mergeCell ref="Q18:W18"/>
    <mergeCell ref="Y18:AA18"/>
    <mergeCell ref="AC18:AD18"/>
    <mergeCell ref="AG18:AG19"/>
    <mergeCell ref="Q85:W85"/>
    <mergeCell ref="Y85:AA85"/>
    <mergeCell ref="AC85:AD85"/>
    <mergeCell ref="AF85:AG85"/>
    <mergeCell ref="V22:V23"/>
    <mergeCell ref="AC22:AC23"/>
    <mergeCell ref="V26:V27"/>
    <mergeCell ref="Q24:Q25"/>
    <mergeCell ref="R24:R25"/>
    <mergeCell ref="S24:S25"/>
    <mergeCell ref="T24:T25"/>
    <mergeCell ref="U24:U25"/>
    <mergeCell ref="V24:V25"/>
    <mergeCell ref="S22:S23"/>
    <mergeCell ref="T22:T23"/>
    <mergeCell ref="U22:U23"/>
    <mergeCell ref="AF22:AF23"/>
    <mergeCell ref="AC20:AC21"/>
    <mergeCell ref="AF20:AF21"/>
    <mergeCell ref="S20:S21"/>
    <mergeCell ref="AG87:AG88"/>
    <mergeCell ref="C88:F88"/>
    <mergeCell ref="W20:W21"/>
    <mergeCell ref="W22:W23"/>
    <mergeCell ref="W24:W25"/>
    <mergeCell ref="W26:W27"/>
    <mergeCell ref="W28:W29"/>
    <mergeCell ref="AD20:AD21"/>
    <mergeCell ref="AD22:AD23"/>
    <mergeCell ref="AD24:AD25"/>
    <mergeCell ref="AD26:AD27"/>
    <mergeCell ref="AD28:AD29"/>
    <mergeCell ref="AG20:AG21"/>
    <mergeCell ref="AG22:AG23"/>
    <mergeCell ref="AG24:AG25"/>
    <mergeCell ref="AG26:AG27"/>
    <mergeCell ref="AG28:AG29"/>
    <mergeCell ref="H20:H21"/>
    <mergeCell ref="M20:M21"/>
    <mergeCell ref="H24:H25"/>
    <mergeCell ref="H26:H27"/>
    <mergeCell ref="M24:M25"/>
    <mergeCell ref="M26:M27"/>
    <mergeCell ref="I24:I25"/>
    <mergeCell ref="W130:W131"/>
    <mergeCell ref="W132:W133"/>
    <mergeCell ref="W211:W212"/>
    <mergeCell ref="AD89:AD90"/>
    <mergeCell ref="AD91:AD92"/>
    <mergeCell ref="AD93:AD94"/>
    <mergeCell ref="AD95:AD96"/>
    <mergeCell ref="AD97:AD98"/>
    <mergeCell ref="AD116:AD117"/>
    <mergeCell ref="AD118:AD119"/>
    <mergeCell ref="AD120:AD121"/>
    <mergeCell ref="AD122:AD123"/>
    <mergeCell ref="AD124:AD125"/>
    <mergeCell ref="AD126:AD127"/>
    <mergeCell ref="AD128:AD129"/>
    <mergeCell ref="AD130:AD131"/>
    <mergeCell ref="AD132:AD133"/>
    <mergeCell ref="AD134:AD135"/>
    <mergeCell ref="AD146:AD147"/>
    <mergeCell ref="AD177:AD178"/>
    <mergeCell ref="AD179:AD180"/>
    <mergeCell ref="AD181:AD182"/>
    <mergeCell ref="AD189:AD190"/>
    <mergeCell ref="AD211:AD212"/>
    <mergeCell ref="AG89:AG90"/>
    <mergeCell ref="AG91:AG92"/>
    <mergeCell ref="AG93:AG94"/>
    <mergeCell ref="AG95:AG96"/>
    <mergeCell ref="AG97:AG98"/>
    <mergeCell ref="AG116:AG117"/>
    <mergeCell ref="AG118:AG119"/>
    <mergeCell ref="AG120:AG121"/>
    <mergeCell ref="AG122:AG123"/>
    <mergeCell ref="AG124:AG125"/>
    <mergeCell ref="AG126:AG127"/>
    <mergeCell ref="AG128:AG129"/>
    <mergeCell ref="AG130:AG131"/>
    <mergeCell ref="AG132:AG133"/>
    <mergeCell ref="AG134:AG135"/>
    <mergeCell ref="AG146:AG147"/>
    <mergeCell ref="AG148:AG149"/>
    <mergeCell ref="AG150:AG151"/>
    <mergeCell ref="M238:O244"/>
    <mergeCell ref="AG197:AG198"/>
    <mergeCell ref="AG199:AG200"/>
    <mergeCell ref="AG207:AG208"/>
    <mergeCell ref="AG209:AG210"/>
    <mergeCell ref="AG211:AG212"/>
    <mergeCell ref="AG152:AG153"/>
    <mergeCell ref="AG154:AG155"/>
    <mergeCell ref="AG177:AG178"/>
    <mergeCell ref="AG179:AG180"/>
    <mergeCell ref="AG181:AG182"/>
    <mergeCell ref="AG189:AG190"/>
    <mergeCell ref="AG191:AG192"/>
    <mergeCell ref="AG193:AG194"/>
    <mergeCell ref="AG195:AG196"/>
    <mergeCell ref="W189:W190"/>
    <mergeCell ref="W191:W192"/>
    <mergeCell ref="W193:W194"/>
    <mergeCell ref="W195:W196"/>
    <mergeCell ref="AD191:AD192"/>
    <mergeCell ref="AD193:AD194"/>
    <mergeCell ref="AD195:AD196"/>
    <mergeCell ref="Q195:Q196"/>
    <mergeCell ref="T195:T196"/>
  </mergeCells>
  <conditionalFormatting sqref="G20:G21 N20:N21 G30 M30:N30">
    <cfRule type="expression" dxfId="1430" priority="609">
      <formula>$D$9="By sector"</formula>
    </cfRule>
    <cfRule type="expression" dxfId="1429" priority="939">
      <formula>$D$9="By sub-asset class"</formula>
    </cfRule>
  </conditionalFormatting>
  <conditionalFormatting sqref="G20:G34 N20:N34 M30:M34">
    <cfRule type="expression" dxfId="1428" priority="944">
      <formula>$D$9="N/A"</formula>
    </cfRule>
  </conditionalFormatting>
  <conditionalFormatting sqref="G22:G29 N22:N29 G31:G34 M31:N34">
    <cfRule type="expression" dxfId="1427" priority="860">
      <formula>$D$9="By sector"</formula>
    </cfRule>
    <cfRule type="expression" dxfId="1426" priority="902">
      <formula>$D$9="By sub-asset class"</formula>
    </cfRule>
  </conditionalFormatting>
  <conditionalFormatting sqref="G35 M35">
    <cfRule type="expression" dxfId="1425" priority="938">
      <formula>$D$10="All of segment"</formula>
    </cfRule>
    <cfRule type="expression" dxfId="1424" priority="978">
      <formula>$D$10="By sub-asset class"</formula>
    </cfRule>
  </conditionalFormatting>
  <conditionalFormatting sqref="G35:G41 M35:M41">
    <cfRule type="expression" dxfId="1423" priority="979">
      <formula>$D$10="N/A"</formula>
    </cfRule>
  </conditionalFormatting>
  <conditionalFormatting sqref="G36:G41 M36:M41">
    <cfRule type="expression" dxfId="1422" priority="976">
      <formula>$D$10="All of segment"</formula>
    </cfRule>
    <cfRule type="expression" dxfId="1421" priority="977">
      <formula>$D$10="By sub-asset class"</formula>
    </cfRule>
  </conditionalFormatting>
  <conditionalFormatting sqref="G42 M42">
    <cfRule type="expression" dxfId="1420" priority="937">
      <formula>$D$11="All of segment"</formula>
    </cfRule>
    <cfRule type="expression" dxfId="1419" priority="970">
      <formula>$D$11="By sub-asset class"</formula>
    </cfRule>
  </conditionalFormatting>
  <conditionalFormatting sqref="G42:G46 M42:M46">
    <cfRule type="expression" dxfId="1418" priority="971">
      <formula>$D$11="N/A"</formula>
    </cfRule>
  </conditionalFormatting>
  <conditionalFormatting sqref="G43:G46 M43:M46">
    <cfRule type="expression" dxfId="1417" priority="968">
      <formula>$D$11="All of segment"</formula>
    </cfRule>
    <cfRule type="expression" dxfId="1416" priority="969">
      <formula>$D$11="By sub-asset class"</formula>
    </cfRule>
  </conditionalFormatting>
  <conditionalFormatting sqref="G47 M47">
    <cfRule type="expression" dxfId="1415" priority="936">
      <formula>$D$12="All of segment"</formula>
    </cfRule>
    <cfRule type="expression" dxfId="1414" priority="962">
      <formula>$D$12="By sub-asset class"</formula>
    </cfRule>
  </conditionalFormatting>
  <conditionalFormatting sqref="G47:G51 M47:M51">
    <cfRule type="expression" dxfId="1413" priority="963">
      <formula>$D$12="N/A"</formula>
    </cfRule>
  </conditionalFormatting>
  <conditionalFormatting sqref="G48:G51 M48:M51">
    <cfRule type="expression" dxfId="1412" priority="960">
      <formula>$D$12="All of segment"</formula>
    </cfRule>
    <cfRule type="expression" dxfId="1411" priority="961">
      <formula>$D$12="By sub-asset class"</formula>
    </cfRule>
  </conditionalFormatting>
  <conditionalFormatting sqref="G89:G90 I89:J90 N89:N90 G99 I99:J99 M99:N99">
    <cfRule type="expression" dxfId="1410" priority="88">
      <formula>$D$78="By sector"</formula>
    </cfRule>
    <cfRule type="expression" dxfId="1409" priority="89">
      <formula>$D$78="By sub-asset class"</formula>
    </cfRule>
  </conditionalFormatting>
  <conditionalFormatting sqref="G89:G98 N89:N103">
    <cfRule type="expression" dxfId="1408" priority="849">
      <formula>$D$78="Climate-alignment only"</formula>
    </cfRule>
  </conditionalFormatting>
  <conditionalFormatting sqref="G89:G103 N89:N103 M99:M103">
    <cfRule type="expression" dxfId="1407" priority="607">
      <formula>$D$78="N/A"</formula>
    </cfRule>
  </conditionalFormatting>
  <conditionalFormatting sqref="G89:G103 N89:N103">
    <cfRule type="expression" dxfId="1406" priority="910">
      <formula>$D$78="Sector only"</formula>
    </cfRule>
  </conditionalFormatting>
  <conditionalFormatting sqref="G91:G98 I91:J98 N91:N98 G100:G103 I100:J103 M100:N103">
    <cfRule type="expression" dxfId="1405" priority="86">
      <formula>$D$78="By sector"</formula>
    </cfRule>
    <cfRule type="expression" dxfId="1404" priority="87">
      <formula>$D$78="By sub-asset class"</formula>
    </cfRule>
  </conditionalFormatting>
  <conditionalFormatting sqref="G91:G98 N91:N98">
    <cfRule type="expression" dxfId="1403" priority="848">
      <formula>$G$89&gt;0</formula>
    </cfRule>
  </conditionalFormatting>
  <conditionalFormatting sqref="G99 I99:J99 M99:N99">
    <cfRule type="expression" dxfId="1402" priority="90">
      <formula>$G$100&gt;0</formula>
    </cfRule>
    <cfRule type="expression" dxfId="1401" priority="91">
      <formula>$G$101&gt;0</formula>
    </cfRule>
    <cfRule type="expression" dxfId="1400" priority="92">
      <formula>$G$102&gt;0</formula>
    </cfRule>
    <cfRule type="expression" dxfId="1399" priority="93">
      <formula>$G$103&gt;0</formula>
    </cfRule>
  </conditionalFormatting>
  <conditionalFormatting sqref="G99:G103 M99:M103">
    <cfRule type="expression" dxfId="1398" priority="846">
      <formula>$D$78="Climate-alignment only"</formula>
    </cfRule>
  </conditionalFormatting>
  <conditionalFormatting sqref="G100:G103 M100:N103">
    <cfRule type="expression" dxfId="1397" priority="608">
      <formula>$G$99&gt;0</formula>
    </cfRule>
  </conditionalFormatting>
  <conditionalFormatting sqref="G104 I104:J104 M104">
    <cfRule type="expression" dxfId="1396" priority="83">
      <formula>$D$79="All of segment"</formula>
    </cfRule>
    <cfRule type="expression" dxfId="1395" priority="84">
      <formula>$D$79="By sub-asset class"</formula>
    </cfRule>
    <cfRule type="expression" dxfId="1394" priority="85">
      <formula>$D$79="By sector"</formula>
    </cfRule>
  </conditionalFormatting>
  <conditionalFormatting sqref="G104 M104">
    <cfRule type="expression" dxfId="1393" priority="983">
      <formula>$D$79="Both climate-alignment and sector"</formula>
    </cfRule>
  </conditionalFormatting>
  <conditionalFormatting sqref="G104:G111 M104:M111 G116 I116:J116 M116 G126 I126:J126 M126 G136 I136:J136 M136 G141 I141:J141 M141 G146 I146:J146 M146 G156 I156:J156 M156 G161 I161:J161 M161">
    <cfRule type="expression" dxfId="1392" priority="897">
      <formula>$D$79="Climate-alignment only"</formula>
    </cfRule>
  </conditionalFormatting>
  <conditionalFormatting sqref="G104:G166 I104:J166 M104:M166 N111:N166">
    <cfRule type="expression" dxfId="1391" priority="889">
      <formula>$D$79="N/A"</formula>
    </cfRule>
  </conditionalFormatting>
  <conditionalFormatting sqref="G105:G110 I105:J110 M105:M110">
    <cfRule type="expression" dxfId="1390" priority="81">
      <formula>$D$79="By sector"</formula>
    </cfRule>
    <cfRule type="expression" dxfId="1389" priority="82">
      <formula>$D$79="By sub-asset class"</formula>
    </cfRule>
  </conditionalFormatting>
  <conditionalFormatting sqref="G105:G166 I105:J166 M105:N166">
    <cfRule type="expression" dxfId="1388" priority="890">
      <formula>$G$104&gt;0</formula>
    </cfRule>
  </conditionalFormatting>
  <conditionalFormatting sqref="G105:G166 M105:M166 N111:N166">
    <cfRule type="expression" dxfId="1387" priority="898">
      <formula>$D$79="Both climate-alignment and sector"</formula>
    </cfRule>
  </conditionalFormatting>
  <conditionalFormatting sqref="G111 I111:J111 M111:N111">
    <cfRule type="expression" dxfId="1386" priority="77">
      <formula>$G$112&gt;0</formula>
    </cfRule>
    <cfRule type="expression" dxfId="1385" priority="78">
      <formula>$G$113&gt;0</formula>
    </cfRule>
    <cfRule type="expression" dxfId="1384" priority="79">
      <formula>$G$114&gt;0</formula>
    </cfRule>
    <cfRule type="expression" dxfId="1383" priority="168">
      <formula>$G$115&gt;0</formula>
    </cfRule>
  </conditionalFormatting>
  <conditionalFormatting sqref="G111:G166 I111:J166 M111:N166">
    <cfRule type="expression" dxfId="1382" priority="888">
      <formula>$D$79="By sector"</formula>
    </cfRule>
  </conditionalFormatting>
  <conditionalFormatting sqref="G111:G166 N111:N166">
    <cfRule type="expression" dxfId="1381" priority="893">
      <formula>$D$79="Sector only"</formula>
    </cfRule>
  </conditionalFormatting>
  <conditionalFormatting sqref="G112:G115 I112:J115 M112:N115">
    <cfRule type="expression" dxfId="1380" priority="169">
      <formula>$G$111&gt;0</formula>
    </cfRule>
  </conditionalFormatting>
  <conditionalFormatting sqref="G116 I116:J116 M116 N116:N117">
    <cfRule type="expression" dxfId="1379" priority="164">
      <formula>$G$118&gt;0</formula>
    </cfRule>
    <cfRule type="expression" dxfId="1378" priority="165">
      <formula>$G$120&gt;0</formula>
    </cfRule>
    <cfRule type="expression" dxfId="1377" priority="166">
      <formula>$G$122&gt;0</formula>
    </cfRule>
    <cfRule type="expression" dxfId="1376" priority="167">
      <formula>$G$124&gt;0</formula>
    </cfRule>
  </conditionalFormatting>
  <conditionalFormatting sqref="G118:G125 I118:J125 M118:N125">
    <cfRule type="expression" dxfId="1375" priority="170">
      <formula>$G$116&gt;0</formula>
    </cfRule>
  </conditionalFormatting>
  <conditionalFormatting sqref="G126 I126:J126 M126 N126:N127">
    <cfRule type="expression" dxfId="1374" priority="160">
      <formula>$G$128&gt;0</formula>
    </cfRule>
    <cfRule type="expression" dxfId="1373" priority="161">
      <formula>$G$130&gt;0</formula>
    </cfRule>
    <cfRule type="expression" dxfId="1372" priority="162">
      <formula>$G$132&gt;0</formula>
    </cfRule>
    <cfRule type="expression" dxfId="1371" priority="163">
      <formula>$G$134&gt;0</formula>
    </cfRule>
  </conditionalFormatting>
  <conditionalFormatting sqref="G128:G135 I128:J135 M128:N135">
    <cfRule type="expression" dxfId="1370" priority="171">
      <formula>$G$126&gt;0</formula>
    </cfRule>
  </conditionalFormatting>
  <conditionalFormatting sqref="G136 I136:J136 M136:N136">
    <cfRule type="expression" dxfId="1369" priority="156">
      <formula>$G$137&gt;0</formula>
    </cfRule>
    <cfRule type="expression" dxfId="1368" priority="157">
      <formula>$G$138&gt;0</formula>
    </cfRule>
    <cfRule type="expression" dxfId="1367" priority="158">
      <formula>$G$139&gt;0</formula>
    </cfRule>
    <cfRule type="expression" dxfId="1366" priority="159">
      <formula>$G$140&gt;0</formula>
    </cfRule>
  </conditionalFormatting>
  <conditionalFormatting sqref="G137:G140 M137:N140">
    <cfRule type="expression" dxfId="1365" priority="512">
      <formula>$G$136&gt;0</formula>
    </cfRule>
  </conditionalFormatting>
  <conditionalFormatting sqref="G141 I141:J141 M141:N141">
    <cfRule type="expression" dxfId="1364" priority="152">
      <formula>$G$142&gt;0</formula>
    </cfRule>
    <cfRule type="expression" dxfId="1363" priority="153">
      <formula>$G$143&gt;0</formula>
    </cfRule>
    <cfRule type="expression" dxfId="1362" priority="154">
      <formula>$G$144&gt;0</formula>
    </cfRule>
    <cfRule type="expression" dxfId="1361" priority="155">
      <formula>$G$145&gt;0</formula>
    </cfRule>
  </conditionalFormatting>
  <conditionalFormatting sqref="G146 I146:J146 M146 N146:N147">
    <cfRule type="expression" dxfId="1360" priority="148">
      <formula>$G$148&gt;0</formula>
    </cfRule>
    <cfRule type="expression" dxfId="1359" priority="149">
      <formula>$G$150&gt;0</formula>
    </cfRule>
    <cfRule type="expression" dxfId="1358" priority="150">
      <formula>$G$152&gt;0</formula>
    </cfRule>
    <cfRule type="expression" dxfId="1357" priority="151">
      <formula>$G$154&gt;0</formula>
    </cfRule>
  </conditionalFormatting>
  <conditionalFormatting sqref="G156 I156:J156 M156:N156">
    <cfRule type="expression" dxfId="1356" priority="144">
      <formula>$G$157&gt;0</formula>
    </cfRule>
    <cfRule type="expression" dxfId="1355" priority="145">
      <formula>$G$158&gt;0</formula>
    </cfRule>
    <cfRule type="expression" dxfId="1354" priority="146">
      <formula>$G$159&gt;0</formula>
    </cfRule>
    <cfRule type="expression" dxfId="1353" priority="147">
      <formula>$G$160&gt;0</formula>
    </cfRule>
  </conditionalFormatting>
  <conditionalFormatting sqref="G161 I161:J161 M161:N161">
    <cfRule type="expression" dxfId="1352" priority="139">
      <formula>$G$162&gt;0</formula>
    </cfRule>
    <cfRule type="expression" dxfId="1351" priority="140">
      <formula>$G$163&gt;0</formula>
    </cfRule>
    <cfRule type="expression" dxfId="1350" priority="141">
      <formula>$G$164&gt;0</formula>
    </cfRule>
    <cfRule type="expression" dxfId="1349" priority="142">
      <formula>$G$165&gt;0</formula>
    </cfRule>
    <cfRule type="expression" dxfId="1348" priority="143">
      <formula>$G$166&gt;0</formula>
    </cfRule>
  </conditionalFormatting>
  <conditionalFormatting sqref="G167 I167:J167 M167">
    <cfRule type="expression" dxfId="1347" priority="883">
      <formula>$D$80="By sub-asset class"</formula>
    </cfRule>
  </conditionalFormatting>
  <conditionalFormatting sqref="G167:G171 I167:J171 M167:M171">
    <cfRule type="expression" dxfId="1346" priority="884">
      <formula>$D$80="N/A"</formula>
    </cfRule>
  </conditionalFormatting>
  <conditionalFormatting sqref="G168:G171 I168:J171 M168:M171">
    <cfRule type="expression" dxfId="1345" priority="882">
      <formula>$D$80="By sub-asset class"</formula>
    </cfRule>
  </conditionalFormatting>
  <conditionalFormatting sqref="G172 I172:J172 M172">
    <cfRule type="expression" dxfId="1344" priority="74">
      <formula>$D$81="All of segment"</formula>
    </cfRule>
    <cfRule type="expression" dxfId="1343" priority="75">
      <formula>$D$81="By sub-asset class"</formula>
    </cfRule>
    <cfRule type="expression" dxfId="1342" priority="76">
      <formula>$D$81="By sector"</formula>
    </cfRule>
  </conditionalFormatting>
  <conditionalFormatting sqref="G172 I172:J172">
    <cfRule type="expression" dxfId="1341" priority="73">
      <formula>$D$81="N/A"</formula>
    </cfRule>
  </conditionalFormatting>
  <conditionalFormatting sqref="G172 M172">
    <cfRule type="expression" dxfId="1340" priority="870">
      <formula>$D$81="Both climate-alignment and sector"</formula>
    </cfRule>
  </conditionalFormatting>
  <conditionalFormatting sqref="G172:G176 M172:M176 G183 I183:J183 M183 G186 I186:J186 M186 G189:G190 I189:J190 M189:M190 G195:G196 I195:J196 M195:M196 G201 I201:J201 M201 G204 I204:J204 M204 G207:G208 I207:J208 M207:M208 G213 I213:J213 M213 G216 I216:J216 M216 G221 I221:J221 M221">
    <cfRule type="expression" dxfId="1339" priority="652">
      <formula>$D$81="Climate-alignment only"</formula>
    </cfRule>
  </conditionalFormatting>
  <conditionalFormatting sqref="G172:G176 M172:M176 M183:M223 G221:G223 I221:J223">
    <cfRule type="expression" dxfId="1338" priority="679">
      <formula>$D$81="Sector only"</formula>
    </cfRule>
  </conditionalFormatting>
  <conditionalFormatting sqref="G173:G176 I173:J176 M173:M176">
    <cfRule type="expression" dxfId="1337" priority="71">
      <formula>$D$81="By sub-asset class"</formula>
    </cfRule>
    <cfRule type="expression" dxfId="1336" priority="72">
      <formula>$D$81="By sector"</formula>
    </cfRule>
  </conditionalFormatting>
  <conditionalFormatting sqref="G173:G223 I173:J223 M173:N223">
    <cfRule type="expression" dxfId="1335" priority="650">
      <formula>$G$172&gt;0</formula>
    </cfRule>
  </conditionalFormatting>
  <conditionalFormatting sqref="G173:G223 I173:J223 N177:N220 M183:M223 M172:M176">
    <cfRule type="expression" dxfId="1334" priority="631">
      <formula>$D$81="N/A"</formula>
    </cfRule>
  </conditionalFormatting>
  <conditionalFormatting sqref="G173:G223 I173:J223 N177:N220 M183:M223">
    <cfRule type="expression" dxfId="1333" priority="651">
      <formula>$D$81="Both climate-alignment and sector"</formula>
    </cfRule>
  </conditionalFormatting>
  <conditionalFormatting sqref="G177 I177:J177 N177:N178">
    <cfRule type="expression" dxfId="1332" priority="68">
      <formula>$G$179&gt;0</formula>
    </cfRule>
    <cfRule type="expression" dxfId="1331" priority="69">
      <formula>$G$181&gt;0</formula>
    </cfRule>
  </conditionalFormatting>
  <conditionalFormatting sqref="G177:G182 I177:J182 N177:N220 G184:G185 M184:M185 G187:G188 I187:J188 M187:M188 G191:G194 I191:J194 M191:M194 G197:G200 I197:J200 M197:M200 G202:G203 I202:J203 M202:M203 G205:G206 I205:J206 M205:M206 G209:G212 I209:J212 M209:M212 G214:G215 I214:J215 M214:M215 G217:G220 I217:J220 M217:M220 G222:G223 I222:J223 M222:M223">
    <cfRule type="expression" dxfId="1330" priority="632">
      <formula>$D$81="Climate-alignment only"</formula>
    </cfRule>
  </conditionalFormatting>
  <conditionalFormatting sqref="G177:G220 N177:N220">
    <cfRule type="expression" dxfId="1329" priority="678">
      <formula>$D$81="Sector only"</formula>
    </cfRule>
  </conditionalFormatting>
  <conditionalFormatting sqref="G179:G182 I179:J182 N179:N182">
    <cfRule type="expression" dxfId="1328" priority="70">
      <formula>$G$177&gt;0</formula>
    </cfRule>
  </conditionalFormatting>
  <conditionalFormatting sqref="G183 I183:J183 M183:N183">
    <cfRule type="expression" dxfId="1327" priority="135">
      <formula>$G$184&gt;0</formula>
    </cfRule>
    <cfRule type="expression" dxfId="1326" priority="136">
      <formula>$G$185&gt;0</formula>
    </cfRule>
  </conditionalFormatting>
  <conditionalFormatting sqref="G184:G185 I184:J185 M184:N185">
    <cfRule type="expression" dxfId="1325" priority="137">
      <formula>$G$183&gt;0</formula>
    </cfRule>
  </conditionalFormatting>
  <conditionalFormatting sqref="G186 I186:J186 M186:N186">
    <cfRule type="expression" dxfId="1324" priority="133">
      <formula>$G$187&gt;0</formula>
    </cfRule>
    <cfRule type="expression" dxfId="1323" priority="134">
      <formula>$G$188&gt;0</formula>
    </cfRule>
  </conditionalFormatting>
  <conditionalFormatting sqref="G187:G188 I187:J188 M187:N188">
    <cfRule type="expression" dxfId="1322" priority="138">
      <formula>$G$186&gt;0</formula>
    </cfRule>
  </conditionalFormatting>
  <conditionalFormatting sqref="G189 I189:J189 M189 N189:N190">
    <cfRule type="expression" dxfId="1321" priority="131">
      <formula>$G$191&gt;0</formula>
    </cfRule>
    <cfRule type="expression" dxfId="1320" priority="132">
      <formula>$G$193&gt;0</formula>
    </cfRule>
  </conditionalFormatting>
  <conditionalFormatting sqref="G191:G194 M191:N194">
    <cfRule type="expression" dxfId="1319" priority="490">
      <formula>$G$189&gt;0</formula>
    </cfRule>
  </conditionalFormatting>
  <conditionalFormatting sqref="G195 I195:J195 M195 N195:N196">
    <cfRule type="expression" dxfId="1318" priority="129">
      <formula>$G$197&gt;0</formula>
    </cfRule>
    <cfRule type="expression" dxfId="1317" priority="130">
      <formula>$G$199&gt;0</formula>
    </cfRule>
  </conditionalFormatting>
  <conditionalFormatting sqref="G201 I201:J201 M201:N201">
    <cfRule type="expression" dxfId="1316" priority="127">
      <formula>$G$202&gt;0</formula>
    </cfRule>
    <cfRule type="expression" dxfId="1315" priority="128">
      <formula>$G$203&gt;0</formula>
    </cfRule>
  </conditionalFormatting>
  <conditionalFormatting sqref="G204 I204:J204 M204:N204">
    <cfRule type="expression" dxfId="1314" priority="125">
      <formula>$G$205&gt;0</formula>
    </cfRule>
    <cfRule type="expression" dxfId="1313" priority="126">
      <formula>$G$206&gt;0</formula>
    </cfRule>
  </conditionalFormatting>
  <conditionalFormatting sqref="G207 I207:J207 M207 N207:N208">
    <cfRule type="expression" dxfId="1312" priority="123">
      <formula>$G$209&gt;0</formula>
    </cfRule>
    <cfRule type="expression" dxfId="1311" priority="124">
      <formula>$G$211&gt;0</formula>
    </cfRule>
  </conditionalFormatting>
  <conditionalFormatting sqref="G213 I213:J213 M213:N213">
    <cfRule type="expression" dxfId="1310" priority="121">
      <formula>$G$214&gt;0</formula>
    </cfRule>
    <cfRule type="expression" dxfId="1309" priority="122">
      <formula>$G$215&gt;0</formula>
    </cfRule>
  </conditionalFormatting>
  <conditionalFormatting sqref="G216 I216:J216 M216:N216">
    <cfRule type="expression" dxfId="1308" priority="117">
      <formula>$G$217&gt;0</formula>
    </cfRule>
    <cfRule type="expression" dxfId="1307" priority="118">
      <formula>$G$218&gt;0</formula>
    </cfRule>
    <cfRule type="expression" dxfId="1306" priority="119">
      <formula>$G$219&gt;0</formula>
    </cfRule>
    <cfRule type="expression" dxfId="1305" priority="120">
      <formula>$G$220&gt;0</formula>
    </cfRule>
  </conditionalFormatting>
  <conditionalFormatting sqref="G221 I221:J221 M221">
    <cfRule type="expression" dxfId="1304" priority="115">
      <formula>$G$222&gt;0</formula>
    </cfRule>
    <cfRule type="expression" dxfId="1303" priority="116">
      <formula>$G$223&gt;0</formula>
    </cfRule>
  </conditionalFormatting>
  <conditionalFormatting sqref="G222:G223 M222:M223">
    <cfRule type="expression" dxfId="1302" priority="625">
      <formula>$G$221&gt;0</formula>
    </cfRule>
  </conditionalFormatting>
  <conditionalFormatting sqref="G104:J166 L104:M166">
    <cfRule type="expression" dxfId="1301" priority="900">
      <formula>$D$79="Sector only"</formula>
    </cfRule>
  </conditionalFormatting>
  <conditionalFormatting sqref="I66:I68 I72 I238:I240 I244">
    <cfRule type="containsText" dxfId="1300" priority="980" operator="containsText" text="OK">
      <formula>NOT(ISERROR(SEARCH("OK",I66)))</formula>
    </cfRule>
    <cfRule type="containsText" dxfId="1299" priority="981" operator="containsText" text="Error">
      <formula>NOT(ISERROR(SEARCH("Error",I66)))</formula>
    </cfRule>
  </conditionalFormatting>
  <conditionalFormatting sqref="I20:J21 I30:J30">
    <cfRule type="expression" dxfId="1298" priority="566">
      <formula>$D$9="By sector"</formula>
    </cfRule>
    <cfRule type="expression" dxfId="1297" priority="572">
      <formula>$D$9="By sub-asset class"</formula>
    </cfRule>
  </conditionalFormatting>
  <conditionalFormatting sqref="I20:J34">
    <cfRule type="expression" dxfId="1296" priority="573">
      <formula>$D$9="N/A"</formula>
    </cfRule>
  </conditionalFormatting>
  <conditionalFormatting sqref="I22:J29 I31:J34">
    <cfRule type="expression" dxfId="1295" priority="567">
      <formula>$D$9="By sector"</formula>
    </cfRule>
    <cfRule type="expression" dxfId="1294" priority="568">
      <formula>$D$9="By sub-asset class"</formula>
    </cfRule>
  </conditionalFormatting>
  <conditionalFormatting sqref="I35:J35">
    <cfRule type="expression" dxfId="1293" priority="571">
      <formula>$D$10="All of segment"</formula>
    </cfRule>
    <cfRule type="expression" dxfId="1292" priority="584">
      <formula>$D$10="By sub-asset class"</formula>
    </cfRule>
  </conditionalFormatting>
  <conditionalFormatting sqref="I35:J41">
    <cfRule type="expression" dxfId="1291" priority="585">
      <formula>$D$10="N/A"</formula>
    </cfRule>
  </conditionalFormatting>
  <conditionalFormatting sqref="I36:J41">
    <cfRule type="expression" dxfId="1290" priority="582">
      <formula>$D$10="All of segment"</formula>
    </cfRule>
    <cfRule type="expression" dxfId="1289" priority="583">
      <formula>$D$10="By sub-asset class"</formula>
    </cfRule>
  </conditionalFormatting>
  <conditionalFormatting sqref="I42:J42">
    <cfRule type="expression" dxfId="1288" priority="570">
      <formula>$D$11="All of segment"</formula>
    </cfRule>
    <cfRule type="expression" dxfId="1287" priority="580">
      <formula>$D$11="By sub-asset class"</formula>
    </cfRule>
  </conditionalFormatting>
  <conditionalFormatting sqref="I42:J46">
    <cfRule type="expression" dxfId="1286" priority="581">
      <formula>$D$11="N/A"</formula>
    </cfRule>
  </conditionalFormatting>
  <conditionalFormatting sqref="I43:J46">
    <cfRule type="expression" dxfId="1285" priority="578">
      <formula>$D$11="All of segment"</formula>
    </cfRule>
    <cfRule type="expression" dxfId="1284" priority="579">
      <formula>$D$11="By sub-asset class"</formula>
    </cfRule>
  </conditionalFormatting>
  <conditionalFormatting sqref="I47:J47">
    <cfRule type="expression" dxfId="1283" priority="569">
      <formula>$D$12="All of segment"</formula>
    </cfRule>
    <cfRule type="expression" dxfId="1282" priority="576">
      <formula>$D$12="By sub-asset class"</formula>
    </cfRule>
  </conditionalFormatting>
  <conditionalFormatting sqref="I47:J51">
    <cfRule type="expression" dxfId="1281" priority="577">
      <formula>$D$12="N/A"</formula>
    </cfRule>
  </conditionalFormatting>
  <conditionalFormatting sqref="I48:J51">
    <cfRule type="expression" dxfId="1280" priority="574">
      <formula>$D$12="All of segment"</formula>
    </cfRule>
    <cfRule type="expression" dxfId="1279" priority="575">
      <formula>$D$12="By sub-asset class"</formula>
    </cfRule>
  </conditionalFormatting>
  <conditionalFormatting sqref="I89:J98">
    <cfRule type="expression" dxfId="1278" priority="497">
      <formula>$D$78="Climate-alignment only"</formula>
    </cfRule>
  </conditionalFormatting>
  <conditionalFormatting sqref="I89:J103">
    <cfRule type="expression" dxfId="1277" priority="498">
      <formula>$D$78="Sector only"</formula>
    </cfRule>
    <cfRule type="expression" dxfId="1276" priority="517">
      <formula>$D$78="Both climate-alignment and sector"</formula>
    </cfRule>
    <cfRule type="expression" dxfId="1275" priority="518">
      <formula>$D$78="N/A"</formula>
    </cfRule>
  </conditionalFormatting>
  <conditionalFormatting sqref="I91:J98">
    <cfRule type="expression" dxfId="1274" priority="475">
      <formula>$G$89&gt;0</formula>
    </cfRule>
  </conditionalFormatting>
  <conditionalFormatting sqref="I99:J103">
    <cfRule type="expression" dxfId="1273" priority="496">
      <formula>$D$78="Climate-alignment only"</formula>
    </cfRule>
  </conditionalFormatting>
  <conditionalFormatting sqref="I100:J103">
    <cfRule type="expression" dxfId="1272" priority="476">
      <formula>$G$99&gt;0</formula>
    </cfRule>
  </conditionalFormatting>
  <conditionalFormatting sqref="I104:J104">
    <cfRule type="expression" dxfId="1271" priority="516">
      <formula>$D$79="Both climate-alignment and sector"</formula>
    </cfRule>
  </conditionalFormatting>
  <conditionalFormatting sqref="I104:J111">
    <cfRule type="expression" dxfId="1270" priority="514">
      <formula>$D$79="Climate-alignment only"</formula>
    </cfRule>
  </conditionalFormatting>
  <conditionalFormatting sqref="I104:J166">
    <cfRule type="expression" dxfId="1269" priority="606">
      <formula>$D$79="N/A"</formula>
    </cfRule>
  </conditionalFormatting>
  <conditionalFormatting sqref="I105:J110 M105:M110 G105:G166">
    <cfRule type="expression" dxfId="1268" priority="80">
      <formula>$D$79="All of segment"</formula>
    </cfRule>
  </conditionalFormatting>
  <conditionalFormatting sqref="I105:J166">
    <cfRule type="expression" dxfId="1267" priority="519">
      <formula>$D$79="Both climate-alignment and sector"</formula>
    </cfRule>
  </conditionalFormatting>
  <conditionalFormatting sqref="I111:J166 G111:G166 M111:N166">
    <cfRule type="expression" dxfId="1266" priority="887">
      <formula>$D$79="By sub-asset class"</formula>
    </cfRule>
  </conditionalFormatting>
  <conditionalFormatting sqref="I111:J166 M111:N166">
    <cfRule type="expression" dxfId="1265" priority="886">
      <formula>$D$79="All of segment"</formula>
    </cfRule>
  </conditionalFormatting>
  <conditionalFormatting sqref="I111:J166">
    <cfRule type="expression" dxfId="1264" priority="515">
      <formula>$D$79="Sector only"</formula>
    </cfRule>
  </conditionalFormatting>
  <conditionalFormatting sqref="I112:J115">
    <cfRule type="expression" dxfId="1263" priority="513">
      <formula>$D$79="Climate-alignment only"</formula>
    </cfRule>
  </conditionalFormatting>
  <conditionalFormatting sqref="I137:J140">
    <cfRule type="expression" dxfId="1262" priority="507">
      <formula>$G$136&gt;0</formula>
    </cfRule>
  </conditionalFormatting>
  <conditionalFormatting sqref="I142:J145 G142:G145 M142:N145">
    <cfRule type="expression" dxfId="1261" priority="731">
      <formula>$G$141&gt;0</formula>
    </cfRule>
  </conditionalFormatting>
  <conditionalFormatting sqref="I142:J145">
    <cfRule type="expression" dxfId="1260" priority="508">
      <formula>$G$141&gt;0</formula>
    </cfRule>
  </conditionalFormatting>
  <conditionalFormatting sqref="I148:J155 G148:G155 M148:N155">
    <cfRule type="expression" dxfId="1259" priority="831">
      <formula>$G$146&gt;0</formula>
    </cfRule>
  </conditionalFormatting>
  <conditionalFormatting sqref="I148:J155">
    <cfRule type="expression" dxfId="1258" priority="509">
      <formula>$G$146&gt;0</formula>
    </cfRule>
  </conditionalFormatting>
  <conditionalFormatting sqref="I157:J160 G157:G160 M157:N160">
    <cfRule type="expression" dxfId="1257" priority="832">
      <formula>$G$156&gt;0</formula>
    </cfRule>
  </conditionalFormatting>
  <conditionalFormatting sqref="I157:J160">
    <cfRule type="expression" dxfId="1256" priority="510">
      <formula>$G$156&gt;0</formula>
    </cfRule>
  </conditionalFormatting>
  <conditionalFormatting sqref="I162:J166 G162:G166 M162:N166">
    <cfRule type="expression" dxfId="1255" priority="885">
      <formula>$G$161&gt;0</formula>
    </cfRule>
  </conditionalFormatting>
  <conditionalFormatting sqref="I162:J166">
    <cfRule type="expression" dxfId="1254" priority="511">
      <formula>$G$161&gt;0</formula>
    </cfRule>
  </conditionalFormatting>
  <conditionalFormatting sqref="I167:J167 G167 M167">
    <cfRule type="expression" dxfId="1253" priority="880">
      <formula>$D$80="All of segment"</formula>
    </cfRule>
  </conditionalFormatting>
  <conditionalFormatting sqref="I167:J167">
    <cfRule type="expression" dxfId="1252" priority="502">
      <formula>$D$80="All of segment"</formula>
    </cfRule>
    <cfRule type="expression" dxfId="1251" priority="505">
      <formula>$D$80="By sub-asset class"</formula>
    </cfRule>
  </conditionalFormatting>
  <conditionalFormatting sqref="I167:J171">
    <cfRule type="expression" dxfId="1250" priority="506">
      <formula>$D$80="N/A"</formula>
    </cfRule>
  </conditionalFormatting>
  <conditionalFormatting sqref="I168:J171 G168:G171 M168:M171">
    <cfRule type="expression" dxfId="1249" priority="881">
      <formula>$D$80="All of segment"</formula>
    </cfRule>
  </conditionalFormatting>
  <conditionalFormatting sqref="I168:J171">
    <cfRule type="expression" dxfId="1248" priority="503">
      <formula>$D$80="All of segment"</formula>
    </cfRule>
    <cfRule type="expression" dxfId="1247" priority="504">
      <formula>$D$80="By sub-asset class"</formula>
    </cfRule>
  </conditionalFormatting>
  <conditionalFormatting sqref="I172:J172">
    <cfRule type="expression" dxfId="1246" priority="500">
      <formula>$D$81="Both climate-alignment and sector"</formula>
    </cfRule>
  </conditionalFormatting>
  <conditionalFormatting sqref="I172:J176">
    <cfRule type="expression" dxfId="1245" priority="489">
      <formula>$D$81="Climate-alignment only"</formula>
    </cfRule>
    <cfRule type="expression" dxfId="1244" priority="492">
      <formula>$D$81="Sector only"</formula>
    </cfRule>
  </conditionalFormatting>
  <conditionalFormatting sqref="I173:J176 M173:M176 G173:G223">
    <cfRule type="expression" dxfId="1243" priority="67">
      <formula>$D$81="All of segment"</formula>
    </cfRule>
  </conditionalFormatting>
  <conditionalFormatting sqref="I173:J176">
    <cfRule type="expression" dxfId="1242" priority="477">
      <formula>$G$172&gt;0</formula>
    </cfRule>
  </conditionalFormatting>
  <conditionalFormatting sqref="I177:J220">
    <cfRule type="expression" dxfId="1241" priority="491">
      <formula>$D$81="Sector only"</formula>
    </cfRule>
  </conditionalFormatting>
  <conditionalFormatting sqref="I177:J223 N177:N220 G177:G223 M183:M223">
    <cfRule type="expression" dxfId="1240" priority="627">
      <formula>$D$81="By sub-asset class"</formula>
    </cfRule>
  </conditionalFormatting>
  <conditionalFormatting sqref="I177:J223 N177:N220 M183:M223">
    <cfRule type="expression" dxfId="1239" priority="626">
      <formula>$D$81="All of segment"</formula>
    </cfRule>
  </conditionalFormatting>
  <conditionalFormatting sqref="I184:J185">
    <cfRule type="expression" dxfId="1238" priority="655">
      <formula>$D$81="Climate-alignment only"</formula>
    </cfRule>
  </conditionalFormatting>
  <conditionalFormatting sqref="I191:J194">
    <cfRule type="expression" dxfId="1237" priority="481">
      <formula>$G$189&gt;0</formula>
    </cfRule>
  </conditionalFormatting>
  <conditionalFormatting sqref="I197:J200 G197:G200 M197:N200">
    <cfRule type="expression" dxfId="1236" priority="499">
      <formula>$G$195&gt;0</formula>
    </cfRule>
  </conditionalFormatting>
  <conditionalFormatting sqref="I197:J200">
    <cfRule type="expression" dxfId="1235" priority="482">
      <formula>$G$195&gt;0</formula>
    </cfRule>
  </conditionalFormatting>
  <conditionalFormatting sqref="I202:J203 G202:G203 M202:N203">
    <cfRule type="expression" dxfId="1234" priority="501">
      <formula>$G$201&gt;0</formula>
    </cfRule>
  </conditionalFormatting>
  <conditionalFormatting sqref="I202:J203">
    <cfRule type="expression" dxfId="1233" priority="483">
      <formula>$G$201&gt;0</formula>
    </cfRule>
  </conditionalFormatting>
  <conditionalFormatting sqref="I205:J206 G205:G206 M205:N206">
    <cfRule type="expression" dxfId="1232" priority="621">
      <formula>$G$204&gt;0</formula>
    </cfRule>
  </conditionalFormatting>
  <conditionalFormatting sqref="I205:J206">
    <cfRule type="expression" dxfId="1231" priority="484">
      <formula>$G$204&gt;0</formula>
    </cfRule>
  </conditionalFormatting>
  <conditionalFormatting sqref="I209:J212 G209:G212 M209:N212">
    <cfRule type="expression" dxfId="1230" priority="622">
      <formula>$G$207&gt;0</formula>
    </cfRule>
  </conditionalFormatting>
  <conditionalFormatting sqref="I209:J212">
    <cfRule type="expression" dxfId="1229" priority="485">
      <formula>$G$207&gt;0</formula>
    </cfRule>
  </conditionalFormatting>
  <conditionalFormatting sqref="I214:J215 G214:G215 M214:N215">
    <cfRule type="expression" dxfId="1228" priority="623">
      <formula>$G$213&gt;0</formula>
    </cfRule>
  </conditionalFormatting>
  <conditionalFormatting sqref="I214:J215">
    <cfRule type="expression" dxfId="1227" priority="486">
      <formula>$G$213&gt;0</formula>
    </cfRule>
  </conditionalFormatting>
  <conditionalFormatting sqref="I217:J220 G217:G220 M217:N220">
    <cfRule type="expression" dxfId="1226" priority="624">
      <formula>$G$216&gt;0</formula>
    </cfRule>
  </conditionalFormatting>
  <conditionalFormatting sqref="I217:J220">
    <cfRule type="expression" dxfId="1225" priority="487">
      <formula>$G$216&gt;0</formula>
    </cfRule>
  </conditionalFormatting>
  <conditionalFormatting sqref="I222:J223">
    <cfRule type="expression" dxfId="1224" priority="488">
      <formula>$G$221&gt;0</formula>
    </cfRule>
  </conditionalFormatting>
  <conditionalFormatting sqref="M99:M103">
    <cfRule type="expression" dxfId="1223" priority="895">
      <formula>$D$78="Sector only"</formula>
    </cfRule>
  </conditionalFormatting>
  <conditionalFormatting sqref="M172:M176">
    <cfRule type="expression" dxfId="1222" priority="875">
      <formula>$D$81="N/A"</formula>
    </cfRule>
  </conditionalFormatting>
  <conditionalFormatting sqref="M173:M176">
    <cfRule type="expression" dxfId="1221" priority="869">
      <formula>$D$81="Both climate-alignment and sector"</formula>
    </cfRule>
  </conditionalFormatting>
  <conditionalFormatting sqref="M99:N103 N89:N98 G89:G103">
    <cfRule type="expression" dxfId="1220" priority="911">
      <formula>$D$78="Both climate-alignment and sector"</formula>
    </cfRule>
  </conditionalFormatting>
  <conditionalFormatting sqref="N111:N166 G112:G115 M112:M115 G118:G125 I118:J125 M118:M125 G128:G135 I128:J135 M128:M135 G137:G140 I137:J140 M137:M140 G142:G145 I142:J145 M142:M145 G148:G155 I148:J155 M148:M155 G157:G160 I157:J160 M157:M160 G162:G166 I162:J166 M162:M166">
    <cfRule type="expression" dxfId="1219" priority="891">
      <formula>$D$79="Climate-alignment only"</formula>
    </cfRule>
  </conditionalFormatting>
  <conditionalFormatting sqref="N177:N220 G177:G223 I177:J223 M183:M223">
    <cfRule type="expression" dxfId="1218" priority="630">
      <formula>$D$81="By sector"</formula>
    </cfRule>
  </conditionalFormatting>
  <conditionalFormatting sqref="O20:O51 O89:O223">
    <cfRule type="expression" dxfId="1217" priority="109">
      <formula>M20=TRUE</formula>
    </cfRule>
    <cfRule type="expression" dxfId="1216" priority="110">
      <formula>N20=TRUE</formula>
    </cfRule>
    <cfRule type="expression" dxfId="1215" priority="917">
      <formula>AND(M20=FALSE,N20=FALSE)</formula>
    </cfRule>
  </conditionalFormatting>
  <conditionalFormatting sqref="Q42:Q51">
    <cfRule type="expression" dxfId="1214" priority="172">
      <formula>G42&gt;0</formula>
    </cfRule>
  </conditionalFormatting>
  <conditionalFormatting sqref="Q167:Q176 Q183:Q223">
    <cfRule type="expression" dxfId="1213" priority="219">
      <formula>G167&gt;0</formula>
    </cfRule>
  </conditionalFormatting>
  <conditionalFormatting sqref="Q239:U240">
    <cfRule type="containsText" dxfId="1212" priority="984" operator="containsText" text="OK">
      <formula>NOT(ISERROR(SEARCH("OK",Q239)))</formula>
    </cfRule>
    <cfRule type="containsText" dxfId="1211" priority="985" operator="containsText" text="Error">
      <formula>NOT(ISERROR(SEARCH("Error",Q239)))</formula>
    </cfRule>
  </conditionalFormatting>
  <conditionalFormatting sqref="R20:R51">
    <cfRule type="expression" dxfId="1210" priority="43">
      <formula>G20&gt;0</formula>
    </cfRule>
  </conditionalFormatting>
  <conditionalFormatting sqref="R89:R165 R167:R176">
    <cfRule type="expression" dxfId="1209" priority="63">
      <formula>G89&gt;0</formula>
    </cfRule>
  </conditionalFormatting>
  <conditionalFormatting sqref="R166">
    <cfRule type="expression" dxfId="1208" priority="1">
      <formula>$D$79="All of segment"</formula>
    </cfRule>
    <cfRule type="expression" dxfId="1207" priority="2">
      <formula>$G$161&gt;0</formula>
    </cfRule>
    <cfRule type="expression" dxfId="1206" priority="3">
      <formula>$D$79="By sub-asset class"</formula>
    </cfRule>
    <cfRule type="expression" dxfId="1205" priority="4">
      <formula>$D$79="By sector"</formula>
    </cfRule>
    <cfRule type="expression" dxfId="1204" priority="5">
      <formula>$D$79="N/A"</formula>
    </cfRule>
    <cfRule type="expression" dxfId="1203" priority="6">
      <formula>$G$104&gt;0</formula>
    </cfRule>
    <cfRule type="expression" dxfId="1202" priority="7">
      <formula>$D$79="Climate-alignment only"</formula>
    </cfRule>
    <cfRule type="expression" dxfId="1201" priority="8">
      <formula>$D$79="Sector only"</formula>
    </cfRule>
    <cfRule type="expression" dxfId="1200" priority="9">
      <formula>$D$79="Both climate-alignment and sector"</formula>
    </cfRule>
    <cfRule type="expression" dxfId="1199" priority="10">
      <formula>$D$79="Sector only"</formula>
    </cfRule>
  </conditionalFormatting>
  <conditionalFormatting sqref="R183:R223">
    <cfRule type="expression" dxfId="1198" priority="220">
      <formula>G183&gt;0</formula>
    </cfRule>
  </conditionalFormatting>
  <conditionalFormatting sqref="S20:S51">
    <cfRule type="expression" dxfId="1197" priority="44">
      <formula>G20&gt;0</formula>
    </cfRule>
  </conditionalFormatting>
  <conditionalFormatting sqref="S89:S176">
    <cfRule type="expression" dxfId="1196" priority="64">
      <formula>G89&gt;0</formula>
    </cfRule>
  </conditionalFormatting>
  <conditionalFormatting sqref="S183:S223">
    <cfRule type="expression" dxfId="1195" priority="221">
      <formula>G183&gt;0</formula>
    </cfRule>
  </conditionalFormatting>
  <conditionalFormatting sqref="T20:T51">
    <cfRule type="expression" dxfId="1194" priority="45">
      <formula>G20&gt;0</formula>
    </cfRule>
  </conditionalFormatting>
  <conditionalFormatting sqref="T89:T176">
    <cfRule type="expression" dxfId="1193" priority="65">
      <formula>G89&gt;0</formula>
    </cfRule>
  </conditionalFormatting>
  <conditionalFormatting sqref="T183:T223">
    <cfRule type="expression" dxfId="1192" priority="222">
      <formula>G183&gt;0</formula>
    </cfRule>
  </conditionalFormatting>
  <conditionalFormatting sqref="U20:U29">
    <cfRule type="expression" dxfId="1191" priority="46">
      <formula>G20&gt;0</formula>
    </cfRule>
  </conditionalFormatting>
  <conditionalFormatting sqref="U30:U51">
    <cfRule type="expression" dxfId="1190" priority="463" stopIfTrue="1">
      <formula>G30&gt;0</formula>
    </cfRule>
  </conditionalFormatting>
  <conditionalFormatting sqref="U89:U98">
    <cfRule type="expression" dxfId="1189" priority="66">
      <formula>G89&gt;0</formula>
    </cfRule>
  </conditionalFormatting>
  <conditionalFormatting sqref="U99:U176 U183:U223">
    <cfRule type="expression" dxfId="1188" priority="223" stopIfTrue="1">
      <formula>G99&gt;0</formula>
    </cfRule>
  </conditionalFormatting>
  <conditionalFormatting sqref="W30:W51">
    <cfRule type="expression" dxfId="1187" priority="105">
      <formula>M30=TRUE</formula>
    </cfRule>
    <cfRule type="expression" dxfId="1186" priority="106">
      <formula>M30=FALSE</formula>
    </cfRule>
  </conditionalFormatting>
  <conditionalFormatting sqref="W99:W176 W183:W223">
    <cfRule type="expression" dxfId="1185" priority="101">
      <formula>M99=TRUE</formula>
    </cfRule>
    <cfRule type="expression" dxfId="1184" priority="102">
      <formula>M99=FALSE</formula>
    </cfRule>
  </conditionalFormatting>
  <conditionalFormatting sqref="Z20:Z34 Z89:Z103 Z111:Z165 Z177:Z220">
    <cfRule type="expression" dxfId="1183" priority="99">
      <formula>N20=TRUE</formula>
    </cfRule>
    <cfRule type="expression" dxfId="1182" priority="100">
      <formula>N20=FALSE</formula>
    </cfRule>
  </conditionalFormatting>
  <conditionalFormatting sqref="Z166">
    <cfRule type="expression" dxfId="1181" priority="11">
      <formula>$D$79="All of segment"</formula>
    </cfRule>
    <cfRule type="expression" dxfId="1180" priority="12">
      <formula>$G$161&gt;0</formula>
    </cfRule>
    <cfRule type="expression" dxfId="1179" priority="13">
      <formula>$D$79="By sub-asset class"</formula>
    </cfRule>
    <cfRule type="expression" dxfId="1178" priority="14">
      <formula>$D$79="By sector"</formula>
    </cfRule>
    <cfRule type="expression" dxfId="1177" priority="15">
      <formula>$D$79="N/A"</formula>
    </cfRule>
    <cfRule type="expression" dxfId="1176" priority="16">
      <formula>$G$104&gt;0</formula>
    </cfRule>
    <cfRule type="expression" dxfId="1175" priority="17">
      <formula>$D$79="Climate-alignment only"</formula>
    </cfRule>
    <cfRule type="expression" dxfId="1174" priority="18">
      <formula>$D$79="Sector only"</formula>
    </cfRule>
    <cfRule type="expression" dxfId="1173" priority="19">
      <formula>$D$79="Both climate-alignment and sector"</formula>
    </cfRule>
    <cfRule type="expression" dxfId="1172" priority="20">
      <formula>$D$79="Sector only"</formula>
    </cfRule>
  </conditionalFormatting>
  <conditionalFormatting sqref="AA20:AA34 AA89:AA103 AA111:AA165 AA177:AA220">
    <cfRule type="expression" dxfId="1171" priority="954">
      <formula>N20=TRUE</formula>
    </cfRule>
    <cfRule type="expression" dxfId="1170" priority="955">
      <formula>N20=FALSE</formula>
    </cfRule>
  </conditionalFormatting>
  <conditionalFormatting sqref="AA166">
    <cfRule type="expression" dxfId="1169" priority="31">
      <formula>O166=TRUE</formula>
    </cfRule>
    <cfRule type="expression" dxfId="1168" priority="32">
      <formula>O166=FALSE</formula>
    </cfRule>
  </conditionalFormatting>
  <conditionalFormatting sqref="AC30:AC34 AC99:AC103 AC111:AC166 AC183:AC220">
    <cfRule type="expression" dxfId="1167" priority="952">
      <formula>M30=FALSE</formula>
    </cfRule>
    <cfRule type="expression" dxfId="1166" priority="953">
      <formula>N30=FALSE</formula>
    </cfRule>
  </conditionalFormatting>
  <conditionalFormatting sqref="AC111:AC166 AC183:AC220 AC30:AC34 AC99:AC103">
    <cfRule type="expression" dxfId="1165" priority="951">
      <formula>AND(M30=TRUE,N30=TRUE)</formula>
    </cfRule>
  </conditionalFormatting>
  <conditionalFormatting sqref="AC116:AC135 AC146:AC155 AC189:AC200 AC207:AC212">
    <cfRule type="expression" dxfId="1164" priority="94">
      <formula>AND(M116=TRUE,N117=TRUE)</formula>
    </cfRule>
  </conditionalFormatting>
  <conditionalFormatting sqref="AC120:AD120">
    <cfRule type="expression" dxfId="1163" priority="796">
      <formula>AND(M120=TRUE,N120=TRUE)</formula>
    </cfRule>
    <cfRule type="expression" dxfId="1162" priority="797">
      <formula>M120=FALSE</formula>
    </cfRule>
    <cfRule type="expression" dxfId="1161" priority="798">
      <formula>N120=FALSE</formula>
    </cfRule>
  </conditionalFormatting>
  <conditionalFormatting sqref="AC122:AD122">
    <cfRule type="expression" dxfId="1160" priority="793">
      <formula>AND(M122=TRUE,N122=TRUE)</formula>
    </cfRule>
    <cfRule type="expression" dxfId="1159" priority="794">
      <formula>M122=FALSE</formula>
    </cfRule>
    <cfRule type="expression" dxfId="1158" priority="795">
      <formula>N122=FALSE</formula>
    </cfRule>
  </conditionalFormatting>
  <conditionalFormatting sqref="AC130:AD130">
    <cfRule type="expression" dxfId="1157" priority="748">
      <formula>AND(M130=TRUE,N130=TRUE)</formula>
    </cfRule>
    <cfRule type="expression" dxfId="1156" priority="749">
      <formula>M130=FALSE</formula>
    </cfRule>
    <cfRule type="expression" dxfId="1155" priority="750">
      <formula>N130=FALSE</formula>
    </cfRule>
  </conditionalFormatting>
  <conditionalFormatting sqref="AC132:AD132">
    <cfRule type="expression" dxfId="1154" priority="745">
      <formula>AND(M132=TRUE,N132=TRUE)</formula>
    </cfRule>
    <cfRule type="expression" dxfId="1153" priority="746">
      <formula>M132=FALSE</formula>
    </cfRule>
    <cfRule type="expression" dxfId="1152" priority="747">
      <formula>N132=FALSE</formula>
    </cfRule>
  </conditionalFormatting>
  <conditionalFormatting sqref="AC150:AD150">
    <cfRule type="expression" dxfId="1151" priority="706">
      <formula>AND(M150=TRUE,N150=TRUE)</formula>
    </cfRule>
    <cfRule type="expression" dxfId="1150" priority="707">
      <formula>M150=FALSE</formula>
    </cfRule>
    <cfRule type="expression" dxfId="1149" priority="708">
      <formula>N150=FALSE</formula>
    </cfRule>
  </conditionalFormatting>
  <conditionalFormatting sqref="AC152:AD152">
    <cfRule type="expression" dxfId="1148" priority="703">
      <formula>AND(M152=TRUE,N152=TRUE)</formula>
    </cfRule>
    <cfRule type="expression" dxfId="1147" priority="704">
      <formula>M152=FALSE</formula>
    </cfRule>
    <cfRule type="expression" dxfId="1146" priority="705">
      <formula>N152=FALSE</formula>
    </cfRule>
  </conditionalFormatting>
  <conditionalFormatting sqref="AC193:AD193">
    <cfRule type="expression" dxfId="1145" priority="668">
      <formula>AND(M193=TRUE,N193=TRUE)</formula>
    </cfRule>
    <cfRule type="expression" dxfId="1144" priority="669">
      <formula>M193=FALSE</formula>
    </cfRule>
    <cfRule type="expression" dxfId="1143" priority="670">
      <formula>N193=FALSE</formula>
    </cfRule>
  </conditionalFormatting>
  <conditionalFormatting sqref="AC211:AD211">
    <cfRule type="expression" dxfId="1142" priority="645">
      <formula>AND(M211=TRUE,N211=TRUE)</formula>
    </cfRule>
    <cfRule type="expression" dxfId="1141" priority="646">
      <formula>M211=FALSE</formula>
    </cfRule>
    <cfRule type="expression" dxfId="1140" priority="647">
      <formula>N211=FALSE</formula>
    </cfRule>
  </conditionalFormatting>
  <conditionalFormatting sqref="AD30:AD34 AD99:AD103 AD111:AD166 AD183:AD220">
    <cfRule type="expression" dxfId="1139" priority="96">
      <formula>AND(M30=TRUE,N30=TRUE)</formula>
    </cfRule>
    <cfRule type="expression" dxfId="1138" priority="97">
      <formula>N30=FALSE</formula>
    </cfRule>
    <cfRule type="expression" dxfId="1137" priority="98">
      <formula>M30=FALSE</formula>
    </cfRule>
  </conditionalFormatting>
  <conditionalFormatting sqref="AD116:AD135 AD146:AD155 AD189:AD200 AD207:AD212">
    <cfRule type="expression" dxfId="1136" priority="95">
      <formula>AND(M116=TRUE,N117=TRUE)</formula>
    </cfRule>
  </conditionalFormatting>
  <conditionalFormatting sqref="AF20:AG46 AF89:AG171">
    <cfRule type="containsText" dxfId="1135" priority="956" operator="containsText" text="Review">
      <formula>NOT(ISERROR(SEARCH("Review",AF20)))</formula>
    </cfRule>
    <cfRule type="expression" dxfId="1134" priority="957">
      <formula>AF20="OK"</formula>
    </cfRule>
  </conditionalFormatting>
  <conditionalFormatting sqref="AF24:AG24 AF26:AG26">
    <cfRule type="containsText" dxfId="1133" priority="850" operator="containsText" text="Review">
      <formula>NOT(ISERROR(SEARCH("Review",AF24)))</formula>
    </cfRule>
    <cfRule type="expression" dxfId="1132" priority="851">
      <formula>AF24="OK"</formula>
    </cfRule>
  </conditionalFormatting>
  <conditionalFormatting sqref="AF93:AG93">
    <cfRule type="containsText" dxfId="1131" priority="835" operator="containsText" text="Review">
      <formula>NOT(ISERROR(SEARCH("Review",AF93)))</formula>
    </cfRule>
    <cfRule type="expression" dxfId="1130" priority="836">
      <formula>AF93="OK"</formula>
    </cfRule>
  </conditionalFormatting>
  <conditionalFormatting sqref="AF95:AG95">
    <cfRule type="containsText" dxfId="1129" priority="833" operator="containsText" text="Review">
      <formula>NOT(ISERROR(SEARCH("Review",AF95)))</formula>
    </cfRule>
    <cfRule type="expression" dxfId="1128" priority="834">
      <formula>AF95="OK"</formula>
    </cfRule>
  </conditionalFormatting>
  <conditionalFormatting sqref="AF120:AG120">
    <cfRule type="containsText" dxfId="1127" priority="791" operator="containsText" text="Review">
      <formula>NOT(ISERROR(SEARCH("Review",AF120)))</formula>
    </cfRule>
    <cfRule type="expression" dxfId="1126" priority="792">
      <formula>AF120="OK"</formula>
    </cfRule>
  </conditionalFormatting>
  <conditionalFormatting sqref="AF122:AG122">
    <cfRule type="containsText" dxfId="1125" priority="789" operator="containsText" text="Review">
      <formula>NOT(ISERROR(SEARCH("Review",AF122)))</formula>
    </cfRule>
    <cfRule type="expression" dxfId="1124" priority="790">
      <formula>AF122="OK"</formula>
    </cfRule>
  </conditionalFormatting>
  <conditionalFormatting sqref="AF130:AG130">
    <cfRule type="containsText" dxfId="1123" priority="743" operator="containsText" text="Review">
      <formula>NOT(ISERROR(SEARCH("Review",AF130)))</formula>
    </cfRule>
    <cfRule type="expression" dxfId="1122" priority="744">
      <formula>AF130="OK"</formula>
    </cfRule>
  </conditionalFormatting>
  <conditionalFormatting sqref="AF132:AG132">
    <cfRule type="containsText" dxfId="1121" priority="741" operator="containsText" text="Review">
      <formula>NOT(ISERROR(SEARCH("Review",AF132)))</formula>
    </cfRule>
    <cfRule type="expression" dxfId="1120" priority="742">
      <formula>AF132="OK"</formula>
    </cfRule>
  </conditionalFormatting>
  <conditionalFormatting sqref="AF150:AG150">
    <cfRule type="containsText" dxfId="1119" priority="701" operator="containsText" text="Review">
      <formula>NOT(ISERROR(SEARCH("Review",AF150)))</formula>
    </cfRule>
    <cfRule type="expression" dxfId="1118" priority="702">
      <formula>AF150="OK"</formula>
    </cfRule>
  </conditionalFormatting>
  <conditionalFormatting sqref="AF152:AG152">
    <cfRule type="containsText" dxfId="1117" priority="699" operator="containsText" text="Review">
      <formula>NOT(ISERROR(SEARCH("Review",AF152)))</formula>
    </cfRule>
    <cfRule type="expression" dxfId="1116" priority="700">
      <formula>AF152="OK"</formula>
    </cfRule>
  </conditionalFormatting>
  <dataValidations count="5">
    <dataValidation type="list" allowBlank="1" showInputMessage="1" showErrorMessage="1" sqref="D9:E9" xr:uid="{00000000-0002-0000-0400-000000000000}">
      <formula1>"By sector, By sub-asset class, N/A"</formula1>
    </dataValidation>
    <dataValidation type="list" allowBlank="1" showInputMessage="1" showErrorMessage="1" sqref="D80:E80 D10:E12" xr:uid="{00000000-0002-0000-0400-000001000000}">
      <formula1>"All of segment, By sub-asset class, N/A"</formula1>
    </dataValidation>
    <dataValidation type="list" allowBlank="1" showInputMessage="1" showErrorMessage="1" sqref="Y153 Y147 Y208 Y149 Y151 Y155 Y210 Y212" xr:uid="{00000000-0002-0000-0400-000002000000}">
      <formula1>"tCO2e/ MWh,% zero carbon generation"</formula1>
    </dataValidation>
    <dataValidation type="list" allowBlank="1" showInputMessage="1" showErrorMessage="1" sqref="D78:E78" xr:uid="{00000000-0002-0000-0400-000003000000}">
      <formula1>"By sector,By sub-asset class,N/A"</formula1>
    </dataValidation>
    <dataValidation type="list" allowBlank="1" showInputMessage="1" showErrorMessage="1" sqref="D79:E79 D81:E81" xr:uid="{00000000-0002-0000-0400-000004000000}">
      <formula1>"All of segment,By sub-asset class, By sector,N/A"</formula1>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3289B7"/>
    <outlinePr summaryBelow="0" summaryRight="0"/>
  </sheetPr>
  <dimension ref="A1:AV259"/>
  <sheetViews>
    <sheetView zoomScale="80" zoomScaleNormal="80" workbookViewId="0">
      <selection activeCell="D9" sqref="D9:E9"/>
    </sheetView>
  </sheetViews>
  <sheetFormatPr baseColWidth="10" defaultColWidth="0" defaultRowHeight="14" zeroHeight="1" outlineLevelRow="3"/>
  <cols>
    <col min="1" max="1" width="15.5" style="12" customWidth="1"/>
    <col min="2" max="5" width="15.5" style="399" customWidth="1"/>
    <col min="6" max="6" width="21.6640625" style="399" customWidth="1"/>
    <col min="7" max="11" width="15.5" style="399" customWidth="1"/>
    <col min="12" max="12" width="4.6640625" style="347" customWidth="1"/>
    <col min="13" max="15" width="15.5" style="399" customWidth="1"/>
    <col min="16" max="16" width="4.6640625" style="347" customWidth="1"/>
    <col min="17" max="23" width="15.5" style="399" customWidth="1"/>
    <col min="24" max="24" width="4.1640625" style="347" customWidth="1"/>
    <col min="25" max="25" width="15.5" style="347" customWidth="1"/>
    <col min="26" max="27" width="15.5" style="399" customWidth="1"/>
    <col min="28" max="28" width="5.1640625" style="400" customWidth="1"/>
    <col min="29" max="30" width="15.5" style="399" customWidth="1"/>
    <col min="31" max="31" width="5" style="347" customWidth="1"/>
    <col min="32" max="33" width="20.5" style="347" customWidth="1"/>
    <col min="34" max="34" width="24.5" style="347" customWidth="1"/>
    <col min="35" max="35" width="18" style="348" hidden="1" customWidth="1"/>
    <col min="36" max="36" width="23.5" style="348" hidden="1" customWidth="1"/>
    <col min="37" max="37" width="24.5" style="348" hidden="1" customWidth="1"/>
    <col min="38" max="38" width="37.83203125" style="348" hidden="1" customWidth="1"/>
    <col min="39" max="41" width="14.5" style="348" hidden="1" customWidth="1"/>
    <col min="42" max="42" width="17.5" style="348" hidden="1" customWidth="1"/>
    <col min="43" max="43" width="18.33203125" style="348" hidden="1" customWidth="1"/>
    <col min="44" max="44" width="21.5" style="348" hidden="1" customWidth="1"/>
    <col min="45" max="47" width="14.5" style="348" hidden="1" customWidth="1"/>
    <col min="48" max="48" width="10.6640625" style="348" hidden="1" customWidth="1"/>
    <col min="49" max="16384" width="14.5" style="348" hidden="1"/>
  </cols>
  <sheetData>
    <row r="1" spans="1:35" s="404" customFormat="1" ht="34.25" customHeight="1">
      <c r="A1" s="692" t="s">
        <v>78</v>
      </c>
      <c r="B1" s="692"/>
      <c r="C1" s="692"/>
      <c r="D1" s="692"/>
      <c r="E1" s="692"/>
      <c r="F1" s="692"/>
      <c r="G1" s="692"/>
      <c r="H1" s="692"/>
      <c r="I1" s="692"/>
      <c r="J1" s="692"/>
      <c r="K1" s="692"/>
      <c r="L1" s="692"/>
      <c r="M1" s="344"/>
      <c r="N1" s="345"/>
      <c r="O1" s="345"/>
      <c r="P1" s="344"/>
      <c r="Q1" s="345"/>
      <c r="R1" s="345"/>
      <c r="S1" s="345"/>
      <c r="T1" s="345"/>
      <c r="U1" s="345"/>
      <c r="V1" s="345"/>
      <c r="W1" s="345"/>
      <c r="X1" s="344"/>
      <c r="Y1" s="344"/>
      <c r="Z1" s="345"/>
      <c r="AA1" s="345"/>
      <c r="AB1" s="344"/>
      <c r="AC1" s="345"/>
      <c r="AD1" s="345"/>
      <c r="AE1" s="344"/>
      <c r="AF1" s="344"/>
      <c r="AG1" s="344"/>
      <c r="AH1" s="346"/>
      <c r="AI1" s="403"/>
    </row>
    <row r="2" spans="1:35" ht="88.25" customHeight="1">
      <c r="A2" s="731" t="s">
        <v>791</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547"/>
    </row>
    <row r="3" spans="1:35" ht="34.25" customHeight="1">
      <c r="A3" s="795" t="s">
        <v>275</v>
      </c>
      <c r="B3" s="795"/>
      <c r="C3" s="795"/>
      <c r="D3" s="795"/>
      <c r="E3" s="795"/>
      <c r="F3" s="795"/>
      <c r="G3" s="795"/>
      <c r="H3" s="795"/>
      <c r="I3" s="549"/>
      <c r="J3" s="549"/>
      <c r="K3" s="549"/>
      <c r="L3" s="349"/>
      <c r="M3" s="349"/>
      <c r="N3" s="349"/>
      <c r="O3" s="349"/>
      <c r="P3" s="349"/>
      <c r="Q3" s="349"/>
      <c r="R3" s="349"/>
      <c r="S3" s="349"/>
      <c r="T3" s="349"/>
      <c r="U3" s="349"/>
      <c r="V3" s="349"/>
      <c r="W3" s="349"/>
      <c r="X3" s="349"/>
      <c r="Y3" s="349"/>
      <c r="Z3" s="350"/>
      <c r="AA3" s="350"/>
      <c r="AB3" s="351"/>
      <c r="AC3" s="350"/>
      <c r="AD3" s="350"/>
      <c r="AE3" s="351"/>
      <c r="AF3" s="351"/>
      <c r="AG3" s="351"/>
    </row>
    <row r="4" spans="1:35" ht="34.25" customHeight="1">
      <c r="A4" s="852" t="str">
        <f>"Based on Table 1.3 in the Financial Institutions Net-Zero Standard.     Financial metric: "&amp;'Financial activity types '!E11&amp;" in "&amp;'Financial activity types '!C13&amp;"     Base year: "&amp;'Financial activity types '!C7</f>
        <v xml:space="preserve">Based on Table 1.3 in the Financial Institutions Net-Zero Standard.     Financial metric:  in      Base year: </v>
      </c>
      <c r="B4" s="852"/>
      <c r="C4" s="852"/>
      <c r="D4" s="852"/>
      <c r="E4" s="852"/>
      <c r="F4" s="852"/>
      <c r="G4" s="852"/>
      <c r="H4" s="852"/>
      <c r="I4" s="852"/>
      <c r="J4" s="852"/>
      <c r="K4" s="852"/>
      <c r="L4" s="852"/>
      <c r="M4" s="552"/>
      <c r="N4" s="552"/>
      <c r="O4" s="552"/>
      <c r="P4" s="552"/>
      <c r="Q4" s="352"/>
      <c r="R4" s="352"/>
      <c r="S4" s="352"/>
      <c r="T4" s="352"/>
      <c r="U4" s="352"/>
      <c r="V4" s="352"/>
      <c r="W4" s="352"/>
      <c r="X4" s="552"/>
      <c r="Y4" s="552"/>
      <c r="Z4" s="350"/>
      <c r="AA4" s="350"/>
      <c r="AB4" s="351"/>
      <c r="AC4" s="350"/>
      <c r="AD4" s="350"/>
      <c r="AE4" s="351"/>
      <c r="AF4" s="351"/>
      <c r="AG4" s="351"/>
    </row>
    <row r="5" spans="1:35" s="356" customFormat="1">
      <c r="A5" s="12"/>
      <c r="B5" s="12"/>
      <c r="C5" s="12"/>
      <c r="D5" s="12"/>
      <c r="E5" s="12"/>
      <c r="F5" s="12"/>
      <c r="G5" s="12"/>
      <c r="H5" s="12"/>
      <c r="I5" s="12"/>
      <c r="J5" s="12"/>
      <c r="K5" s="12"/>
      <c r="L5" s="353"/>
      <c r="M5" s="12"/>
      <c r="N5" s="12"/>
      <c r="O5" s="12"/>
      <c r="P5" s="353"/>
      <c r="Q5" s="354"/>
      <c r="R5" s="354"/>
      <c r="S5" s="12"/>
      <c r="T5" s="354"/>
      <c r="U5" s="354"/>
      <c r="V5" s="354"/>
      <c r="W5" s="354"/>
      <c r="X5" s="353"/>
      <c r="Y5" s="353"/>
      <c r="Z5" s="12"/>
      <c r="AA5" s="12"/>
      <c r="AB5" s="353"/>
      <c r="AC5" s="12"/>
      <c r="AD5" s="12"/>
      <c r="AE5" s="353"/>
      <c r="AF5" s="353"/>
      <c r="AG5" s="353"/>
      <c r="AH5" s="355"/>
    </row>
    <row r="6" spans="1:35" s="356" customFormat="1" ht="20.25" customHeight="1" collapsed="1">
      <c r="A6" s="793" t="s">
        <v>80</v>
      </c>
      <c r="B6" s="793"/>
      <c r="C6" s="793"/>
      <c r="D6" s="793"/>
      <c r="E6" s="793"/>
      <c r="F6" s="793"/>
      <c r="G6" s="793"/>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552"/>
      <c r="AH6" s="355"/>
    </row>
    <row r="7" spans="1:35" s="356" customFormat="1" ht="51" hidden="1" customHeight="1" outlineLevel="1" collapsed="1">
      <c r="A7" s="731" t="s">
        <v>81</v>
      </c>
      <c r="B7" s="731"/>
      <c r="C7" s="731"/>
      <c r="D7" s="731"/>
      <c r="E7" s="731"/>
      <c r="F7" s="731"/>
      <c r="G7" s="731"/>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547"/>
      <c r="AH7" s="355"/>
    </row>
    <row r="8" spans="1:35" s="356" customFormat="1" ht="18" hidden="1" outlineLevel="2">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12"/>
      <c r="AA8" s="12"/>
      <c r="AB8" s="358"/>
      <c r="AC8" s="12"/>
      <c r="AD8" s="12"/>
      <c r="AE8" s="358"/>
      <c r="AF8" s="353"/>
      <c r="AG8" s="353"/>
      <c r="AH8" s="355"/>
    </row>
    <row r="9" spans="1:35" s="356" customFormat="1" ht="53.25" hidden="1" customHeight="1" outlineLevel="2">
      <c r="A9" s="357"/>
      <c r="B9" s="714" t="s">
        <v>82</v>
      </c>
      <c r="C9" s="715"/>
      <c r="D9" s="719"/>
      <c r="E9" s="720"/>
      <c r="F9" s="357"/>
      <c r="G9" s="824" t="s">
        <v>276</v>
      </c>
      <c r="H9" s="825"/>
      <c r="I9" s="825"/>
      <c r="J9" s="825"/>
      <c r="K9" s="825"/>
      <c r="L9" s="825"/>
      <c r="M9" s="825"/>
      <c r="N9" s="357"/>
      <c r="O9" s="357"/>
      <c r="P9" s="357"/>
      <c r="Q9" s="357"/>
      <c r="R9" s="357"/>
      <c r="S9" s="357"/>
      <c r="T9" s="357"/>
      <c r="U9" s="357"/>
      <c r="V9" s="357"/>
      <c r="W9" s="357"/>
      <c r="X9" s="357"/>
      <c r="Y9" s="357"/>
      <c r="Z9" s="12"/>
      <c r="AA9" s="12"/>
      <c r="AB9" s="358"/>
      <c r="AC9" s="12"/>
      <c r="AD9" s="12"/>
      <c r="AE9" s="358"/>
      <c r="AF9" s="353"/>
      <c r="AG9" s="353"/>
      <c r="AH9" s="355"/>
    </row>
    <row r="10" spans="1:35" s="356" customFormat="1" ht="53.25" hidden="1" customHeight="1" outlineLevel="2">
      <c r="A10" s="357"/>
      <c r="B10" s="714" t="s">
        <v>84</v>
      </c>
      <c r="C10" s="715"/>
      <c r="D10" s="719"/>
      <c r="E10" s="720"/>
      <c r="F10" s="357"/>
      <c r="G10" s="825"/>
      <c r="H10" s="825"/>
      <c r="I10" s="825"/>
      <c r="J10" s="825"/>
      <c r="K10" s="825"/>
      <c r="L10" s="825"/>
      <c r="M10" s="825"/>
      <c r="N10" s="357"/>
      <c r="O10" s="357"/>
      <c r="P10" s="357"/>
      <c r="Q10" s="357"/>
      <c r="R10" s="357"/>
      <c r="S10" s="357"/>
      <c r="T10" s="357"/>
      <c r="U10" s="357"/>
      <c r="V10" s="357"/>
      <c r="W10" s="357"/>
      <c r="X10" s="357"/>
      <c r="Y10" s="357"/>
      <c r="Z10" s="12"/>
      <c r="AA10" s="12"/>
      <c r="AB10" s="358"/>
      <c r="AC10" s="12"/>
      <c r="AD10" s="12"/>
      <c r="AE10" s="358"/>
      <c r="AF10" s="353"/>
      <c r="AG10" s="353"/>
      <c r="AH10" s="355"/>
    </row>
    <row r="11" spans="1:35" s="356" customFormat="1" ht="53.25" hidden="1" customHeight="1" outlineLevel="2">
      <c r="A11" s="357"/>
      <c r="B11" s="714" t="s">
        <v>85</v>
      </c>
      <c r="C11" s="715"/>
      <c r="D11" s="719"/>
      <c r="E11" s="720"/>
      <c r="F11" s="357"/>
      <c r="G11" s="825"/>
      <c r="H11" s="825"/>
      <c r="I11" s="825"/>
      <c r="J11" s="825"/>
      <c r="K11" s="825"/>
      <c r="L11" s="825"/>
      <c r="M11" s="825"/>
      <c r="N11" s="357"/>
      <c r="O11" s="357"/>
      <c r="P11" s="357"/>
      <c r="Q11" s="357"/>
      <c r="R11" s="357"/>
      <c r="S11" s="357"/>
      <c r="T11" s="357"/>
      <c r="U11" s="357"/>
      <c r="V11" s="357"/>
      <c r="W11" s="357"/>
      <c r="X11" s="357"/>
      <c r="Y11" s="357"/>
      <c r="Z11" s="12"/>
      <c r="AA11" s="12"/>
      <c r="AB11" s="358"/>
      <c r="AC11" s="12"/>
      <c r="AD11" s="12"/>
      <c r="AE11" s="358"/>
      <c r="AF11" s="353"/>
      <c r="AG11" s="353"/>
      <c r="AH11" s="355"/>
    </row>
    <row r="12" spans="1:35" s="356" customFormat="1" ht="53.25" hidden="1" customHeight="1" outlineLevel="2">
      <c r="A12" s="357"/>
      <c r="B12" s="714" t="s">
        <v>86</v>
      </c>
      <c r="C12" s="715"/>
      <c r="D12" s="719"/>
      <c r="E12" s="720"/>
      <c r="F12" s="357"/>
      <c r="G12" s="825"/>
      <c r="H12" s="825"/>
      <c r="I12" s="825"/>
      <c r="J12" s="825"/>
      <c r="K12" s="825"/>
      <c r="L12" s="825"/>
      <c r="M12" s="825"/>
      <c r="N12" s="357"/>
      <c r="O12" s="357"/>
      <c r="P12" s="357"/>
      <c r="Q12" s="357"/>
      <c r="R12" s="357"/>
      <c r="S12" s="357"/>
      <c r="T12" s="357"/>
      <c r="U12" s="357"/>
      <c r="V12" s="357"/>
      <c r="W12" s="357"/>
      <c r="X12" s="357"/>
      <c r="Y12" s="357"/>
      <c r="Z12" s="12"/>
      <c r="AA12" s="12"/>
      <c r="AB12" s="358"/>
      <c r="AC12" s="12"/>
      <c r="AD12" s="12"/>
      <c r="AE12" s="358"/>
      <c r="AF12" s="353"/>
      <c r="AG12" s="353"/>
      <c r="AH12" s="355"/>
    </row>
    <row r="13" spans="1:35" s="356" customFormat="1" ht="53.25" hidden="1" customHeight="1" outlineLevel="2">
      <c r="A13" s="357"/>
      <c r="B13" s="13"/>
      <c r="C13" s="13"/>
      <c r="D13" s="13"/>
      <c r="E13" s="13"/>
      <c r="F13" s="357"/>
      <c r="G13" s="357"/>
      <c r="H13" s="357"/>
      <c r="I13" s="357"/>
      <c r="J13" s="357"/>
      <c r="K13" s="357"/>
      <c r="L13" s="357"/>
      <c r="M13" s="357"/>
      <c r="N13" s="357"/>
      <c r="O13" s="357"/>
      <c r="P13" s="357"/>
      <c r="Q13" s="357"/>
      <c r="R13" s="357"/>
      <c r="S13" s="357"/>
      <c r="T13" s="357"/>
      <c r="U13" s="357"/>
      <c r="V13" s="357"/>
      <c r="W13" s="357"/>
      <c r="X13" s="357"/>
      <c r="Y13" s="357"/>
      <c r="Z13" s="12"/>
      <c r="AA13" s="12"/>
      <c r="AB13" s="358"/>
      <c r="AC13" s="12"/>
      <c r="AD13" s="12"/>
      <c r="AE13" s="358"/>
      <c r="AF13" s="353"/>
      <c r="AG13" s="353"/>
      <c r="AH13" s="355"/>
    </row>
    <row r="14" spans="1:35" s="356" customFormat="1" ht="23" hidden="1" customHeight="1" outlineLevel="2">
      <c r="A14" s="794" t="s">
        <v>87</v>
      </c>
      <c r="B14" s="731"/>
      <c r="C14" s="731"/>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547"/>
      <c r="AH14" s="355"/>
    </row>
    <row r="15" spans="1:35" s="356" customFormat="1" ht="22.25" hidden="1" customHeight="1" outlineLevel="2">
      <c r="A15" s="359"/>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5"/>
    </row>
    <row r="16" spans="1:35" s="356" customFormat="1" ht="409.25" hidden="1" customHeight="1" outlineLevel="2">
      <c r="A16" s="355"/>
      <c r="B16" s="360"/>
      <c r="C16" s="706" t="s">
        <v>88</v>
      </c>
      <c r="D16" s="706"/>
      <c r="E16" s="706"/>
      <c r="F16" s="706"/>
      <c r="G16" s="706"/>
      <c r="H16" s="706"/>
      <c r="I16" s="706"/>
      <c r="J16" s="706"/>
      <c r="K16" s="706"/>
      <c r="L16" s="17"/>
      <c r="M16" s="706" t="s">
        <v>89</v>
      </c>
      <c r="N16" s="706"/>
      <c r="O16" s="706"/>
      <c r="P16" s="17"/>
      <c r="Q16" s="706" t="s">
        <v>90</v>
      </c>
      <c r="R16" s="706"/>
      <c r="S16" s="706"/>
      <c r="T16" s="706"/>
      <c r="U16" s="706"/>
      <c r="V16" s="706"/>
      <c r="W16" s="706"/>
      <c r="X16" s="17"/>
      <c r="Y16" s="706" t="s">
        <v>91</v>
      </c>
      <c r="Z16" s="706"/>
      <c r="AA16" s="706"/>
      <c r="AB16" s="17"/>
      <c r="AC16" s="706" t="s">
        <v>92</v>
      </c>
      <c r="AD16" s="706"/>
      <c r="AE16" s="17"/>
      <c r="AF16" s="709" t="s">
        <v>93</v>
      </c>
      <c r="AG16" s="706"/>
      <c r="AH16" s="355"/>
    </row>
    <row r="17" spans="1:37" s="356" customFormat="1" hidden="1" outlineLevel="2">
      <c r="A17" s="355"/>
      <c r="B17" s="355"/>
      <c r="C17" s="355"/>
      <c r="D17" s="355"/>
      <c r="E17" s="355"/>
      <c r="F17" s="355"/>
      <c r="G17" s="355"/>
      <c r="H17" s="355"/>
      <c r="I17" s="355"/>
      <c r="J17" s="355"/>
      <c r="K17" s="355"/>
      <c r="L17" s="355"/>
      <c r="M17" s="355"/>
      <c r="N17" s="355"/>
      <c r="O17" s="355"/>
      <c r="P17" s="355"/>
      <c r="Q17" s="355"/>
      <c r="R17" s="355"/>
      <c r="S17" s="355"/>
      <c r="T17" s="355"/>
      <c r="U17" s="355"/>
      <c r="V17" s="355"/>
      <c r="W17" s="355"/>
      <c r="X17" s="355"/>
      <c r="Y17" s="353"/>
      <c r="Z17" s="12"/>
      <c r="AA17" s="12"/>
      <c r="AB17" s="355"/>
      <c r="AC17" s="355"/>
      <c r="AD17" s="355"/>
      <c r="AE17" s="355"/>
      <c r="AF17" s="355"/>
      <c r="AG17" s="355"/>
      <c r="AH17" s="355"/>
    </row>
    <row r="18" spans="1:37" s="356" customFormat="1" ht="16.25" hidden="1" customHeight="1" outlineLevel="2">
      <c r="A18" s="714" t="s">
        <v>94</v>
      </c>
      <c r="B18" s="718"/>
      <c r="C18" s="718"/>
      <c r="D18" s="718"/>
      <c r="E18" s="718"/>
      <c r="F18" s="718"/>
      <c r="G18" s="718"/>
      <c r="H18" s="718"/>
      <c r="I18" s="718"/>
      <c r="J18" s="718"/>
      <c r="K18" s="715"/>
      <c r="L18" s="361"/>
      <c r="M18" s="714" t="s">
        <v>95</v>
      </c>
      <c r="N18" s="718"/>
      <c r="O18" s="715"/>
      <c r="P18" s="13"/>
      <c r="Q18" s="714" t="s">
        <v>96</v>
      </c>
      <c r="R18" s="718"/>
      <c r="S18" s="718"/>
      <c r="T18" s="718"/>
      <c r="U18" s="718"/>
      <c r="V18" s="718"/>
      <c r="W18" s="715"/>
      <c r="X18" s="572"/>
      <c r="Y18" s="714" t="s">
        <v>97</v>
      </c>
      <c r="Z18" s="718"/>
      <c r="AA18" s="715"/>
      <c r="AB18" s="358"/>
      <c r="AC18" s="714" t="s">
        <v>98</v>
      </c>
      <c r="AD18" s="715"/>
      <c r="AE18" s="358"/>
      <c r="AF18" s="716" t="s">
        <v>785</v>
      </c>
      <c r="AG18" s="716" t="s">
        <v>786</v>
      </c>
      <c r="AH18" s="355"/>
    </row>
    <row r="19" spans="1:37" s="356" customFormat="1" ht="289" hidden="1" outlineLevel="2">
      <c r="A19" s="798" t="s">
        <v>99</v>
      </c>
      <c r="B19" s="798"/>
      <c r="C19" s="714" t="s">
        <v>100</v>
      </c>
      <c r="D19" s="718"/>
      <c r="E19" s="718"/>
      <c r="F19" s="715"/>
      <c r="G19" s="546" t="s">
        <v>763</v>
      </c>
      <c r="H19" s="546" t="s">
        <v>778</v>
      </c>
      <c r="I19" s="554" t="s">
        <v>764</v>
      </c>
      <c r="J19" s="554" t="s">
        <v>765</v>
      </c>
      <c r="K19" s="554" t="s">
        <v>779</v>
      </c>
      <c r="L19" s="361"/>
      <c r="M19" s="546" t="s">
        <v>768</v>
      </c>
      <c r="N19" s="546" t="s">
        <v>769</v>
      </c>
      <c r="O19" s="554" t="s">
        <v>770</v>
      </c>
      <c r="P19" s="13"/>
      <c r="Q19" s="554" t="s">
        <v>101</v>
      </c>
      <c r="R19" s="554" t="s">
        <v>102</v>
      </c>
      <c r="S19" s="558" t="s">
        <v>103</v>
      </c>
      <c r="T19" s="558" t="s">
        <v>104</v>
      </c>
      <c r="U19" s="554" t="s">
        <v>105</v>
      </c>
      <c r="V19" s="546" t="s">
        <v>106</v>
      </c>
      <c r="W19" s="554" t="s">
        <v>771</v>
      </c>
      <c r="X19" s="573"/>
      <c r="Y19" s="546" t="s">
        <v>107</v>
      </c>
      <c r="Z19" s="546" t="s">
        <v>772</v>
      </c>
      <c r="AA19" s="546" t="s">
        <v>773</v>
      </c>
      <c r="AB19" s="358"/>
      <c r="AC19" s="546" t="s">
        <v>774</v>
      </c>
      <c r="AD19" s="546" t="s">
        <v>775</v>
      </c>
      <c r="AE19" s="358"/>
      <c r="AF19" s="717"/>
      <c r="AG19" s="717"/>
      <c r="AH19" s="355"/>
    </row>
    <row r="20" spans="1:37" s="356" customFormat="1" ht="19.25" hidden="1" customHeight="1" outlineLevel="2">
      <c r="A20" s="721" t="s">
        <v>109</v>
      </c>
      <c r="B20" s="733" t="s">
        <v>110</v>
      </c>
      <c r="C20" s="756" t="s">
        <v>111</v>
      </c>
      <c r="D20" s="820"/>
      <c r="E20" s="820"/>
      <c r="F20" s="757"/>
      <c r="G20" s="710"/>
      <c r="H20" s="799" t="str">
        <f>IF(G20="","",G20/$G$67)</f>
        <v/>
      </c>
      <c r="I20" s="710"/>
      <c r="J20" s="710"/>
      <c r="K20" s="712" t="str">
        <f>IF(SUM(I20:J21)=0,"",SUM(I20:J21))</f>
        <v/>
      </c>
      <c r="L20" s="362"/>
      <c r="M20" s="796"/>
      <c r="N20" s="401" t="b">
        <v>0</v>
      </c>
      <c r="O20" s="5"/>
      <c r="P20" s="363"/>
      <c r="Q20" s="712"/>
      <c r="R20" s="710"/>
      <c r="S20" s="710"/>
      <c r="T20" s="710"/>
      <c r="U20" s="710"/>
      <c r="V20" s="712">
        <f t="shared" ref="V20:V21" si="0">IF(M20=TRUE,SUM(Q20:U20),0)</f>
        <v>0</v>
      </c>
      <c r="W20" s="712"/>
      <c r="X20" s="362"/>
      <c r="Y20" s="364" t="s">
        <v>112</v>
      </c>
      <c r="Z20" s="5"/>
      <c r="AA20" s="5"/>
      <c r="AB20" s="358"/>
      <c r="AC20" s="712"/>
      <c r="AD20" s="712"/>
      <c r="AE20" s="358"/>
      <c r="AF20" s="712" t="str">
        <f t="shared" ref="AF20:AF28" si="1">IF(G20="","",IF(AND(V20="",Z20="",Z21="",AC20=""),"Missing Info",IF(G20-V20-Z20-Z21+AC20=0,"OK","Review financial exposure")))</f>
        <v/>
      </c>
      <c r="AG20" s="712" t="str">
        <f>IF(K20="","",IF(AND(W20="",AA20="",AA21="",AD20=""),"Missing Info",IF(K20-W20-AA20-AA21+AD20=0,"OK","Review emissions")))</f>
        <v/>
      </c>
      <c r="AH20" s="355"/>
      <c r="AK20" s="107" t="s">
        <v>113</v>
      </c>
    </row>
    <row r="21" spans="1:37" s="356" customFormat="1" ht="34" hidden="1" outlineLevel="2">
      <c r="A21" s="722"/>
      <c r="B21" s="733"/>
      <c r="C21" s="760"/>
      <c r="D21" s="821"/>
      <c r="E21" s="821"/>
      <c r="F21" s="761"/>
      <c r="G21" s="711"/>
      <c r="H21" s="800"/>
      <c r="I21" s="711"/>
      <c r="J21" s="711"/>
      <c r="K21" s="713"/>
      <c r="L21" s="362"/>
      <c r="M21" s="797"/>
      <c r="N21" s="401" t="b">
        <v>0</v>
      </c>
      <c r="O21" s="5"/>
      <c r="P21" s="363"/>
      <c r="Q21" s="713"/>
      <c r="R21" s="711"/>
      <c r="S21" s="711"/>
      <c r="T21" s="711"/>
      <c r="U21" s="711"/>
      <c r="V21" s="713">
        <f t="shared" si="0"/>
        <v>0</v>
      </c>
      <c r="W21" s="713"/>
      <c r="X21" s="362"/>
      <c r="Y21" s="364" t="s">
        <v>114</v>
      </c>
      <c r="Z21" s="5"/>
      <c r="AA21" s="5"/>
      <c r="AB21" s="358"/>
      <c r="AC21" s="713"/>
      <c r="AD21" s="713"/>
      <c r="AE21" s="358"/>
      <c r="AF21" s="713"/>
      <c r="AG21" s="713"/>
      <c r="AH21" s="355"/>
      <c r="AK21" s="107" t="s">
        <v>113</v>
      </c>
    </row>
    <row r="22" spans="1:37" s="356" customFormat="1" ht="48" hidden="1" customHeight="1" outlineLevel="2">
      <c r="A22" s="722"/>
      <c r="B22" s="733"/>
      <c r="C22" s="727" t="s">
        <v>115</v>
      </c>
      <c r="D22" s="728"/>
      <c r="E22" s="784" t="s">
        <v>277</v>
      </c>
      <c r="F22" s="784" t="s">
        <v>232</v>
      </c>
      <c r="G22" s="710"/>
      <c r="H22" s="799" t="str">
        <f>IF(G22="","",G22/$G$67)</f>
        <v/>
      </c>
      <c r="I22" s="710"/>
      <c r="J22" s="710"/>
      <c r="K22" s="712" t="str">
        <f>IF(SUM(I22:J23)=0,"",SUM(I22:J23))</f>
        <v/>
      </c>
      <c r="L22" s="362"/>
      <c r="M22" s="796"/>
      <c r="N22" s="401" t="b">
        <v>0</v>
      </c>
      <c r="O22" s="5"/>
      <c r="P22" s="363"/>
      <c r="Q22" s="712"/>
      <c r="R22" s="710"/>
      <c r="S22" s="710"/>
      <c r="T22" s="710"/>
      <c r="U22" s="710"/>
      <c r="V22" s="712">
        <f t="shared" ref="V22:V29" si="2">IF(M22=TRUE,SUM(Q22:U22),0)</f>
        <v>0</v>
      </c>
      <c r="W22" s="712"/>
      <c r="X22" s="362"/>
      <c r="Y22" s="364" t="s">
        <v>112</v>
      </c>
      <c r="Z22" s="5"/>
      <c r="AA22" s="5"/>
      <c r="AB22" s="358"/>
      <c r="AC22" s="712"/>
      <c r="AD22" s="712"/>
      <c r="AE22" s="358"/>
      <c r="AF22" s="712" t="str">
        <f t="shared" si="1"/>
        <v/>
      </c>
      <c r="AG22" s="712" t="str">
        <f>IF(K22="","",IF(AND(W22="",AA22="",AA23="",AD22=""),"Missing Info",IF(K22-W22-AA22-AA23+AD22=0,"OK","Review emissions")))</f>
        <v/>
      </c>
      <c r="AH22" s="355"/>
      <c r="AK22" s="107" t="s">
        <v>113</v>
      </c>
    </row>
    <row r="23" spans="1:37" s="356" customFormat="1" ht="48" hidden="1" customHeight="1" outlineLevel="2">
      <c r="A23" s="722"/>
      <c r="B23" s="733"/>
      <c r="C23" s="822"/>
      <c r="D23" s="823"/>
      <c r="E23" s="785"/>
      <c r="F23" s="786"/>
      <c r="G23" s="711"/>
      <c r="H23" s="800"/>
      <c r="I23" s="711"/>
      <c r="J23" s="711"/>
      <c r="K23" s="713"/>
      <c r="L23" s="362"/>
      <c r="M23" s="797"/>
      <c r="N23" s="401" t="b">
        <v>0</v>
      </c>
      <c r="O23" s="5"/>
      <c r="P23" s="363"/>
      <c r="Q23" s="713"/>
      <c r="R23" s="711"/>
      <c r="S23" s="711"/>
      <c r="T23" s="711"/>
      <c r="U23" s="711"/>
      <c r="V23" s="713">
        <f t="shared" si="2"/>
        <v>0</v>
      </c>
      <c r="W23" s="713"/>
      <c r="X23" s="362"/>
      <c r="Y23" s="364" t="s">
        <v>114</v>
      </c>
      <c r="Z23" s="5"/>
      <c r="AA23" s="5"/>
      <c r="AB23" s="358"/>
      <c r="AC23" s="713"/>
      <c r="AD23" s="713"/>
      <c r="AE23" s="358"/>
      <c r="AF23" s="713"/>
      <c r="AG23" s="713"/>
      <c r="AH23" s="355"/>
      <c r="AK23" s="107" t="s">
        <v>113</v>
      </c>
    </row>
    <row r="24" spans="1:37" s="356" customFormat="1" ht="48" hidden="1" customHeight="1" outlineLevel="2">
      <c r="A24" s="722"/>
      <c r="B24" s="733"/>
      <c r="C24" s="822"/>
      <c r="D24" s="823"/>
      <c r="E24" s="785"/>
      <c r="F24" s="784" t="s">
        <v>233</v>
      </c>
      <c r="G24" s="710"/>
      <c r="H24" s="799" t="str">
        <f>IF(G24="","",G24/$G$67)</f>
        <v/>
      </c>
      <c r="I24" s="710"/>
      <c r="J24" s="710"/>
      <c r="K24" s="712" t="str">
        <f>IF(SUM(I24:J25)=0,"",SUM(I24:J25))</f>
        <v/>
      </c>
      <c r="L24" s="362"/>
      <c r="M24" s="796"/>
      <c r="N24" s="401" t="b">
        <v>0</v>
      </c>
      <c r="O24" s="5"/>
      <c r="P24" s="363"/>
      <c r="Q24" s="712"/>
      <c r="R24" s="710"/>
      <c r="S24" s="710"/>
      <c r="T24" s="710"/>
      <c r="U24" s="710"/>
      <c r="V24" s="712">
        <f t="shared" si="2"/>
        <v>0</v>
      </c>
      <c r="W24" s="712"/>
      <c r="X24" s="362"/>
      <c r="Y24" s="364" t="s">
        <v>112</v>
      </c>
      <c r="Z24" s="5"/>
      <c r="AA24" s="5"/>
      <c r="AB24" s="358"/>
      <c r="AC24" s="712"/>
      <c r="AD24" s="712"/>
      <c r="AE24" s="358"/>
      <c r="AF24" s="712" t="str">
        <f t="shared" si="1"/>
        <v/>
      </c>
      <c r="AG24" s="712" t="str">
        <f>IF(K24="","",IF(AND(W24="",AA24="",AA25="",AD24=""),"Missing Info",IF(K24-W24-AA24-AA25+AD24=0,"OK","Review emissions")))</f>
        <v/>
      </c>
      <c r="AH24" s="355"/>
      <c r="AK24" s="107" t="s">
        <v>113</v>
      </c>
    </row>
    <row r="25" spans="1:37" s="356" customFormat="1" ht="48" hidden="1" customHeight="1" outlineLevel="2">
      <c r="A25" s="722"/>
      <c r="B25" s="733"/>
      <c r="C25" s="822"/>
      <c r="D25" s="823"/>
      <c r="E25" s="785"/>
      <c r="F25" s="786"/>
      <c r="G25" s="711"/>
      <c r="H25" s="800"/>
      <c r="I25" s="711"/>
      <c r="J25" s="711"/>
      <c r="K25" s="713"/>
      <c r="L25" s="362"/>
      <c r="M25" s="797"/>
      <c r="N25" s="401" t="b">
        <v>0</v>
      </c>
      <c r="O25" s="5"/>
      <c r="P25" s="363"/>
      <c r="Q25" s="713"/>
      <c r="R25" s="711"/>
      <c r="S25" s="711"/>
      <c r="T25" s="711"/>
      <c r="U25" s="711"/>
      <c r="V25" s="713">
        <f t="shared" si="2"/>
        <v>0</v>
      </c>
      <c r="W25" s="713"/>
      <c r="X25" s="362"/>
      <c r="Y25" s="364" t="s">
        <v>114</v>
      </c>
      <c r="Z25" s="5"/>
      <c r="AA25" s="5"/>
      <c r="AB25" s="358"/>
      <c r="AC25" s="713"/>
      <c r="AD25" s="713"/>
      <c r="AE25" s="358"/>
      <c r="AF25" s="713"/>
      <c r="AG25" s="713"/>
      <c r="AH25" s="355"/>
      <c r="AK25" s="107" t="s">
        <v>113</v>
      </c>
    </row>
    <row r="26" spans="1:37" s="356" customFormat="1" ht="48" hidden="1" customHeight="1" outlineLevel="2">
      <c r="A26" s="722"/>
      <c r="B26" s="733"/>
      <c r="C26" s="822"/>
      <c r="D26" s="823"/>
      <c r="E26" s="785"/>
      <c r="F26" s="784" t="s">
        <v>234</v>
      </c>
      <c r="G26" s="710"/>
      <c r="H26" s="799" t="str">
        <f>IF(G26="","",G26/$G$67)</f>
        <v/>
      </c>
      <c r="I26" s="710"/>
      <c r="J26" s="710"/>
      <c r="K26" s="712" t="str">
        <f>IF(SUM(I26:J27)=0,"",SUM(I26:J27))</f>
        <v/>
      </c>
      <c r="L26" s="362"/>
      <c r="M26" s="796"/>
      <c r="N26" s="401" t="b">
        <v>0</v>
      </c>
      <c r="O26" s="5"/>
      <c r="P26" s="363"/>
      <c r="Q26" s="712"/>
      <c r="R26" s="710"/>
      <c r="S26" s="710"/>
      <c r="T26" s="710"/>
      <c r="U26" s="710"/>
      <c r="V26" s="712">
        <f t="shared" si="2"/>
        <v>0</v>
      </c>
      <c r="W26" s="712"/>
      <c r="X26" s="362"/>
      <c r="Y26" s="364" t="s">
        <v>112</v>
      </c>
      <c r="Z26" s="5"/>
      <c r="AA26" s="5"/>
      <c r="AB26" s="358"/>
      <c r="AC26" s="712"/>
      <c r="AD26" s="712"/>
      <c r="AE26" s="358"/>
      <c r="AF26" s="712" t="str">
        <f t="shared" si="1"/>
        <v/>
      </c>
      <c r="AG26" s="712" t="str">
        <f>IF(K26="","",IF(AND(W26="",AA26="",AA27="",AD26=""),"Missing Info",IF(K26-W26-AA26-AA27+AD26=0,"OK","Review emissions")))</f>
        <v/>
      </c>
      <c r="AH26" s="355"/>
      <c r="AK26" s="107" t="s">
        <v>113</v>
      </c>
    </row>
    <row r="27" spans="1:37" s="356" customFormat="1" ht="48" hidden="1" customHeight="1" outlineLevel="2">
      <c r="A27" s="722"/>
      <c r="B27" s="733"/>
      <c r="C27" s="822"/>
      <c r="D27" s="823"/>
      <c r="E27" s="785"/>
      <c r="F27" s="786"/>
      <c r="G27" s="711"/>
      <c r="H27" s="800"/>
      <c r="I27" s="711"/>
      <c r="J27" s="711"/>
      <c r="K27" s="713"/>
      <c r="L27" s="362"/>
      <c r="M27" s="797"/>
      <c r="N27" s="401" t="b">
        <v>0</v>
      </c>
      <c r="O27" s="5"/>
      <c r="P27" s="363"/>
      <c r="Q27" s="713"/>
      <c r="R27" s="711"/>
      <c r="S27" s="711"/>
      <c r="T27" s="711"/>
      <c r="U27" s="711"/>
      <c r="V27" s="713">
        <f t="shared" si="2"/>
        <v>0</v>
      </c>
      <c r="W27" s="713"/>
      <c r="X27" s="362"/>
      <c r="Y27" s="364" t="s">
        <v>114</v>
      </c>
      <c r="Z27" s="5"/>
      <c r="AA27" s="5"/>
      <c r="AB27" s="358"/>
      <c r="AC27" s="713"/>
      <c r="AD27" s="713"/>
      <c r="AE27" s="358"/>
      <c r="AF27" s="713"/>
      <c r="AG27" s="713"/>
      <c r="AH27" s="355"/>
      <c r="AK27" s="107" t="s">
        <v>113</v>
      </c>
    </row>
    <row r="28" spans="1:37" s="356" customFormat="1" ht="33" hidden="1" customHeight="1" outlineLevel="2">
      <c r="A28" s="722"/>
      <c r="B28" s="733"/>
      <c r="C28" s="822"/>
      <c r="D28" s="823"/>
      <c r="E28" s="785"/>
      <c r="F28" s="784" t="s">
        <v>117</v>
      </c>
      <c r="G28" s="710"/>
      <c r="H28" s="799" t="str">
        <f>IF(G28="","",G28/$G$67)</f>
        <v/>
      </c>
      <c r="I28" s="710"/>
      <c r="J28" s="710"/>
      <c r="K28" s="712" t="str">
        <f>IF(SUM(I28:J29)=0,"",SUM(I28:J29))</f>
        <v/>
      </c>
      <c r="L28" s="362"/>
      <c r="M28" s="796"/>
      <c r="N28" s="401" t="b">
        <v>0</v>
      </c>
      <c r="O28" s="5"/>
      <c r="P28" s="363"/>
      <c r="Q28" s="712"/>
      <c r="R28" s="710"/>
      <c r="S28" s="710"/>
      <c r="T28" s="710"/>
      <c r="U28" s="710"/>
      <c r="V28" s="712">
        <f t="shared" si="2"/>
        <v>0</v>
      </c>
      <c r="W28" s="712"/>
      <c r="X28" s="362"/>
      <c r="Y28" s="364" t="s">
        <v>112</v>
      </c>
      <c r="Z28" s="5"/>
      <c r="AA28" s="5"/>
      <c r="AB28" s="358"/>
      <c r="AC28" s="712"/>
      <c r="AD28" s="712"/>
      <c r="AE28" s="358"/>
      <c r="AF28" s="712" t="str">
        <f t="shared" si="1"/>
        <v/>
      </c>
      <c r="AG28" s="712" t="str">
        <f>IF(K28="","",IF(AND(W28="",AA28="",AA29="",AD28=""),"Missing Info",IF(K28-W28-AA28-AA29+AD28=0,"OK","Review emissions")))</f>
        <v/>
      </c>
      <c r="AH28" s="355"/>
      <c r="AK28" s="107" t="s">
        <v>113</v>
      </c>
    </row>
    <row r="29" spans="1:37" s="356" customFormat="1" ht="33" hidden="1" customHeight="1" outlineLevel="2">
      <c r="A29" s="723"/>
      <c r="B29" s="733"/>
      <c r="C29" s="729"/>
      <c r="D29" s="730"/>
      <c r="E29" s="786"/>
      <c r="F29" s="786"/>
      <c r="G29" s="711"/>
      <c r="H29" s="800"/>
      <c r="I29" s="711"/>
      <c r="J29" s="711"/>
      <c r="K29" s="713"/>
      <c r="L29" s="362"/>
      <c r="M29" s="797"/>
      <c r="N29" s="401" t="b">
        <v>0</v>
      </c>
      <c r="O29" s="5"/>
      <c r="P29" s="363"/>
      <c r="Q29" s="713"/>
      <c r="R29" s="711"/>
      <c r="S29" s="711"/>
      <c r="T29" s="711"/>
      <c r="U29" s="711"/>
      <c r="V29" s="713">
        <f t="shared" si="2"/>
        <v>0</v>
      </c>
      <c r="W29" s="713"/>
      <c r="X29" s="362"/>
      <c r="Y29" s="364" t="s">
        <v>114</v>
      </c>
      <c r="Z29" s="5"/>
      <c r="AA29" s="5"/>
      <c r="AB29" s="358"/>
      <c r="AC29" s="713"/>
      <c r="AD29" s="713"/>
      <c r="AE29" s="358"/>
      <c r="AF29" s="713"/>
      <c r="AG29" s="713"/>
      <c r="AH29" s="355"/>
      <c r="AK29" s="107" t="s">
        <v>113</v>
      </c>
    </row>
    <row r="30" spans="1:37" s="356" customFormat="1" ht="33" hidden="1" customHeight="1" outlineLevel="2">
      <c r="A30" s="721" t="s">
        <v>759</v>
      </c>
      <c r="B30" s="733"/>
      <c r="C30" s="724" t="s">
        <v>762</v>
      </c>
      <c r="D30" s="725"/>
      <c r="E30" s="725"/>
      <c r="F30" s="726"/>
      <c r="G30" s="5"/>
      <c r="H30" s="365" t="str">
        <f t="shared" ref="H30:H60" si="3">IF(G30="","",G30/$G$67)</f>
        <v/>
      </c>
      <c r="I30" s="5"/>
      <c r="J30" s="5"/>
      <c r="K30" s="557" t="str">
        <f t="shared" ref="K30:K52" si="4">IF(SUM(I30:J30)=0,"",SUM(I30:J30))</f>
        <v/>
      </c>
      <c r="L30" s="362"/>
      <c r="M30" s="401" t="b">
        <v>0</v>
      </c>
      <c r="N30" s="401" t="b">
        <v>0</v>
      </c>
      <c r="O30" s="5"/>
      <c r="P30" s="363"/>
      <c r="Q30" s="557"/>
      <c r="R30" s="5"/>
      <c r="S30" s="5"/>
      <c r="T30" s="5"/>
      <c r="U30" s="5"/>
      <c r="V30" s="557">
        <f t="shared" ref="V30:V52" si="5">IF(M30=TRUE,SUM(Q30:U30),0)</f>
        <v>0</v>
      </c>
      <c r="W30" s="5"/>
      <c r="X30" s="362"/>
      <c r="Y30" s="364" t="s">
        <v>112</v>
      </c>
      <c r="Z30" s="5"/>
      <c r="AA30" s="5"/>
      <c r="AB30" s="358"/>
      <c r="AC30" s="5"/>
      <c r="AD30" s="5"/>
      <c r="AE30" s="358"/>
      <c r="AF30" s="557" t="str">
        <f t="shared" ref="AF30:AF52" si="6">IF(G30="","",IF(AND(V30="",Z30="",AC30=""),"Missing Info",IF(G30-V30-Z30+AC30=0,"OK","Review financial exposure")))</f>
        <v/>
      </c>
      <c r="AG30" s="557" t="str">
        <f t="shared" ref="AG30:AG52" si="7">IF(K30="","",IF(AND(W30="",AA30="",AD30=""),"Missing Info",IF(K30-W30-AA30+AD30=0,"OK","Review emissions")))</f>
        <v/>
      </c>
      <c r="AH30" s="355"/>
      <c r="AK30" s="107" t="s">
        <v>113</v>
      </c>
    </row>
    <row r="31" spans="1:37" s="356" customFormat="1" ht="98" hidden="1" customHeight="1" outlineLevel="2">
      <c r="A31" s="722"/>
      <c r="B31" s="733"/>
      <c r="C31" s="727" t="s">
        <v>761</v>
      </c>
      <c r="D31" s="728"/>
      <c r="E31" s="784" t="s">
        <v>277</v>
      </c>
      <c r="F31" s="545" t="s">
        <v>232</v>
      </c>
      <c r="G31" s="5"/>
      <c r="H31" s="365" t="str">
        <f t="shared" si="3"/>
        <v/>
      </c>
      <c r="I31" s="5"/>
      <c r="J31" s="5"/>
      <c r="K31" s="557" t="str">
        <f t="shared" si="4"/>
        <v/>
      </c>
      <c r="L31" s="362"/>
      <c r="M31" s="401" t="b">
        <v>0</v>
      </c>
      <c r="N31" s="401" t="b">
        <v>0</v>
      </c>
      <c r="O31" s="5"/>
      <c r="P31" s="363"/>
      <c r="Q31" s="557"/>
      <c r="R31" s="5"/>
      <c r="S31" s="5"/>
      <c r="T31" s="5"/>
      <c r="U31" s="5"/>
      <c r="V31" s="557">
        <f t="shared" si="5"/>
        <v>0</v>
      </c>
      <c r="W31" s="5"/>
      <c r="X31" s="362"/>
      <c r="Y31" s="364" t="s">
        <v>112</v>
      </c>
      <c r="Z31" s="5"/>
      <c r="AA31" s="5"/>
      <c r="AB31" s="358"/>
      <c r="AC31" s="5"/>
      <c r="AD31" s="5"/>
      <c r="AE31" s="358"/>
      <c r="AF31" s="557" t="str">
        <f t="shared" si="6"/>
        <v/>
      </c>
      <c r="AG31" s="557" t="str">
        <f t="shared" si="7"/>
        <v/>
      </c>
      <c r="AH31" s="355"/>
      <c r="AK31" s="107" t="s">
        <v>113</v>
      </c>
    </row>
    <row r="32" spans="1:37" s="356" customFormat="1" ht="98" hidden="1" customHeight="1" outlineLevel="2">
      <c r="A32" s="722"/>
      <c r="B32" s="733"/>
      <c r="C32" s="822"/>
      <c r="D32" s="823"/>
      <c r="E32" s="785"/>
      <c r="F32" s="545" t="s">
        <v>233</v>
      </c>
      <c r="G32" s="5"/>
      <c r="H32" s="365" t="str">
        <f t="shared" si="3"/>
        <v/>
      </c>
      <c r="I32" s="5"/>
      <c r="J32" s="5"/>
      <c r="K32" s="557" t="str">
        <f t="shared" si="4"/>
        <v/>
      </c>
      <c r="L32" s="362"/>
      <c r="M32" s="401" t="b">
        <v>0</v>
      </c>
      <c r="N32" s="401" t="b">
        <v>0</v>
      </c>
      <c r="O32" s="5"/>
      <c r="P32" s="363"/>
      <c r="Q32" s="557"/>
      <c r="R32" s="5"/>
      <c r="S32" s="5"/>
      <c r="T32" s="5"/>
      <c r="U32" s="5"/>
      <c r="V32" s="557">
        <f t="shared" si="5"/>
        <v>0</v>
      </c>
      <c r="W32" s="5"/>
      <c r="X32" s="362"/>
      <c r="Y32" s="364" t="s">
        <v>112</v>
      </c>
      <c r="Z32" s="5"/>
      <c r="AA32" s="5"/>
      <c r="AB32" s="358"/>
      <c r="AC32" s="5"/>
      <c r="AD32" s="5"/>
      <c r="AE32" s="358"/>
      <c r="AF32" s="557" t="str">
        <f t="shared" si="6"/>
        <v/>
      </c>
      <c r="AG32" s="557" t="str">
        <f t="shared" si="7"/>
        <v/>
      </c>
      <c r="AH32" s="355"/>
      <c r="AK32" s="107" t="s">
        <v>113</v>
      </c>
    </row>
    <row r="33" spans="1:37" s="356" customFormat="1" ht="98" hidden="1" customHeight="1" outlineLevel="2">
      <c r="A33" s="722"/>
      <c r="B33" s="733"/>
      <c r="C33" s="822"/>
      <c r="D33" s="823"/>
      <c r="E33" s="785"/>
      <c r="F33" s="545" t="s">
        <v>234</v>
      </c>
      <c r="G33" s="5"/>
      <c r="H33" s="365" t="str">
        <f t="shared" si="3"/>
        <v/>
      </c>
      <c r="I33" s="5"/>
      <c r="J33" s="5"/>
      <c r="K33" s="557" t="str">
        <f t="shared" si="4"/>
        <v/>
      </c>
      <c r="L33" s="362"/>
      <c r="M33" s="401" t="b">
        <v>0</v>
      </c>
      <c r="N33" s="401" t="b">
        <v>0</v>
      </c>
      <c r="O33" s="5"/>
      <c r="P33" s="363"/>
      <c r="Q33" s="557"/>
      <c r="R33" s="5"/>
      <c r="S33" s="5"/>
      <c r="T33" s="5"/>
      <c r="U33" s="5"/>
      <c r="V33" s="557">
        <f t="shared" si="5"/>
        <v>0</v>
      </c>
      <c r="W33" s="5"/>
      <c r="X33" s="362"/>
      <c r="Y33" s="364" t="s">
        <v>112</v>
      </c>
      <c r="Z33" s="5"/>
      <c r="AA33" s="5"/>
      <c r="AB33" s="358"/>
      <c r="AC33" s="5"/>
      <c r="AD33" s="5"/>
      <c r="AE33" s="358"/>
      <c r="AF33" s="557" t="str">
        <f t="shared" si="6"/>
        <v/>
      </c>
      <c r="AG33" s="557" t="str">
        <f t="shared" si="7"/>
        <v/>
      </c>
      <c r="AH33" s="355"/>
      <c r="AK33" s="107" t="s">
        <v>113</v>
      </c>
    </row>
    <row r="34" spans="1:37" s="356" customFormat="1" ht="33" hidden="1" customHeight="1" outlineLevel="2">
      <c r="A34" s="723"/>
      <c r="B34" s="788"/>
      <c r="C34" s="729"/>
      <c r="D34" s="730"/>
      <c r="E34" s="786"/>
      <c r="F34" s="545" t="s">
        <v>117</v>
      </c>
      <c r="G34" s="5"/>
      <c r="H34" s="365" t="str">
        <f t="shared" si="3"/>
        <v/>
      </c>
      <c r="I34" s="5"/>
      <c r="J34" s="5"/>
      <c r="K34" s="557" t="str">
        <f t="shared" si="4"/>
        <v/>
      </c>
      <c r="L34" s="362"/>
      <c r="M34" s="401" t="b">
        <v>0</v>
      </c>
      <c r="N34" s="401" t="b">
        <v>0</v>
      </c>
      <c r="O34" s="5"/>
      <c r="P34" s="363"/>
      <c r="Q34" s="557"/>
      <c r="R34" s="5"/>
      <c r="S34" s="5"/>
      <c r="T34" s="5"/>
      <c r="U34" s="5"/>
      <c r="V34" s="557">
        <f t="shared" si="5"/>
        <v>0</v>
      </c>
      <c r="W34" s="5"/>
      <c r="X34" s="362"/>
      <c r="Y34" s="364" t="s">
        <v>112</v>
      </c>
      <c r="Z34" s="5"/>
      <c r="AA34" s="5"/>
      <c r="AB34" s="358"/>
      <c r="AC34" s="5"/>
      <c r="AD34" s="5"/>
      <c r="AE34" s="358"/>
      <c r="AF34" s="557" t="str">
        <f t="shared" si="6"/>
        <v/>
      </c>
      <c r="AG34" s="557" t="str">
        <f t="shared" si="7"/>
        <v/>
      </c>
      <c r="AH34" s="355"/>
      <c r="AK34" s="107" t="s">
        <v>113</v>
      </c>
    </row>
    <row r="35" spans="1:37" s="356" customFormat="1" ht="33" hidden="1" customHeight="1" outlineLevel="2">
      <c r="A35" s="721" t="s">
        <v>118</v>
      </c>
      <c r="B35" s="732" t="s">
        <v>119</v>
      </c>
      <c r="C35" s="724" t="s">
        <v>120</v>
      </c>
      <c r="D35" s="725"/>
      <c r="E35" s="725"/>
      <c r="F35" s="726"/>
      <c r="G35" s="5"/>
      <c r="H35" s="365" t="str">
        <f t="shared" si="3"/>
        <v/>
      </c>
      <c r="I35" s="5"/>
      <c r="J35" s="5"/>
      <c r="K35" s="557" t="str">
        <f t="shared" si="4"/>
        <v/>
      </c>
      <c r="L35" s="362"/>
      <c r="M35" s="401" t="b">
        <v>0</v>
      </c>
      <c r="N35" s="366"/>
      <c r="O35" s="5"/>
      <c r="P35" s="363"/>
      <c r="Q35" s="557"/>
      <c r="R35" s="5"/>
      <c r="S35" s="5"/>
      <c r="T35" s="5"/>
      <c r="U35" s="5"/>
      <c r="V35" s="557">
        <f t="shared" si="5"/>
        <v>0</v>
      </c>
      <c r="W35" s="5"/>
      <c r="X35" s="362"/>
      <c r="Y35" s="557"/>
      <c r="Z35" s="557"/>
      <c r="AA35" s="557"/>
      <c r="AB35" s="355"/>
      <c r="AC35" s="557"/>
      <c r="AD35" s="557"/>
      <c r="AE35" s="358"/>
      <c r="AF35" s="557" t="str">
        <f t="shared" si="6"/>
        <v/>
      </c>
      <c r="AG35" s="557" t="str">
        <f t="shared" si="7"/>
        <v/>
      </c>
      <c r="AH35" s="355"/>
      <c r="AK35" s="107" t="s">
        <v>121</v>
      </c>
    </row>
    <row r="36" spans="1:37" s="356" customFormat="1" ht="90" hidden="1" customHeight="1" outlineLevel="2">
      <c r="A36" s="722"/>
      <c r="B36" s="733"/>
      <c r="C36" s="756" t="s">
        <v>122</v>
      </c>
      <c r="D36" s="757"/>
      <c r="E36" s="784" t="s">
        <v>277</v>
      </c>
      <c r="F36" s="545" t="s">
        <v>235</v>
      </c>
      <c r="G36" s="5"/>
      <c r="H36" s="365" t="str">
        <f t="shared" si="3"/>
        <v/>
      </c>
      <c r="I36" s="5"/>
      <c r="J36" s="5"/>
      <c r="K36" s="557" t="str">
        <f t="shared" si="4"/>
        <v/>
      </c>
      <c r="L36" s="362"/>
      <c r="M36" s="401" t="b">
        <v>0</v>
      </c>
      <c r="N36" s="366"/>
      <c r="O36" s="5"/>
      <c r="P36" s="363"/>
      <c r="Q36" s="557"/>
      <c r="R36" s="5"/>
      <c r="S36" s="5"/>
      <c r="T36" s="5"/>
      <c r="U36" s="5"/>
      <c r="V36" s="557">
        <f t="shared" si="5"/>
        <v>0</v>
      </c>
      <c r="W36" s="5"/>
      <c r="X36" s="362"/>
      <c r="Y36" s="557"/>
      <c r="Z36" s="557"/>
      <c r="AA36" s="557"/>
      <c r="AB36" s="355"/>
      <c r="AC36" s="557"/>
      <c r="AD36" s="557"/>
      <c r="AE36" s="358"/>
      <c r="AF36" s="557" t="str">
        <f t="shared" si="6"/>
        <v/>
      </c>
      <c r="AG36" s="557" t="str">
        <f t="shared" si="7"/>
        <v/>
      </c>
      <c r="AH36" s="355"/>
      <c r="AK36" s="107" t="s">
        <v>121</v>
      </c>
    </row>
    <row r="37" spans="1:37" s="356" customFormat="1" ht="90" hidden="1" customHeight="1" outlineLevel="2">
      <c r="A37" s="722"/>
      <c r="B37" s="733"/>
      <c r="C37" s="758"/>
      <c r="D37" s="759"/>
      <c r="E37" s="785"/>
      <c r="F37" s="545" t="s">
        <v>236</v>
      </c>
      <c r="G37" s="5"/>
      <c r="H37" s="365" t="str">
        <f t="shared" si="3"/>
        <v/>
      </c>
      <c r="I37" s="5"/>
      <c r="J37" s="5"/>
      <c r="K37" s="557" t="str">
        <f t="shared" si="4"/>
        <v/>
      </c>
      <c r="L37" s="362"/>
      <c r="M37" s="401" t="b">
        <v>0</v>
      </c>
      <c r="N37" s="366"/>
      <c r="O37" s="5"/>
      <c r="P37" s="363"/>
      <c r="Q37" s="557"/>
      <c r="R37" s="5"/>
      <c r="S37" s="5"/>
      <c r="T37" s="5"/>
      <c r="U37" s="5"/>
      <c r="V37" s="557">
        <f t="shared" si="5"/>
        <v>0</v>
      </c>
      <c r="W37" s="5"/>
      <c r="X37" s="362"/>
      <c r="Y37" s="557"/>
      <c r="Z37" s="557"/>
      <c r="AA37" s="557"/>
      <c r="AB37" s="355"/>
      <c r="AC37" s="557"/>
      <c r="AD37" s="557"/>
      <c r="AE37" s="358"/>
      <c r="AF37" s="557" t="str">
        <f t="shared" si="6"/>
        <v/>
      </c>
      <c r="AG37" s="557" t="str">
        <f t="shared" si="7"/>
        <v/>
      </c>
      <c r="AH37" s="355"/>
      <c r="AK37" s="107" t="s">
        <v>121</v>
      </c>
    </row>
    <row r="38" spans="1:37" s="356" customFormat="1" ht="126" hidden="1" customHeight="1" outlineLevel="2">
      <c r="A38" s="722"/>
      <c r="B38" s="733"/>
      <c r="C38" s="758"/>
      <c r="D38" s="759"/>
      <c r="E38" s="785"/>
      <c r="F38" s="545" t="s">
        <v>237</v>
      </c>
      <c r="G38" s="5"/>
      <c r="H38" s="365" t="str">
        <f t="shared" si="3"/>
        <v/>
      </c>
      <c r="I38" s="5"/>
      <c r="J38" s="5"/>
      <c r="K38" s="557" t="str">
        <f t="shared" si="4"/>
        <v/>
      </c>
      <c r="L38" s="362"/>
      <c r="M38" s="401" t="b">
        <v>0</v>
      </c>
      <c r="N38" s="366"/>
      <c r="O38" s="5"/>
      <c r="P38" s="363"/>
      <c r="Q38" s="557"/>
      <c r="R38" s="5"/>
      <c r="S38" s="5"/>
      <c r="T38" s="5"/>
      <c r="U38" s="5"/>
      <c r="V38" s="557">
        <f t="shared" si="5"/>
        <v>0</v>
      </c>
      <c r="W38" s="5"/>
      <c r="X38" s="362"/>
      <c r="Y38" s="557"/>
      <c r="Z38" s="557"/>
      <c r="AA38" s="557"/>
      <c r="AB38" s="355"/>
      <c r="AC38" s="557"/>
      <c r="AD38" s="557"/>
      <c r="AE38" s="358"/>
      <c r="AF38" s="557" t="str">
        <f t="shared" si="6"/>
        <v/>
      </c>
      <c r="AG38" s="557" t="str">
        <f t="shared" si="7"/>
        <v/>
      </c>
      <c r="AH38" s="355"/>
      <c r="AK38" s="107" t="s">
        <v>121</v>
      </c>
    </row>
    <row r="39" spans="1:37" s="356" customFormat="1" ht="90" hidden="1" customHeight="1" outlineLevel="2">
      <c r="A39" s="722"/>
      <c r="B39" s="733"/>
      <c r="C39" s="758"/>
      <c r="D39" s="759"/>
      <c r="E39" s="785"/>
      <c r="F39" s="545" t="s">
        <v>124</v>
      </c>
      <c r="G39" s="5"/>
      <c r="H39" s="365" t="str">
        <f t="shared" si="3"/>
        <v/>
      </c>
      <c r="I39" s="5"/>
      <c r="J39" s="5"/>
      <c r="K39" s="557" t="str">
        <f t="shared" si="4"/>
        <v/>
      </c>
      <c r="L39" s="362"/>
      <c r="M39" s="401" t="b">
        <v>0</v>
      </c>
      <c r="N39" s="366"/>
      <c r="O39" s="5"/>
      <c r="P39" s="363"/>
      <c r="Q39" s="557"/>
      <c r="R39" s="5"/>
      <c r="S39" s="5"/>
      <c r="T39" s="5"/>
      <c r="U39" s="5"/>
      <c r="V39" s="557">
        <f t="shared" si="5"/>
        <v>0</v>
      </c>
      <c r="W39" s="5"/>
      <c r="X39" s="362"/>
      <c r="Y39" s="557"/>
      <c r="Z39" s="557"/>
      <c r="AA39" s="557"/>
      <c r="AB39" s="355"/>
      <c r="AC39" s="557"/>
      <c r="AD39" s="557"/>
      <c r="AE39" s="358"/>
      <c r="AF39" s="557" t="str">
        <f t="shared" si="6"/>
        <v/>
      </c>
      <c r="AG39" s="557" t="str">
        <f t="shared" si="7"/>
        <v/>
      </c>
      <c r="AH39" s="355"/>
      <c r="AK39" s="107" t="s">
        <v>121</v>
      </c>
    </row>
    <row r="40" spans="1:37" s="356" customFormat="1" ht="90" hidden="1" customHeight="1" outlineLevel="2">
      <c r="A40" s="722"/>
      <c r="B40" s="733"/>
      <c r="C40" s="758"/>
      <c r="D40" s="759"/>
      <c r="E40" s="785"/>
      <c r="F40" s="545" t="s">
        <v>125</v>
      </c>
      <c r="G40" s="5"/>
      <c r="H40" s="365" t="str">
        <f t="shared" si="3"/>
        <v/>
      </c>
      <c r="I40" s="5"/>
      <c r="J40" s="5"/>
      <c r="K40" s="557" t="str">
        <f t="shared" si="4"/>
        <v/>
      </c>
      <c r="L40" s="362"/>
      <c r="M40" s="401" t="b">
        <v>0</v>
      </c>
      <c r="N40" s="366"/>
      <c r="O40" s="5"/>
      <c r="P40" s="363"/>
      <c r="Q40" s="557"/>
      <c r="R40" s="5"/>
      <c r="S40" s="5"/>
      <c r="T40" s="5"/>
      <c r="U40" s="5"/>
      <c r="V40" s="557">
        <f t="shared" si="5"/>
        <v>0</v>
      </c>
      <c r="W40" s="5"/>
      <c r="X40" s="362"/>
      <c r="Y40" s="557"/>
      <c r="Z40" s="557"/>
      <c r="AA40" s="557"/>
      <c r="AB40" s="355"/>
      <c r="AC40" s="557"/>
      <c r="AD40" s="557"/>
      <c r="AE40" s="358"/>
      <c r="AF40" s="557" t="str">
        <f t="shared" si="6"/>
        <v/>
      </c>
      <c r="AG40" s="557" t="str">
        <f t="shared" si="7"/>
        <v/>
      </c>
      <c r="AH40" s="355"/>
      <c r="AK40" s="107" t="s">
        <v>121</v>
      </c>
    </row>
    <row r="41" spans="1:37" s="356" customFormat="1" ht="33" hidden="1" customHeight="1" outlineLevel="2">
      <c r="A41" s="723"/>
      <c r="B41" s="788"/>
      <c r="C41" s="760"/>
      <c r="D41" s="761"/>
      <c r="E41" s="786"/>
      <c r="F41" s="545" t="s">
        <v>238</v>
      </c>
      <c r="G41" s="5"/>
      <c r="H41" s="365" t="str">
        <f t="shared" si="3"/>
        <v/>
      </c>
      <c r="I41" s="5"/>
      <c r="J41" s="5"/>
      <c r="K41" s="557" t="str">
        <f t="shared" si="4"/>
        <v/>
      </c>
      <c r="L41" s="362"/>
      <c r="M41" s="401" t="b">
        <v>0</v>
      </c>
      <c r="N41" s="366"/>
      <c r="O41" s="5"/>
      <c r="P41" s="363"/>
      <c r="Q41" s="557"/>
      <c r="R41" s="5"/>
      <c r="S41" s="5"/>
      <c r="T41" s="5"/>
      <c r="U41" s="5"/>
      <c r="V41" s="557">
        <f t="shared" si="5"/>
        <v>0</v>
      </c>
      <c r="W41" s="5"/>
      <c r="X41" s="362"/>
      <c r="Y41" s="557"/>
      <c r="Z41" s="557"/>
      <c r="AA41" s="557"/>
      <c r="AB41" s="355"/>
      <c r="AC41" s="557"/>
      <c r="AD41" s="557"/>
      <c r="AE41" s="358"/>
      <c r="AF41" s="557" t="str">
        <f t="shared" si="6"/>
        <v/>
      </c>
      <c r="AG41" s="557" t="str">
        <f t="shared" si="7"/>
        <v/>
      </c>
      <c r="AH41" s="355"/>
      <c r="AK41" s="107" t="s">
        <v>121</v>
      </c>
    </row>
    <row r="42" spans="1:37" s="356" customFormat="1" ht="33" hidden="1" customHeight="1" outlineLevel="2">
      <c r="A42" s="721" t="s">
        <v>127</v>
      </c>
      <c r="B42" s="732" t="s">
        <v>128</v>
      </c>
      <c r="C42" s="724" t="s">
        <v>129</v>
      </c>
      <c r="D42" s="725"/>
      <c r="E42" s="725"/>
      <c r="F42" s="726"/>
      <c r="G42" s="5"/>
      <c r="H42" s="365" t="str">
        <f t="shared" si="3"/>
        <v/>
      </c>
      <c r="I42" s="5"/>
      <c r="J42" s="5"/>
      <c r="K42" s="557" t="str">
        <f t="shared" si="4"/>
        <v/>
      </c>
      <c r="L42" s="362"/>
      <c r="M42" s="401" t="b">
        <v>0</v>
      </c>
      <c r="N42" s="366"/>
      <c r="O42" s="5"/>
      <c r="P42" s="363"/>
      <c r="Q42" s="5"/>
      <c r="R42" s="5"/>
      <c r="S42" s="5"/>
      <c r="T42" s="5"/>
      <c r="U42" s="5"/>
      <c r="V42" s="557">
        <f t="shared" si="5"/>
        <v>0</v>
      </c>
      <c r="W42" s="5"/>
      <c r="X42" s="362"/>
      <c r="Y42" s="557"/>
      <c r="Z42" s="557"/>
      <c r="AA42" s="557"/>
      <c r="AB42" s="355"/>
      <c r="AC42" s="557"/>
      <c r="AD42" s="557"/>
      <c r="AE42" s="358"/>
      <c r="AF42" s="557" t="str">
        <f t="shared" si="6"/>
        <v/>
      </c>
      <c r="AG42" s="557" t="str">
        <f t="shared" si="7"/>
        <v/>
      </c>
      <c r="AH42" s="355"/>
      <c r="AK42" s="107" t="s">
        <v>130</v>
      </c>
    </row>
    <row r="43" spans="1:37" s="356" customFormat="1" ht="69" hidden="1" customHeight="1" outlineLevel="2">
      <c r="A43" s="722"/>
      <c r="B43" s="733"/>
      <c r="C43" s="746" t="s">
        <v>122</v>
      </c>
      <c r="D43" s="747"/>
      <c r="E43" s="784" t="s">
        <v>277</v>
      </c>
      <c r="F43" s="545" t="s">
        <v>239</v>
      </c>
      <c r="G43" s="5"/>
      <c r="H43" s="365" t="str">
        <f t="shared" si="3"/>
        <v/>
      </c>
      <c r="I43" s="5"/>
      <c r="J43" s="5"/>
      <c r="K43" s="557" t="str">
        <f t="shared" si="4"/>
        <v/>
      </c>
      <c r="L43" s="362"/>
      <c r="M43" s="401" t="b">
        <v>0</v>
      </c>
      <c r="N43" s="366"/>
      <c r="O43" s="5"/>
      <c r="P43" s="363"/>
      <c r="Q43" s="5"/>
      <c r="R43" s="5"/>
      <c r="S43" s="5"/>
      <c r="T43" s="5"/>
      <c r="U43" s="5"/>
      <c r="V43" s="557">
        <f t="shared" si="5"/>
        <v>0</v>
      </c>
      <c r="W43" s="5"/>
      <c r="X43" s="362"/>
      <c r="Y43" s="557"/>
      <c r="Z43" s="557"/>
      <c r="AA43" s="557"/>
      <c r="AB43" s="355"/>
      <c r="AC43" s="557"/>
      <c r="AD43" s="557"/>
      <c r="AE43" s="358"/>
      <c r="AF43" s="557" t="str">
        <f t="shared" si="6"/>
        <v/>
      </c>
      <c r="AG43" s="557" t="str">
        <f t="shared" si="7"/>
        <v/>
      </c>
      <c r="AH43" s="355"/>
      <c r="AK43" s="107" t="s">
        <v>130</v>
      </c>
    </row>
    <row r="44" spans="1:37" s="356" customFormat="1" ht="69" hidden="1" customHeight="1" outlineLevel="2">
      <c r="A44" s="722"/>
      <c r="B44" s="733"/>
      <c r="C44" s="830"/>
      <c r="D44" s="831"/>
      <c r="E44" s="785"/>
      <c r="F44" s="545" t="s">
        <v>240</v>
      </c>
      <c r="G44" s="5"/>
      <c r="H44" s="365" t="str">
        <f t="shared" si="3"/>
        <v/>
      </c>
      <c r="I44" s="5"/>
      <c r="J44" s="5"/>
      <c r="K44" s="557" t="str">
        <f t="shared" si="4"/>
        <v/>
      </c>
      <c r="L44" s="362"/>
      <c r="M44" s="401" t="b">
        <v>0</v>
      </c>
      <c r="N44" s="366"/>
      <c r="O44" s="5"/>
      <c r="P44" s="363"/>
      <c r="Q44" s="5"/>
      <c r="R44" s="5"/>
      <c r="S44" s="5"/>
      <c r="T44" s="5"/>
      <c r="U44" s="5"/>
      <c r="V44" s="557">
        <f t="shared" si="5"/>
        <v>0</v>
      </c>
      <c r="W44" s="5"/>
      <c r="X44" s="362"/>
      <c r="Y44" s="557"/>
      <c r="Z44" s="557"/>
      <c r="AA44" s="557"/>
      <c r="AB44" s="355"/>
      <c r="AC44" s="557"/>
      <c r="AD44" s="557"/>
      <c r="AE44" s="358"/>
      <c r="AF44" s="557" t="str">
        <f t="shared" si="6"/>
        <v/>
      </c>
      <c r="AG44" s="557" t="str">
        <f t="shared" si="7"/>
        <v/>
      </c>
      <c r="AH44" s="355"/>
      <c r="AK44" s="107" t="s">
        <v>130</v>
      </c>
    </row>
    <row r="45" spans="1:37" s="356" customFormat="1" ht="115.25" hidden="1" customHeight="1" outlineLevel="2">
      <c r="A45" s="722"/>
      <c r="B45" s="733"/>
      <c r="C45" s="830"/>
      <c r="D45" s="831"/>
      <c r="E45" s="785"/>
      <c r="F45" s="545" t="s">
        <v>241</v>
      </c>
      <c r="G45" s="5"/>
      <c r="H45" s="365" t="str">
        <f t="shared" si="3"/>
        <v/>
      </c>
      <c r="I45" s="5"/>
      <c r="J45" s="5"/>
      <c r="K45" s="557" t="str">
        <f t="shared" si="4"/>
        <v/>
      </c>
      <c r="L45" s="362"/>
      <c r="M45" s="401" t="b">
        <v>0</v>
      </c>
      <c r="N45" s="366"/>
      <c r="O45" s="5"/>
      <c r="P45" s="363"/>
      <c r="Q45" s="5"/>
      <c r="R45" s="5"/>
      <c r="S45" s="5"/>
      <c r="T45" s="5"/>
      <c r="U45" s="5"/>
      <c r="V45" s="557">
        <f t="shared" si="5"/>
        <v>0</v>
      </c>
      <c r="W45" s="5"/>
      <c r="X45" s="362"/>
      <c r="Y45" s="557"/>
      <c r="Z45" s="557"/>
      <c r="AA45" s="557"/>
      <c r="AB45" s="355"/>
      <c r="AC45" s="557"/>
      <c r="AD45" s="557"/>
      <c r="AE45" s="358"/>
      <c r="AF45" s="557" t="str">
        <f t="shared" si="6"/>
        <v/>
      </c>
      <c r="AG45" s="557" t="str">
        <f t="shared" si="7"/>
        <v/>
      </c>
      <c r="AH45" s="355"/>
      <c r="AK45" s="107" t="s">
        <v>130</v>
      </c>
    </row>
    <row r="46" spans="1:37" s="356" customFormat="1" ht="69" hidden="1" customHeight="1" outlineLevel="2">
      <c r="A46" s="723"/>
      <c r="B46" s="788"/>
      <c r="C46" s="748"/>
      <c r="D46" s="749"/>
      <c r="E46" s="786"/>
      <c r="F46" s="545" t="s">
        <v>132</v>
      </c>
      <c r="G46" s="5"/>
      <c r="H46" s="365" t="str">
        <f t="shared" si="3"/>
        <v/>
      </c>
      <c r="I46" s="5"/>
      <c r="J46" s="5"/>
      <c r="K46" s="557" t="str">
        <f t="shared" si="4"/>
        <v/>
      </c>
      <c r="L46" s="362"/>
      <c r="M46" s="401" t="b">
        <v>0</v>
      </c>
      <c r="N46" s="366"/>
      <c r="O46" s="5"/>
      <c r="P46" s="363"/>
      <c r="Q46" s="5"/>
      <c r="R46" s="5"/>
      <c r="S46" s="5"/>
      <c r="T46" s="5"/>
      <c r="U46" s="5"/>
      <c r="V46" s="557">
        <f t="shared" si="5"/>
        <v>0</v>
      </c>
      <c r="W46" s="5"/>
      <c r="X46" s="362"/>
      <c r="Y46" s="557"/>
      <c r="Z46" s="557"/>
      <c r="AA46" s="557"/>
      <c r="AB46" s="355"/>
      <c r="AC46" s="557"/>
      <c r="AD46" s="557"/>
      <c r="AE46" s="358"/>
      <c r="AF46" s="557" t="str">
        <f t="shared" si="6"/>
        <v/>
      </c>
      <c r="AG46" s="557" t="str">
        <f t="shared" si="7"/>
        <v/>
      </c>
      <c r="AH46" s="355"/>
      <c r="AK46" s="107" t="s">
        <v>130</v>
      </c>
    </row>
    <row r="47" spans="1:37" s="356" customFormat="1" ht="33" hidden="1" customHeight="1" outlineLevel="2">
      <c r="A47" s="721" t="s">
        <v>133</v>
      </c>
      <c r="B47" s="732" t="s">
        <v>134</v>
      </c>
      <c r="C47" s="724" t="s">
        <v>135</v>
      </c>
      <c r="D47" s="725"/>
      <c r="E47" s="725"/>
      <c r="F47" s="726"/>
      <c r="G47" s="5"/>
      <c r="H47" s="365" t="str">
        <f t="shared" si="3"/>
        <v/>
      </c>
      <c r="I47" s="5"/>
      <c r="J47" s="5"/>
      <c r="K47" s="557" t="str">
        <f t="shared" si="4"/>
        <v/>
      </c>
      <c r="L47" s="362"/>
      <c r="M47" s="401" t="b">
        <v>0</v>
      </c>
      <c r="N47" s="366"/>
      <c r="O47" s="5"/>
      <c r="P47" s="363"/>
      <c r="Q47" s="5"/>
      <c r="R47" s="5"/>
      <c r="S47" s="5"/>
      <c r="T47" s="5"/>
      <c r="U47" s="5"/>
      <c r="V47" s="557">
        <f t="shared" si="5"/>
        <v>0</v>
      </c>
      <c r="W47" s="5"/>
      <c r="X47" s="362"/>
      <c r="Y47" s="557"/>
      <c r="Z47" s="557"/>
      <c r="AA47" s="557"/>
      <c r="AB47" s="355"/>
      <c r="AC47" s="557"/>
      <c r="AD47" s="557"/>
      <c r="AE47" s="358"/>
      <c r="AF47" s="557" t="str">
        <f t="shared" si="6"/>
        <v/>
      </c>
      <c r="AG47" s="557" t="str">
        <f t="shared" si="7"/>
        <v/>
      </c>
      <c r="AH47" s="355"/>
      <c r="AK47" s="107" t="s">
        <v>136</v>
      </c>
    </row>
    <row r="48" spans="1:37" s="356" customFormat="1" ht="141" hidden="1" customHeight="1" outlineLevel="2">
      <c r="A48" s="722"/>
      <c r="B48" s="733"/>
      <c r="C48" s="756" t="s">
        <v>122</v>
      </c>
      <c r="D48" s="757"/>
      <c r="E48" s="784" t="s">
        <v>277</v>
      </c>
      <c r="F48" s="545" t="s">
        <v>242</v>
      </c>
      <c r="G48" s="5"/>
      <c r="H48" s="365" t="str">
        <f t="shared" si="3"/>
        <v/>
      </c>
      <c r="I48" s="5"/>
      <c r="J48" s="5"/>
      <c r="K48" s="557" t="str">
        <f t="shared" si="4"/>
        <v/>
      </c>
      <c r="L48" s="362"/>
      <c r="M48" s="401" t="b">
        <v>0</v>
      </c>
      <c r="N48" s="366"/>
      <c r="O48" s="5"/>
      <c r="P48" s="363"/>
      <c r="Q48" s="5"/>
      <c r="R48" s="5"/>
      <c r="S48" s="5"/>
      <c r="T48" s="5"/>
      <c r="U48" s="5"/>
      <c r="V48" s="557">
        <f t="shared" si="5"/>
        <v>0</v>
      </c>
      <c r="W48" s="5"/>
      <c r="X48" s="362"/>
      <c r="Y48" s="557"/>
      <c r="Z48" s="557"/>
      <c r="AA48" s="557"/>
      <c r="AB48" s="355"/>
      <c r="AC48" s="557"/>
      <c r="AD48" s="557"/>
      <c r="AE48" s="358"/>
      <c r="AF48" s="557" t="str">
        <f t="shared" si="6"/>
        <v/>
      </c>
      <c r="AG48" s="557" t="str">
        <f t="shared" si="7"/>
        <v/>
      </c>
      <c r="AH48" s="355"/>
      <c r="AK48" s="107" t="s">
        <v>136</v>
      </c>
    </row>
    <row r="49" spans="1:37" s="356" customFormat="1" ht="108" hidden="1" customHeight="1" outlineLevel="2">
      <c r="A49" s="722"/>
      <c r="B49" s="733"/>
      <c r="C49" s="758"/>
      <c r="D49" s="759"/>
      <c r="E49" s="785"/>
      <c r="F49" s="545" t="s">
        <v>243</v>
      </c>
      <c r="G49" s="5"/>
      <c r="H49" s="365" t="str">
        <f t="shared" si="3"/>
        <v/>
      </c>
      <c r="I49" s="5"/>
      <c r="J49" s="5"/>
      <c r="K49" s="557" t="str">
        <f t="shared" si="4"/>
        <v/>
      </c>
      <c r="L49" s="362"/>
      <c r="M49" s="401" t="b">
        <v>0</v>
      </c>
      <c r="N49" s="366"/>
      <c r="O49" s="5"/>
      <c r="P49" s="363"/>
      <c r="Q49" s="5"/>
      <c r="R49" s="5"/>
      <c r="S49" s="5"/>
      <c r="T49" s="5"/>
      <c r="U49" s="5"/>
      <c r="V49" s="557">
        <f t="shared" si="5"/>
        <v>0</v>
      </c>
      <c r="W49" s="5"/>
      <c r="X49" s="362"/>
      <c r="Y49" s="557"/>
      <c r="Z49" s="557"/>
      <c r="AA49" s="557"/>
      <c r="AB49" s="355"/>
      <c r="AC49" s="557"/>
      <c r="AD49" s="557"/>
      <c r="AE49" s="358"/>
      <c r="AF49" s="557" t="str">
        <f t="shared" si="6"/>
        <v/>
      </c>
      <c r="AG49" s="557" t="str">
        <f t="shared" si="7"/>
        <v/>
      </c>
      <c r="AH49" s="355"/>
      <c r="AK49" s="107" t="s">
        <v>136</v>
      </c>
    </row>
    <row r="50" spans="1:37" s="356" customFormat="1" ht="108" hidden="1" customHeight="1" outlineLevel="2">
      <c r="A50" s="722"/>
      <c r="B50" s="733"/>
      <c r="C50" s="758"/>
      <c r="D50" s="759"/>
      <c r="E50" s="786"/>
      <c r="F50" s="545" t="s">
        <v>140</v>
      </c>
      <c r="G50" s="5"/>
      <c r="H50" s="365" t="str">
        <f t="shared" si="3"/>
        <v/>
      </c>
      <c r="I50" s="5"/>
      <c r="J50" s="5"/>
      <c r="K50" s="557" t="str">
        <f t="shared" si="4"/>
        <v/>
      </c>
      <c r="L50" s="362"/>
      <c r="M50" s="401" t="b">
        <v>0</v>
      </c>
      <c r="N50" s="366"/>
      <c r="O50" s="5"/>
      <c r="P50" s="363"/>
      <c r="Q50" s="5"/>
      <c r="R50" s="5"/>
      <c r="S50" s="5"/>
      <c r="T50" s="5"/>
      <c r="U50" s="5"/>
      <c r="V50" s="557">
        <f t="shared" si="5"/>
        <v>0</v>
      </c>
      <c r="W50" s="5"/>
      <c r="X50" s="362"/>
      <c r="Y50" s="557"/>
      <c r="Z50" s="557"/>
      <c r="AA50" s="557"/>
      <c r="AB50" s="355"/>
      <c r="AC50" s="557"/>
      <c r="AD50" s="557"/>
      <c r="AE50" s="358"/>
      <c r="AF50" s="557" t="str">
        <f t="shared" si="6"/>
        <v/>
      </c>
      <c r="AG50" s="557" t="str">
        <f t="shared" si="7"/>
        <v/>
      </c>
      <c r="AH50" s="355"/>
      <c r="AK50" s="107" t="s">
        <v>136</v>
      </c>
    </row>
    <row r="51" spans="1:37" s="356" customFormat="1" ht="33" hidden="1" customHeight="1" outlineLevel="2">
      <c r="A51" s="722"/>
      <c r="B51" s="733"/>
      <c r="C51" s="758"/>
      <c r="D51" s="759"/>
      <c r="E51" s="762" t="s">
        <v>278</v>
      </c>
      <c r="F51" s="763"/>
      <c r="G51" s="5"/>
      <c r="H51" s="365" t="str">
        <f t="shared" si="3"/>
        <v/>
      </c>
      <c r="I51" s="5"/>
      <c r="J51" s="5"/>
      <c r="K51" s="557" t="str">
        <f t="shared" si="4"/>
        <v/>
      </c>
      <c r="L51" s="362"/>
      <c r="M51" s="401" t="b">
        <v>0</v>
      </c>
      <c r="N51" s="366"/>
      <c r="O51" s="5"/>
      <c r="P51" s="363"/>
      <c r="Q51" s="5"/>
      <c r="R51" s="5"/>
      <c r="S51" s="5"/>
      <c r="T51" s="5"/>
      <c r="U51" s="5"/>
      <c r="V51" s="557">
        <f t="shared" si="5"/>
        <v>0</v>
      </c>
      <c r="W51" s="5"/>
      <c r="X51" s="362"/>
      <c r="Y51" s="557"/>
      <c r="Z51" s="557"/>
      <c r="AA51" s="557"/>
      <c r="AB51" s="355"/>
      <c r="AC51" s="557"/>
      <c r="AD51" s="557"/>
      <c r="AE51" s="358"/>
      <c r="AF51" s="557" t="str">
        <f t="shared" si="6"/>
        <v/>
      </c>
      <c r="AG51" s="557" t="str">
        <f t="shared" si="7"/>
        <v/>
      </c>
      <c r="AH51" s="355"/>
      <c r="AK51" s="107" t="s">
        <v>136</v>
      </c>
    </row>
    <row r="52" spans="1:37" s="356" customFormat="1" ht="76.25" hidden="1" customHeight="1" outlineLevel="2">
      <c r="A52" s="723"/>
      <c r="B52" s="788"/>
      <c r="C52" s="760"/>
      <c r="D52" s="761"/>
      <c r="E52" s="762" t="s">
        <v>279</v>
      </c>
      <c r="F52" s="763"/>
      <c r="G52" s="5"/>
      <c r="H52" s="365" t="str">
        <f t="shared" si="3"/>
        <v/>
      </c>
      <c r="I52" s="5"/>
      <c r="J52" s="5"/>
      <c r="K52" s="557" t="str">
        <f t="shared" si="4"/>
        <v/>
      </c>
      <c r="L52" s="362"/>
      <c r="M52" s="401" t="b">
        <v>0</v>
      </c>
      <c r="N52" s="366"/>
      <c r="O52" s="5"/>
      <c r="P52" s="363"/>
      <c r="Q52" s="5"/>
      <c r="R52" s="5"/>
      <c r="S52" s="5"/>
      <c r="T52" s="5"/>
      <c r="U52" s="5"/>
      <c r="V52" s="557">
        <f t="shared" si="5"/>
        <v>0</v>
      </c>
      <c r="W52" s="5"/>
      <c r="X52" s="362"/>
      <c r="Y52" s="557"/>
      <c r="Z52" s="557"/>
      <c r="AA52" s="557"/>
      <c r="AB52" s="355"/>
      <c r="AC52" s="557"/>
      <c r="AD52" s="557"/>
      <c r="AE52" s="358"/>
      <c r="AF52" s="557" t="str">
        <f t="shared" si="6"/>
        <v/>
      </c>
      <c r="AG52" s="557" t="str">
        <f t="shared" si="7"/>
        <v/>
      </c>
      <c r="AH52" s="355"/>
      <c r="AK52" s="107" t="s">
        <v>136</v>
      </c>
    </row>
    <row r="53" spans="1:37" s="356" customFormat="1" ht="33" hidden="1" customHeight="1" outlineLevel="2">
      <c r="A53" s="752"/>
      <c r="B53" s="732" t="s">
        <v>142</v>
      </c>
      <c r="C53" s="762" t="s">
        <v>245</v>
      </c>
      <c r="D53" s="832"/>
      <c r="E53" s="832"/>
      <c r="F53" s="832"/>
      <c r="G53" s="4"/>
      <c r="H53" s="365" t="str">
        <f t="shared" si="3"/>
        <v/>
      </c>
      <c r="I53" s="557"/>
      <c r="J53" s="557"/>
      <c r="K53" s="557"/>
      <c r="L53" s="367"/>
      <c r="M53" s="557"/>
      <c r="N53" s="557"/>
      <c r="O53" s="557"/>
      <c r="P53" s="355"/>
      <c r="Q53" s="557"/>
      <c r="R53" s="557"/>
      <c r="S53" s="557"/>
      <c r="T53" s="557"/>
      <c r="U53" s="557"/>
      <c r="V53" s="557"/>
      <c r="W53" s="557"/>
      <c r="X53" s="355"/>
      <c r="Y53" s="557"/>
      <c r="Z53" s="557"/>
      <c r="AA53" s="557"/>
      <c r="AB53" s="355"/>
      <c r="AC53" s="557"/>
      <c r="AD53" s="557"/>
      <c r="AE53" s="355"/>
      <c r="AF53" s="557"/>
      <c r="AG53" s="557"/>
      <c r="AH53" s="355"/>
      <c r="AK53" s="107"/>
    </row>
    <row r="54" spans="1:37" s="356" customFormat="1" ht="33" hidden="1" customHeight="1" outlineLevel="2">
      <c r="A54" s="753"/>
      <c r="B54" s="733"/>
      <c r="C54" s="762" t="s">
        <v>246</v>
      </c>
      <c r="D54" s="832"/>
      <c r="E54" s="832"/>
      <c r="F54" s="832"/>
      <c r="G54" s="4"/>
      <c r="H54" s="365" t="str">
        <f t="shared" si="3"/>
        <v/>
      </c>
      <c r="I54" s="557"/>
      <c r="J54" s="557"/>
      <c r="K54" s="557"/>
      <c r="L54" s="367"/>
      <c r="M54" s="557"/>
      <c r="N54" s="557"/>
      <c r="O54" s="557"/>
      <c r="P54" s="355"/>
      <c r="Q54" s="557"/>
      <c r="R54" s="557"/>
      <c r="S54" s="557"/>
      <c r="T54" s="557"/>
      <c r="U54" s="557"/>
      <c r="V54" s="557"/>
      <c r="W54" s="557"/>
      <c r="X54" s="355"/>
      <c r="Y54" s="557"/>
      <c r="Z54" s="557"/>
      <c r="AA54" s="557"/>
      <c r="AB54" s="355"/>
      <c r="AC54" s="557"/>
      <c r="AD54" s="557"/>
      <c r="AE54" s="355"/>
      <c r="AF54" s="557"/>
      <c r="AG54" s="557"/>
      <c r="AH54" s="355"/>
    </row>
    <row r="55" spans="1:37" s="356" customFormat="1" ht="33" hidden="1" customHeight="1" outlineLevel="2">
      <c r="A55" s="753"/>
      <c r="B55" s="733"/>
      <c r="C55" s="762" t="s">
        <v>247</v>
      </c>
      <c r="D55" s="832"/>
      <c r="E55" s="832"/>
      <c r="F55" s="832"/>
      <c r="G55" s="4"/>
      <c r="H55" s="365" t="str">
        <f t="shared" si="3"/>
        <v/>
      </c>
      <c r="I55" s="557"/>
      <c r="J55" s="557"/>
      <c r="K55" s="557"/>
      <c r="L55" s="367"/>
      <c r="M55" s="557"/>
      <c r="N55" s="557"/>
      <c r="O55" s="557"/>
      <c r="P55" s="355"/>
      <c r="Q55" s="557"/>
      <c r="R55" s="557"/>
      <c r="S55" s="557"/>
      <c r="T55" s="557"/>
      <c r="U55" s="557"/>
      <c r="V55" s="557"/>
      <c r="W55" s="557"/>
      <c r="X55" s="355"/>
      <c r="Y55" s="557"/>
      <c r="Z55" s="557"/>
      <c r="AA55" s="557"/>
      <c r="AB55" s="355"/>
      <c r="AC55" s="557"/>
      <c r="AD55" s="557"/>
      <c r="AE55" s="355"/>
      <c r="AF55" s="557"/>
      <c r="AG55" s="557"/>
      <c r="AH55" s="355"/>
    </row>
    <row r="56" spans="1:37" s="356" customFormat="1" ht="33" hidden="1" customHeight="1" outlineLevel="2">
      <c r="A56" s="753"/>
      <c r="B56" s="733"/>
      <c r="C56" s="762" t="s">
        <v>248</v>
      </c>
      <c r="D56" s="832"/>
      <c r="E56" s="832"/>
      <c r="F56" s="763"/>
      <c r="G56" s="4"/>
      <c r="H56" s="365" t="str">
        <f t="shared" si="3"/>
        <v/>
      </c>
      <c r="I56" s="557"/>
      <c r="J56" s="557"/>
      <c r="K56" s="557"/>
      <c r="L56" s="367"/>
      <c r="M56" s="557"/>
      <c r="N56" s="557"/>
      <c r="O56" s="557"/>
      <c r="P56" s="355"/>
      <c r="Q56" s="557"/>
      <c r="R56" s="557"/>
      <c r="S56" s="557"/>
      <c r="T56" s="557"/>
      <c r="U56" s="557"/>
      <c r="V56" s="557"/>
      <c r="W56" s="557"/>
      <c r="X56" s="355"/>
      <c r="Y56" s="557"/>
      <c r="Z56" s="557"/>
      <c r="AA56" s="557"/>
      <c r="AB56" s="355"/>
      <c r="AC56" s="557"/>
      <c r="AD56" s="557"/>
      <c r="AE56" s="355"/>
      <c r="AF56" s="557"/>
      <c r="AG56" s="557"/>
      <c r="AH56" s="355"/>
    </row>
    <row r="57" spans="1:37" s="356" customFormat="1" ht="33" hidden="1" customHeight="1" outlineLevel="2">
      <c r="A57" s="753"/>
      <c r="B57" s="733"/>
      <c r="C57" s="762" t="s">
        <v>249</v>
      </c>
      <c r="D57" s="832"/>
      <c r="E57" s="832"/>
      <c r="F57" s="763"/>
      <c r="G57" s="4"/>
      <c r="H57" s="365" t="str">
        <f t="shared" si="3"/>
        <v/>
      </c>
      <c r="I57" s="557"/>
      <c r="J57" s="557"/>
      <c r="K57" s="557"/>
      <c r="L57" s="367"/>
      <c r="M57" s="557"/>
      <c r="N57" s="557"/>
      <c r="O57" s="557"/>
      <c r="P57" s="355"/>
      <c r="Q57" s="557"/>
      <c r="R57" s="557"/>
      <c r="S57" s="557"/>
      <c r="T57" s="557"/>
      <c r="U57" s="557"/>
      <c r="V57" s="557"/>
      <c r="W57" s="557"/>
      <c r="X57" s="355"/>
      <c r="Y57" s="557"/>
      <c r="Z57" s="557"/>
      <c r="AA57" s="557"/>
      <c r="AB57" s="355"/>
      <c r="AC57" s="557"/>
      <c r="AD57" s="557"/>
      <c r="AE57" s="355"/>
      <c r="AF57" s="557"/>
      <c r="AG57" s="557"/>
      <c r="AH57" s="355"/>
    </row>
    <row r="58" spans="1:37" s="356" customFormat="1" ht="33" hidden="1" customHeight="1" outlineLevel="2">
      <c r="A58" s="753"/>
      <c r="B58" s="733"/>
      <c r="C58" s="762" t="s">
        <v>250</v>
      </c>
      <c r="D58" s="832"/>
      <c r="E58" s="832"/>
      <c r="F58" s="763"/>
      <c r="G58" s="4"/>
      <c r="H58" s="365" t="str">
        <f t="shared" si="3"/>
        <v/>
      </c>
      <c r="I58" s="557"/>
      <c r="J58" s="557"/>
      <c r="K58" s="557"/>
      <c r="L58" s="367"/>
      <c r="M58" s="557"/>
      <c r="N58" s="557"/>
      <c r="O58" s="557"/>
      <c r="P58" s="355"/>
      <c r="Q58" s="557"/>
      <c r="R58" s="557"/>
      <c r="S58" s="557"/>
      <c r="T58" s="557"/>
      <c r="U58" s="557"/>
      <c r="V58" s="557"/>
      <c r="W58" s="557"/>
      <c r="X58" s="355"/>
      <c r="Y58" s="557"/>
      <c r="Z58" s="557"/>
      <c r="AA58" s="557"/>
      <c r="AB58" s="355"/>
      <c r="AC58" s="557"/>
      <c r="AD58" s="557"/>
      <c r="AE58" s="355"/>
      <c r="AF58" s="557"/>
      <c r="AG58" s="557"/>
      <c r="AH58" s="355"/>
    </row>
    <row r="59" spans="1:37" s="356" customFormat="1" ht="33" hidden="1" customHeight="1" outlineLevel="2">
      <c r="A59" s="753"/>
      <c r="B59" s="733"/>
      <c r="C59" s="762" t="s">
        <v>251</v>
      </c>
      <c r="D59" s="832"/>
      <c r="E59" s="832"/>
      <c r="F59" s="763"/>
      <c r="G59" s="4"/>
      <c r="H59" s="365" t="str">
        <f t="shared" si="3"/>
        <v/>
      </c>
      <c r="I59" s="557"/>
      <c r="J59" s="557"/>
      <c r="K59" s="557"/>
      <c r="L59" s="367"/>
      <c r="M59" s="557"/>
      <c r="N59" s="557"/>
      <c r="O59" s="557"/>
      <c r="P59" s="355"/>
      <c r="Q59" s="557"/>
      <c r="R59" s="557"/>
      <c r="S59" s="557"/>
      <c r="T59" s="557"/>
      <c r="U59" s="557"/>
      <c r="V59" s="557"/>
      <c r="W59" s="557"/>
      <c r="X59" s="355"/>
      <c r="Y59" s="557"/>
      <c r="Z59" s="557"/>
      <c r="AA59" s="557"/>
      <c r="AB59" s="355"/>
      <c r="AC59" s="557"/>
      <c r="AD59" s="557"/>
      <c r="AE59" s="355"/>
      <c r="AF59" s="557"/>
      <c r="AG59" s="557"/>
      <c r="AH59" s="355"/>
    </row>
    <row r="60" spans="1:37" s="356" customFormat="1" ht="33" hidden="1" customHeight="1" outlineLevel="2">
      <c r="A60" s="753"/>
      <c r="B60" s="733"/>
      <c r="C60" s="762" t="s">
        <v>252</v>
      </c>
      <c r="D60" s="832"/>
      <c r="E60" s="832"/>
      <c r="F60" s="763"/>
      <c r="G60" s="4"/>
      <c r="H60" s="365" t="str">
        <f t="shared" si="3"/>
        <v/>
      </c>
      <c r="I60" s="557"/>
      <c r="J60" s="557"/>
      <c r="K60" s="557"/>
      <c r="L60" s="367"/>
      <c r="M60" s="557"/>
      <c r="N60" s="557"/>
      <c r="O60" s="557"/>
      <c r="P60" s="355"/>
      <c r="Q60" s="557"/>
      <c r="R60" s="557"/>
      <c r="S60" s="557"/>
      <c r="T60" s="557"/>
      <c r="U60" s="557"/>
      <c r="V60" s="557"/>
      <c r="W60" s="557"/>
      <c r="X60" s="355"/>
      <c r="Y60" s="557"/>
      <c r="Z60" s="557"/>
      <c r="AA60" s="557"/>
      <c r="AB60" s="355"/>
      <c r="AC60" s="557"/>
      <c r="AD60" s="557"/>
      <c r="AE60" s="355"/>
      <c r="AF60" s="557"/>
      <c r="AG60" s="557"/>
      <c r="AH60" s="355"/>
    </row>
    <row r="61" spans="1:37" s="356" customFormat="1" ht="33" hidden="1" customHeight="1" outlineLevel="2">
      <c r="A61" s="753"/>
      <c r="B61" s="733"/>
      <c r="C61" s="762" t="s">
        <v>253</v>
      </c>
      <c r="D61" s="832"/>
      <c r="E61" s="832"/>
      <c r="F61" s="832"/>
      <c r="G61" s="4"/>
      <c r="H61" s="365"/>
      <c r="I61" s="557"/>
      <c r="J61" s="557"/>
      <c r="K61" s="557"/>
      <c r="L61" s="367"/>
      <c r="M61" s="557"/>
      <c r="N61" s="557"/>
      <c r="O61" s="557"/>
      <c r="P61" s="355"/>
      <c r="Q61" s="557"/>
      <c r="R61" s="557"/>
      <c r="S61" s="557"/>
      <c r="T61" s="557"/>
      <c r="U61" s="557"/>
      <c r="V61" s="557"/>
      <c r="W61" s="557"/>
      <c r="X61" s="355"/>
      <c r="Y61" s="557"/>
      <c r="Z61" s="557"/>
      <c r="AA61" s="557"/>
      <c r="AB61" s="355"/>
      <c r="AC61" s="557"/>
      <c r="AD61" s="557"/>
      <c r="AE61" s="355"/>
      <c r="AF61" s="557"/>
      <c r="AG61" s="557"/>
      <c r="AH61" s="355"/>
    </row>
    <row r="62" spans="1:37" s="356" customFormat="1" ht="33" hidden="1" customHeight="1" outlineLevel="2">
      <c r="A62" s="753"/>
      <c r="B62" s="788"/>
      <c r="C62" s="818"/>
      <c r="D62" s="819"/>
      <c r="E62" s="819"/>
      <c r="F62" s="819"/>
      <c r="G62" s="4"/>
      <c r="H62" s="365" t="str">
        <f>IF(G62="","",G62/$G$67)</f>
        <v/>
      </c>
      <c r="I62" s="557"/>
      <c r="J62" s="557"/>
      <c r="K62" s="557"/>
      <c r="L62" s="367"/>
      <c r="M62" s="557"/>
      <c r="N62" s="557"/>
      <c r="O62" s="557"/>
      <c r="P62" s="355"/>
      <c r="Q62" s="557"/>
      <c r="R62" s="557"/>
      <c r="S62" s="557"/>
      <c r="T62" s="557"/>
      <c r="U62" s="557"/>
      <c r="V62" s="557"/>
      <c r="W62" s="557"/>
      <c r="X62" s="355"/>
      <c r="Y62" s="557"/>
      <c r="Z62" s="557"/>
      <c r="AA62" s="557"/>
      <c r="AB62" s="355"/>
      <c r="AC62" s="557"/>
      <c r="AD62" s="557"/>
      <c r="AE62" s="355"/>
      <c r="AF62" s="557"/>
      <c r="AG62" s="557"/>
      <c r="AH62" s="355"/>
    </row>
    <row r="63" spans="1:37" s="356" customFormat="1" ht="16" hidden="1" outlineLevel="1">
      <c r="A63" s="575"/>
      <c r="B63" s="579"/>
      <c r="C63" s="579"/>
      <c r="D63" s="579"/>
      <c r="E63" s="579"/>
      <c r="F63" s="579"/>
      <c r="G63" s="579"/>
      <c r="H63" s="591"/>
      <c r="I63" s="591"/>
      <c r="J63" s="591"/>
      <c r="K63" s="591"/>
      <c r="L63" s="578"/>
      <c r="M63" s="579"/>
      <c r="N63" s="355"/>
      <c r="O63" s="355"/>
      <c r="P63" s="355"/>
      <c r="Q63" s="355"/>
      <c r="R63" s="355"/>
      <c r="S63" s="355"/>
      <c r="T63" s="355"/>
      <c r="U63" s="355"/>
      <c r="V63" s="355"/>
      <c r="W63" s="355"/>
      <c r="X63" s="355"/>
      <c r="Y63" s="355"/>
      <c r="Z63" s="355"/>
      <c r="AA63" s="355"/>
      <c r="AB63" s="355"/>
      <c r="AC63" s="355"/>
      <c r="AD63" s="355"/>
      <c r="AE63" s="355"/>
      <c r="AF63" s="355"/>
      <c r="AG63" s="355"/>
      <c r="AH63" s="355"/>
    </row>
    <row r="64" spans="1:37" s="356" customFormat="1" ht="34" hidden="1" outlineLevel="1">
      <c r="A64" s="575"/>
      <c r="B64" s="370" t="s">
        <v>148</v>
      </c>
      <c r="C64" s="370"/>
      <c r="D64" s="370"/>
      <c r="E64" s="370"/>
      <c r="F64" s="370"/>
      <c r="G64" s="370" t="s">
        <v>149</v>
      </c>
      <c r="H64" s="370" t="s">
        <v>150</v>
      </c>
      <c r="I64" s="371"/>
      <c r="J64" s="371"/>
      <c r="K64" s="371"/>
      <c r="L64" s="583"/>
      <c r="M64" s="14"/>
      <c r="N64" s="355"/>
      <c r="O64" s="355"/>
      <c r="P64" s="355"/>
      <c r="Q64" s="355"/>
      <c r="R64" s="355"/>
      <c r="S64" s="355"/>
      <c r="T64" s="355"/>
      <c r="U64" s="355"/>
      <c r="V64" s="355"/>
      <c r="W64" s="355"/>
      <c r="X64" s="355"/>
      <c r="Y64" s="355"/>
      <c r="Z64" s="355"/>
      <c r="AA64" s="355"/>
      <c r="AB64" s="355"/>
      <c r="AC64" s="355"/>
      <c r="AD64" s="355"/>
      <c r="AE64" s="355"/>
      <c r="AF64" s="355"/>
      <c r="AG64" s="355"/>
      <c r="AH64" s="355"/>
    </row>
    <row r="65" spans="1:37" s="356" customFormat="1" ht="34.25" hidden="1" customHeight="1" outlineLevel="1">
      <c r="A65" s="575"/>
      <c r="B65" s="812" t="s">
        <v>280</v>
      </c>
      <c r="C65" s="813"/>
      <c r="D65" s="813"/>
      <c r="E65" s="813"/>
      <c r="F65" s="813"/>
      <c r="G65" s="557">
        <f>IF(SUM(G20:G52)="","",SUM(G20:G52))</f>
        <v>0</v>
      </c>
      <c r="H65" s="365" t="str">
        <f>IF(G67=0,"",G65/$G$67)</f>
        <v/>
      </c>
      <c r="I65" s="374"/>
      <c r="J65" s="374"/>
      <c r="K65" s="374"/>
      <c r="L65" s="374"/>
      <c r="M65" s="14"/>
      <c r="N65" s="355"/>
      <c r="O65" s="355"/>
      <c r="P65" s="355"/>
      <c r="Q65" s="355"/>
      <c r="R65" s="355"/>
      <c r="S65" s="355"/>
      <c r="T65" s="355"/>
      <c r="U65" s="355"/>
      <c r="V65" s="355"/>
      <c r="W65" s="355"/>
      <c r="X65" s="355"/>
      <c r="Y65" s="355"/>
      <c r="Z65" s="355"/>
      <c r="AA65" s="355"/>
      <c r="AB65" s="355"/>
      <c r="AC65" s="355"/>
      <c r="AD65" s="355"/>
      <c r="AE65" s="355"/>
      <c r="AF65" s="355"/>
      <c r="AG65" s="355"/>
      <c r="AH65" s="355"/>
    </row>
    <row r="66" spans="1:37" s="356" customFormat="1" ht="34.25" hidden="1" customHeight="1" outlineLevel="1">
      <c r="A66" s="575"/>
      <c r="B66" s="812" t="s">
        <v>281</v>
      </c>
      <c r="C66" s="813"/>
      <c r="D66" s="813"/>
      <c r="E66" s="813"/>
      <c r="F66" s="813"/>
      <c r="G66" s="557">
        <f>+SUM(G53:G62)</f>
        <v>0</v>
      </c>
      <c r="H66" s="365" t="str">
        <f>IF(G67=0,"",G66/$G$67)</f>
        <v/>
      </c>
      <c r="I66" s="374"/>
      <c r="J66" s="374"/>
      <c r="K66" s="374"/>
      <c r="L66" s="374"/>
      <c r="M66" s="14"/>
      <c r="N66" s="355"/>
      <c r="O66" s="355"/>
      <c r="P66" s="355"/>
      <c r="Q66" s="355"/>
      <c r="R66" s="355"/>
      <c r="S66" s="355"/>
      <c r="T66" s="355"/>
      <c r="U66" s="355"/>
      <c r="V66" s="355"/>
      <c r="W66" s="355"/>
      <c r="X66" s="355"/>
      <c r="Y66" s="355"/>
      <c r="Z66" s="355"/>
      <c r="AA66" s="355"/>
      <c r="AB66" s="355"/>
      <c r="AC66" s="355"/>
      <c r="AD66" s="355"/>
      <c r="AE66" s="355"/>
      <c r="AF66" s="355"/>
      <c r="AG66" s="355"/>
      <c r="AH66" s="355"/>
    </row>
    <row r="67" spans="1:37" s="356" customFormat="1" ht="34.25" hidden="1" customHeight="1" outlineLevel="1">
      <c r="A67" s="575"/>
      <c r="B67" s="789" t="s">
        <v>282</v>
      </c>
      <c r="C67" s="790"/>
      <c r="D67" s="790"/>
      <c r="E67" s="790"/>
      <c r="F67" s="790"/>
      <c r="G67" s="376">
        <f>+G65+G66</f>
        <v>0</v>
      </c>
      <c r="H67" s="377"/>
      <c r="I67" s="827" t="str">
        <f>IF(G67="","",IF(G67&lt;&gt;'Financial activity types '!E12,"Error: The total must match the total in the Financial activity types tab","Exposure OK"))</f>
        <v>Exposure OK</v>
      </c>
      <c r="J67" s="827"/>
      <c r="K67" s="827"/>
      <c r="L67" s="374"/>
      <c r="M67" s="706" t="s">
        <v>154</v>
      </c>
      <c r="N67" s="706"/>
      <c r="O67" s="706"/>
      <c r="P67" s="355"/>
      <c r="Q67" s="355"/>
      <c r="R67" s="355"/>
      <c r="S67" s="355"/>
      <c r="T67" s="355"/>
      <c r="U67" s="355"/>
      <c r="V67" s="355"/>
      <c r="W67" s="355"/>
      <c r="X67" s="355"/>
      <c r="Y67" s="355"/>
      <c r="Z67" s="355"/>
      <c r="AA67" s="355"/>
      <c r="AB67" s="355"/>
      <c r="AC67" s="355"/>
      <c r="AD67" s="355"/>
      <c r="AE67" s="355"/>
      <c r="AF67" s="355"/>
      <c r="AG67" s="355"/>
      <c r="AH67" s="355"/>
    </row>
    <row r="68" spans="1:37" s="356" customFormat="1" ht="34.25" hidden="1" customHeight="1" outlineLevel="1">
      <c r="A68" s="575"/>
      <c r="B68" s="789" t="s">
        <v>283</v>
      </c>
      <c r="C68" s="790"/>
      <c r="D68" s="790"/>
      <c r="E68" s="790"/>
      <c r="F68" s="790"/>
      <c r="G68" s="376">
        <f>(SUMIF(M20:M46,TRUE,V20:V46)+SUMIF(N20:N46,TRUE,Z20:Z46)-SUMIFS(AC20:AC46,M20:M46,TRUE,N20:N46,TRUE))</f>
        <v>0</v>
      </c>
      <c r="H68" s="377" t="e">
        <f>G68/SUM(G20:G46)</f>
        <v>#DIV/0!</v>
      </c>
      <c r="I68" s="828" t="e">
        <f>IF(G67="","",IF(H68&lt;&gt;100%,"Error: The FI must cover 100% of segments A, B, and C","Coverage OK"))</f>
        <v>#DIV/0!</v>
      </c>
      <c r="J68" s="828"/>
      <c r="K68" s="828"/>
      <c r="L68" s="355"/>
      <c r="M68" s="706"/>
      <c r="N68" s="706"/>
      <c r="O68" s="706"/>
      <c r="P68" s="355"/>
      <c r="Q68" s="355"/>
      <c r="R68" s="355"/>
      <c r="S68" s="355"/>
      <c r="T68" s="355"/>
      <c r="U68" s="355"/>
      <c r="V68" s="355"/>
      <c r="W68" s="355"/>
      <c r="X68" s="355"/>
      <c r="Y68" s="355"/>
      <c r="Z68" s="355"/>
      <c r="AA68" s="355"/>
      <c r="AB68" s="355"/>
      <c r="AC68" s="355"/>
      <c r="AD68" s="355"/>
      <c r="AE68" s="355"/>
      <c r="AF68" s="355"/>
      <c r="AG68" s="355"/>
      <c r="AH68" s="355"/>
    </row>
    <row r="69" spans="1:37" s="356" customFormat="1" ht="48.75" hidden="1" customHeight="1" outlineLevel="1">
      <c r="A69" s="575"/>
      <c r="B69" s="789" t="s">
        <v>284</v>
      </c>
      <c r="C69" s="790"/>
      <c r="D69" s="790"/>
      <c r="E69" s="790"/>
      <c r="F69" s="790"/>
      <c r="G69" s="376">
        <f>(SUMIF(M20:M52,TRUE,V20:V52)+SUMIF(N20:N52,TRUE,Z20:Z52)-SUMIFS(AC20:AC52,M20:M52,TRUE,N20:N52,TRUE))</f>
        <v>0</v>
      </c>
      <c r="H69" s="377" t="e">
        <f>G69/SUM(G20:G52)</f>
        <v>#DIV/0!</v>
      </c>
      <c r="I69" s="828" t="e">
        <f>IF(G67="","",IF(H69&lt;67%,"Error: The FI must cover 67% or more of segments A, B, C, and D","Coverage OK"))</f>
        <v>#DIV/0!</v>
      </c>
      <c r="J69" s="828"/>
      <c r="K69" s="828"/>
      <c r="L69" s="355"/>
      <c r="M69" s="706"/>
      <c r="N69" s="706"/>
      <c r="O69" s="706"/>
      <c r="P69" s="355"/>
      <c r="Q69" s="355"/>
      <c r="R69" s="355"/>
      <c r="S69" s="355"/>
      <c r="T69" s="355"/>
      <c r="U69" s="355"/>
      <c r="V69" s="355"/>
      <c r="W69" s="355"/>
      <c r="X69" s="355"/>
      <c r="Y69" s="355"/>
      <c r="Z69" s="355"/>
      <c r="AA69" s="355"/>
      <c r="AB69" s="355"/>
      <c r="AC69" s="355"/>
      <c r="AD69" s="355"/>
      <c r="AE69" s="355"/>
      <c r="AF69" s="355"/>
      <c r="AG69" s="355"/>
      <c r="AH69" s="355"/>
    </row>
    <row r="70" spans="1:37" s="356" customFormat="1" ht="34.25" hidden="1" customHeight="1" outlineLevel="1">
      <c r="A70" s="575"/>
      <c r="B70" s="812" t="s">
        <v>157</v>
      </c>
      <c r="C70" s="813"/>
      <c r="D70" s="813"/>
      <c r="E70" s="813"/>
      <c r="F70" s="813"/>
      <c r="G70" s="557">
        <f>SUMIF(M20:M52,TRUE,V20:V52)</f>
        <v>0</v>
      </c>
      <c r="H70" s="365" t="e">
        <f>G70/SUM(G20:G52)</f>
        <v>#DIV/0!</v>
      </c>
      <c r="I70" s="368"/>
      <c r="J70" s="368"/>
      <c r="K70" s="368"/>
      <c r="L70" s="355"/>
      <c r="M70" s="706"/>
      <c r="N70" s="706"/>
      <c r="O70" s="706"/>
      <c r="P70" s="14"/>
      <c r="Q70" s="383"/>
      <c r="R70" s="383"/>
      <c r="S70" s="378"/>
      <c r="T70" s="378"/>
      <c r="U70" s="378"/>
      <c r="V70" s="383"/>
      <c r="W70" s="383"/>
      <c r="X70" s="384"/>
      <c r="Y70" s="585"/>
      <c r="Z70" s="12"/>
      <c r="AA70" s="12"/>
      <c r="AB70" s="358"/>
      <c r="AC70" s="12"/>
      <c r="AD70" s="12"/>
      <c r="AE70" s="358"/>
      <c r="AF70" s="353"/>
      <c r="AG70" s="353"/>
      <c r="AH70" s="355"/>
      <c r="AK70" s="405"/>
    </row>
    <row r="71" spans="1:37" s="356" customFormat="1" ht="34.25" hidden="1" customHeight="1" outlineLevel="1">
      <c r="A71" s="575"/>
      <c r="B71" s="812" t="s">
        <v>158</v>
      </c>
      <c r="C71" s="813"/>
      <c r="D71" s="813"/>
      <c r="E71" s="813"/>
      <c r="F71" s="813"/>
      <c r="G71" s="557">
        <f>SUMIF(N20:N52,TRUE,Z20:Z52)</f>
        <v>0</v>
      </c>
      <c r="H71" s="365" t="e">
        <f>G71/SUM(G20:G52)</f>
        <v>#DIV/0!</v>
      </c>
      <c r="I71" s="385"/>
      <c r="J71" s="385"/>
      <c r="K71" s="385"/>
      <c r="L71" s="355"/>
      <c r="M71" s="706"/>
      <c r="N71" s="706"/>
      <c r="O71" s="706"/>
      <c r="P71" s="14"/>
      <c r="Q71" s="383"/>
      <c r="R71" s="383"/>
      <c r="S71" s="378"/>
      <c r="T71" s="378"/>
      <c r="U71" s="378"/>
      <c r="V71" s="383"/>
      <c r="W71" s="383"/>
      <c r="X71" s="384"/>
      <c r="Y71" s="585"/>
      <c r="Z71" s="12"/>
      <c r="AA71" s="12"/>
      <c r="AB71" s="358"/>
      <c r="AC71" s="12"/>
      <c r="AD71" s="12"/>
      <c r="AE71" s="358"/>
      <c r="AF71" s="353"/>
      <c r="AG71" s="353"/>
      <c r="AH71" s="355"/>
      <c r="AK71" s="405"/>
    </row>
    <row r="72" spans="1:37" s="356" customFormat="1" ht="34.25" hidden="1" customHeight="1" outlineLevel="1">
      <c r="A72" s="575"/>
      <c r="B72" s="812" t="s">
        <v>159</v>
      </c>
      <c r="C72" s="813"/>
      <c r="D72" s="813"/>
      <c r="E72" s="813"/>
      <c r="F72" s="813"/>
      <c r="G72" s="557">
        <f>SUMIFS(AC20:AC52,M20:M52,TRUE,N20:N52,TRUE)</f>
        <v>0</v>
      </c>
      <c r="H72" s="365" t="e">
        <f>G72/SUM(G20:G52)</f>
        <v>#DIV/0!</v>
      </c>
      <c r="I72" s="374"/>
      <c r="J72" s="374"/>
      <c r="K72" s="374"/>
      <c r="L72" s="374"/>
      <c r="M72" s="706"/>
      <c r="N72" s="706"/>
      <c r="O72" s="706"/>
      <c r="P72" s="14"/>
      <c r="Q72" s="383"/>
      <c r="R72" s="383"/>
      <c r="S72" s="378"/>
      <c r="T72" s="378"/>
      <c r="U72" s="378"/>
      <c r="V72" s="383"/>
      <c r="W72" s="383"/>
      <c r="X72" s="384"/>
      <c r="Y72" s="585"/>
      <c r="Z72" s="12"/>
      <c r="AA72" s="12"/>
      <c r="AB72" s="358"/>
      <c r="AC72" s="12"/>
      <c r="AD72" s="12"/>
      <c r="AE72" s="358"/>
      <c r="AF72" s="353"/>
      <c r="AG72" s="353"/>
      <c r="AH72" s="355"/>
      <c r="AK72" s="408"/>
    </row>
    <row r="73" spans="1:37" s="356" customFormat="1" ht="45.75" hidden="1" customHeight="1" outlineLevel="1">
      <c r="A73" s="12"/>
      <c r="B73" s="791" t="s">
        <v>285</v>
      </c>
      <c r="C73" s="792"/>
      <c r="D73" s="792"/>
      <c r="E73" s="792"/>
      <c r="F73" s="792"/>
      <c r="G73" s="376">
        <f>(SUMIF(M20:M52,TRUE,W20:W52)+SUMIF(N20:N52,TRUE,AA20:AA52)-SUMIFS(AD20:AD52,M20:M52,TRUE,N20:N52,TRUE))</f>
        <v>0</v>
      </c>
      <c r="H73" s="377" t="e">
        <f>G73/SUM(K20:K52)</f>
        <v>#DIV/0!</v>
      </c>
      <c r="I73" s="828" t="e">
        <f>IF(G67="","",IF(H73&lt;67%,"Error: The FI must cover 67% or more of segments A, B, C, and D","Coverage OK"))</f>
        <v>#DIV/0!</v>
      </c>
      <c r="J73" s="828"/>
      <c r="K73" s="828"/>
      <c r="L73" s="358"/>
      <c r="M73" s="706"/>
      <c r="N73" s="706"/>
      <c r="O73" s="706"/>
      <c r="P73" s="353"/>
      <c r="Q73" s="354"/>
      <c r="R73" s="354"/>
      <c r="S73" s="12"/>
      <c r="T73" s="354"/>
      <c r="U73" s="354"/>
      <c r="V73" s="354"/>
      <c r="W73" s="354"/>
      <c r="X73" s="358"/>
      <c r="Y73" s="353"/>
      <c r="Z73" s="12"/>
      <c r="AA73" s="12"/>
      <c r="AB73" s="358"/>
      <c r="AC73" s="12"/>
      <c r="AD73" s="12"/>
      <c r="AE73" s="358"/>
      <c r="AF73" s="353"/>
      <c r="AG73" s="353"/>
      <c r="AH73" s="355"/>
      <c r="AK73" s="409"/>
    </row>
    <row r="74" spans="1:37" s="356" customFormat="1" ht="16">
      <c r="A74" s="12"/>
      <c r="B74" s="12"/>
      <c r="C74" s="12"/>
      <c r="D74" s="12"/>
      <c r="E74" s="12"/>
      <c r="F74" s="12"/>
      <c r="G74" s="12"/>
      <c r="H74" s="12"/>
      <c r="I74" s="12"/>
      <c r="J74" s="12"/>
      <c r="K74" s="12"/>
      <c r="L74" s="358"/>
      <c r="M74" s="12"/>
      <c r="N74" s="12"/>
      <c r="O74" s="12"/>
      <c r="P74" s="353"/>
      <c r="Q74" s="354"/>
      <c r="R74" s="354"/>
      <c r="S74" s="12"/>
      <c r="T74" s="354"/>
      <c r="U74" s="354"/>
      <c r="V74" s="354"/>
      <c r="W74" s="354"/>
      <c r="X74" s="358"/>
      <c r="Y74" s="353"/>
      <c r="Z74" s="12"/>
      <c r="AA74" s="12"/>
      <c r="AB74" s="358"/>
      <c r="AC74" s="12"/>
      <c r="AD74" s="12"/>
      <c r="AE74" s="358"/>
      <c r="AF74" s="353"/>
      <c r="AG74" s="353"/>
      <c r="AH74" s="355"/>
      <c r="AK74" s="107"/>
    </row>
    <row r="75" spans="1:37" s="356" customFormat="1" ht="22.25" customHeight="1" collapsed="1">
      <c r="A75" s="793" t="s">
        <v>161</v>
      </c>
      <c r="B75" s="793"/>
      <c r="C75" s="793"/>
      <c r="D75" s="793"/>
      <c r="E75" s="793"/>
      <c r="F75" s="793"/>
      <c r="G75" s="793"/>
      <c r="H75" s="793"/>
      <c r="I75" s="793"/>
      <c r="J75" s="793"/>
      <c r="K75" s="793"/>
      <c r="L75" s="793"/>
      <c r="M75" s="793"/>
      <c r="N75" s="793"/>
      <c r="O75" s="793"/>
      <c r="P75" s="793"/>
      <c r="Q75" s="793"/>
      <c r="R75" s="793"/>
      <c r="S75" s="793"/>
      <c r="T75" s="793"/>
      <c r="U75" s="793"/>
      <c r="V75" s="793"/>
      <c r="W75" s="793"/>
      <c r="X75" s="793"/>
      <c r="Y75" s="793"/>
      <c r="Z75" s="793"/>
      <c r="AA75" s="793"/>
      <c r="AB75" s="793"/>
      <c r="AC75" s="793"/>
      <c r="AD75" s="793"/>
      <c r="AE75" s="793"/>
      <c r="AF75" s="793"/>
      <c r="AG75" s="552"/>
      <c r="AH75" s="355"/>
      <c r="AK75" s="107"/>
    </row>
    <row r="76" spans="1:37" s="356" customFormat="1" ht="47" hidden="1" customHeight="1" outlineLevel="1" collapsed="1">
      <c r="A76" s="833" t="s">
        <v>260</v>
      </c>
      <c r="B76" s="833"/>
      <c r="C76" s="833"/>
      <c r="D76" s="833"/>
      <c r="E76" s="833"/>
      <c r="F76" s="833"/>
      <c r="G76" s="833"/>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547"/>
      <c r="AH76" s="355"/>
      <c r="AK76" s="107"/>
    </row>
    <row r="77" spans="1:37" s="356" customFormat="1" ht="16" hidden="1" outlineLevel="2">
      <c r="A77" s="12"/>
      <c r="B77" s="12"/>
      <c r="C77" s="12"/>
      <c r="D77" s="12"/>
      <c r="E77" s="12"/>
      <c r="F77" s="12"/>
      <c r="G77" s="12"/>
      <c r="H77" s="12"/>
      <c r="I77" s="12"/>
      <c r="J77" s="12"/>
      <c r="K77" s="12"/>
      <c r="L77" s="358"/>
      <c r="M77" s="12"/>
      <c r="N77" s="12"/>
      <c r="O77" s="12"/>
      <c r="P77" s="353"/>
      <c r="Q77" s="354"/>
      <c r="R77" s="354"/>
      <c r="S77" s="12"/>
      <c r="T77" s="354"/>
      <c r="U77" s="354"/>
      <c r="V77" s="354"/>
      <c r="W77" s="354"/>
      <c r="X77" s="358"/>
      <c r="Y77" s="353"/>
      <c r="Z77" s="12"/>
      <c r="AA77" s="12"/>
      <c r="AB77" s="358"/>
      <c r="AC77" s="12"/>
      <c r="AD77" s="12"/>
      <c r="AE77" s="358"/>
      <c r="AF77" s="353"/>
      <c r="AG77" s="353"/>
      <c r="AH77" s="355"/>
      <c r="AK77" s="107"/>
    </row>
    <row r="78" spans="1:37" s="356" customFormat="1" ht="44" hidden="1" customHeight="1" outlineLevel="2">
      <c r="A78" s="12"/>
      <c r="B78" s="714" t="s">
        <v>163</v>
      </c>
      <c r="C78" s="715"/>
      <c r="D78" s="719"/>
      <c r="E78" s="720"/>
      <c r="F78" s="12"/>
      <c r="G78" s="824" t="s">
        <v>276</v>
      </c>
      <c r="H78" s="825"/>
      <c r="I78" s="825"/>
      <c r="J78" s="825"/>
      <c r="K78" s="825"/>
      <c r="L78" s="825"/>
      <c r="M78" s="825"/>
      <c r="N78" s="12"/>
      <c r="O78" s="12"/>
      <c r="P78" s="353"/>
      <c r="Q78" s="354"/>
      <c r="R78" s="354"/>
      <c r="S78" s="12"/>
      <c r="T78" s="354"/>
      <c r="U78" s="354"/>
      <c r="V78" s="354"/>
      <c r="W78" s="354"/>
      <c r="X78" s="358"/>
      <c r="Y78" s="353"/>
      <c r="Z78" s="12"/>
      <c r="AA78" s="12"/>
      <c r="AB78" s="358"/>
      <c r="AC78" s="12"/>
      <c r="AD78" s="12"/>
      <c r="AE78" s="358"/>
      <c r="AF78" s="353"/>
      <c r="AG78" s="353"/>
      <c r="AH78" s="355"/>
      <c r="AK78" s="107"/>
    </row>
    <row r="79" spans="1:37" s="356" customFormat="1" ht="44" hidden="1" customHeight="1" outlineLevel="2">
      <c r="A79" s="12"/>
      <c r="B79" s="714" t="s">
        <v>164</v>
      </c>
      <c r="C79" s="715"/>
      <c r="D79" s="719"/>
      <c r="E79" s="720"/>
      <c r="F79" s="12"/>
      <c r="G79" s="825"/>
      <c r="H79" s="825"/>
      <c r="I79" s="825"/>
      <c r="J79" s="825"/>
      <c r="K79" s="825"/>
      <c r="L79" s="825"/>
      <c r="M79" s="825"/>
      <c r="N79" s="12"/>
      <c r="O79" s="12"/>
      <c r="P79" s="353"/>
      <c r="Q79" s="354"/>
      <c r="R79" s="354"/>
      <c r="S79" s="12"/>
      <c r="T79" s="354"/>
      <c r="U79" s="354"/>
      <c r="V79" s="354"/>
      <c r="W79" s="354"/>
      <c r="X79" s="358"/>
      <c r="Y79" s="353"/>
      <c r="Z79" s="12"/>
      <c r="AA79" s="12"/>
      <c r="AB79" s="358"/>
      <c r="AC79" s="12"/>
      <c r="AD79" s="12"/>
      <c r="AE79" s="358"/>
      <c r="AF79" s="353"/>
      <c r="AG79" s="353"/>
      <c r="AH79" s="355"/>
      <c r="AK79" s="107"/>
    </row>
    <row r="80" spans="1:37" s="356" customFormat="1" ht="44" hidden="1" customHeight="1" outlineLevel="2">
      <c r="A80" s="12"/>
      <c r="B80" s="714" t="s">
        <v>165</v>
      </c>
      <c r="C80" s="715"/>
      <c r="D80" s="719"/>
      <c r="E80" s="720"/>
      <c r="F80" s="12"/>
      <c r="G80" s="825"/>
      <c r="H80" s="825"/>
      <c r="I80" s="825"/>
      <c r="J80" s="825"/>
      <c r="K80" s="825"/>
      <c r="L80" s="825"/>
      <c r="M80" s="825"/>
      <c r="N80" s="12"/>
      <c r="O80" s="12"/>
      <c r="P80" s="353"/>
      <c r="Q80" s="354"/>
      <c r="R80" s="354"/>
      <c r="S80" s="12"/>
      <c r="T80" s="354"/>
      <c r="U80" s="354"/>
      <c r="V80" s="354"/>
      <c r="W80" s="354"/>
      <c r="X80" s="358"/>
      <c r="Y80" s="353"/>
      <c r="Z80" s="12"/>
      <c r="AA80" s="12"/>
      <c r="AB80" s="358"/>
      <c r="AC80" s="12"/>
      <c r="AD80" s="12"/>
      <c r="AE80" s="358"/>
      <c r="AF80" s="353"/>
      <c r="AG80" s="353"/>
      <c r="AH80" s="355"/>
      <c r="AK80" s="107"/>
    </row>
    <row r="81" spans="1:39" s="356" customFormat="1" ht="44" hidden="1" customHeight="1" outlineLevel="2">
      <c r="A81" s="12"/>
      <c r="B81" s="714" t="s">
        <v>166</v>
      </c>
      <c r="C81" s="715"/>
      <c r="D81" s="719"/>
      <c r="E81" s="720"/>
      <c r="F81" s="12"/>
      <c r="G81" s="825"/>
      <c r="H81" s="825"/>
      <c r="I81" s="825"/>
      <c r="J81" s="825"/>
      <c r="K81" s="825"/>
      <c r="L81" s="825"/>
      <c r="M81" s="825"/>
      <c r="N81" s="12"/>
      <c r="O81" s="12"/>
      <c r="P81" s="353"/>
      <c r="Q81" s="354"/>
      <c r="R81" s="354"/>
      <c r="S81" s="12"/>
      <c r="T81" s="354"/>
      <c r="U81" s="354"/>
      <c r="V81" s="354"/>
      <c r="W81" s="354"/>
      <c r="X81" s="358"/>
      <c r="Y81" s="353"/>
      <c r="Z81" s="12"/>
      <c r="AA81" s="12"/>
      <c r="AB81" s="358"/>
      <c r="AC81" s="12"/>
      <c r="AD81" s="12"/>
      <c r="AE81" s="358"/>
      <c r="AF81" s="353"/>
      <c r="AG81" s="353"/>
      <c r="AH81" s="355"/>
      <c r="AK81" s="107"/>
    </row>
    <row r="82" spans="1:39" s="356" customFormat="1" ht="32.25" hidden="1" customHeight="1" outlineLevel="2">
      <c r="A82" s="12"/>
      <c r="B82" s="13"/>
      <c r="C82" s="13"/>
      <c r="D82" s="13"/>
      <c r="E82" s="13"/>
      <c r="F82" s="12"/>
      <c r="G82" s="12"/>
      <c r="H82" s="12"/>
      <c r="I82" s="12"/>
      <c r="J82" s="12"/>
      <c r="K82" s="12"/>
      <c r="L82" s="358"/>
      <c r="M82" s="12"/>
      <c r="N82" s="12"/>
      <c r="O82" s="12"/>
      <c r="P82" s="353"/>
      <c r="Q82" s="354"/>
      <c r="R82" s="354"/>
      <c r="S82" s="12"/>
      <c r="T82" s="354"/>
      <c r="U82" s="354"/>
      <c r="V82" s="354"/>
      <c r="W82" s="354"/>
      <c r="X82" s="358"/>
      <c r="Y82" s="353"/>
      <c r="Z82" s="12"/>
      <c r="AA82" s="12"/>
      <c r="AB82" s="358"/>
      <c r="AC82" s="12"/>
      <c r="AD82" s="12"/>
      <c r="AE82" s="358"/>
      <c r="AF82" s="353"/>
      <c r="AG82" s="353"/>
      <c r="AH82" s="355"/>
      <c r="AK82" s="107"/>
    </row>
    <row r="83" spans="1:39" s="356" customFormat="1" ht="47" hidden="1" customHeight="1" outlineLevel="2">
      <c r="A83" s="731" t="s">
        <v>261</v>
      </c>
      <c r="B83" s="731"/>
      <c r="C83" s="731"/>
      <c r="D83" s="731"/>
      <c r="E83" s="731"/>
      <c r="F83" s="731"/>
      <c r="G83" s="731"/>
      <c r="H83" s="731"/>
      <c r="I83" s="731"/>
      <c r="J83" s="731"/>
      <c r="K83" s="731"/>
      <c r="L83" s="731"/>
      <c r="M83" s="731"/>
      <c r="N83" s="731"/>
      <c r="O83" s="731"/>
      <c r="P83" s="731"/>
      <c r="Q83" s="731"/>
      <c r="R83" s="731"/>
      <c r="S83" s="731"/>
      <c r="T83" s="731"/>
      <c r="U83" s="731"/>
      <c r="V83" s="731"/>
      <c r="W83" s="731"/>
      <c r="X83" s="731"/>
      <c r="Y83" s="731"/>
      <c r="Z83" s="731"/>
      <c r="AA83" s="731"/>
      <c r="AB83" s="731"/>
      <c r="AC83" s="731"/>
      <c r="AD83" s="731"/>
      <c r="AE83" s="731"/>
      <c r="AF83" s="731"/>
      <c r="AG83" s="547"/>
      <c r="AH83" s="355"/>
      <c r="AK83" s="107"/>
    </row>
    <row r="84" spans="1:39" s="356" customFormat="1" ht="22.25" hidden="1" customHeight="1" outlineLevel="2">
      <c r="A84" s="359"/>
      <c r="B84" s="357"/>
      <c r="C84" s="357"/>
      <c r="D84" s="357"/>
      <c r="E84" s="357"/>
      <c r="F84" s="357"/>
      <c r="G84" s="357"/>
      <c r="H84" s="357"/>
      <c r="I84" s="357"/>
      <c r="J84" s="357"/>
      <c r="K84" s="357"/>
      <c r="L84" s="357"/>
      <c r="M84" s="357"/>
      <c r="N84" s="357"/>
      <c r="O84" s="357"/>
      <c r="P84" s="357"/>
      <c r="Q84" s="357"/>
      <c r="R84" s="357"/>
      <c r="S84" s="357"/>
      <c r="T84" s="357"/>
      <c r="U84" s="357"/>
      <c r="V84" s="357"/>
      <c r="W84" s="357"/>
      <c r="X84" s="357"/>
      <c r="Y84" s="357"/>
      <c r="Z84" s="357"/>
      <c r="AA84" s="357"/>
      <c r="AB84" s="357"/>
      <c r="AC84" s="357"/>
      <c r="AD84" s="357"/>
      <c r="AE84" s="357"/>
      <c r="AF84" s="357"/>
      <c r="AG84" s="357"/>
      <c r="AH84" s="355"/>
    </row>
    <row r="85" spans="1:39" s="356" customFormat="1" ht="396" hidden="1" customHeight="1" outlineLevel="2">
      <c r="A85" s="355"/>
      <c r="B85" s="360"/>
      <c r="C85" s="706" t="s">
        <v>88</v>
      </c>
      <c r="D85" s="706"/>
      <c r="E85" s="706"/>
      <c r="F85" s="706"/>
      <c r="G85" s="706"/>
      <c r="H85" s="706"/>
      <c r="I85" s="706"/>
      <c r="J85" s="706"/>
      <c r="K85" s="706"/>
      <c r="L85" s="17"/>
      <c r="M85" s="706" t="s">
        <v>89</v>
      </c>
      <c r="N85" s="706"/>
      <c r="O85" s="706"/>
      <c r="P85" s="17"/>
      <c r="Q85" s="706" t="s">
        <v>90</v>
      </c>
      <c r="R85" s="706"/>
      <c r="S85" s="706"/>
      <c r="T85" s="706"/>
      <c r="U85" s="706"/>
      <c r="V85" s="706"/>
      <c r="W85" s="706"/>
      <c r="X85" s="17"/>
      <c r="Y85" s="706" t="s">
        <v>91</v>
      </c>
      <c r="Z85" s="706"/>
      <c r="AA85" s="706"/>
      <c r="AB85" s="17"/>
      <c r="AC85" s="706" t="s">
        <v>92</v>
      </c>
      <c r="AD85" s="706"/>
      <c r="AE85" s="17"/>
      <c r="AF85" s="709" t="s">
        <v>93</v>
      </c>
      <c r="AG85" s="706"/>
      <c r="AH85" s="355"/>
    </row>
    <row r="86" spans="1:39" s="356" customFormat="1" ht="16" hidden="1" outlineLevel="2">
      <c r="A86" s="355"/>
      <c r="B86" s="355"/>
      <c r="C86" s="355"/>
      <c r="D86" s="355"/>
      <c r="E86" s="355"/>
      <c r="F86" s="355"/>
      <c r="G86" s="355"/>
      <c r="H86" s="355"/>
      <c r="I86" s="355"/>
      <c r="J86" s="355"/>
      <c r="K86" s="355"/>
      <c r="L86" s="355"/>
      <c r="M86" s="355"/>
      <c r="N86" s="355"/>
      <c r="O86" s="355"/>
      <c r="P86" s="355"/>
      <c r="Q86" s="355"/>
      <c r="R86" s="355"/>
      <c r="S86" s="355"/>
      <c r="T86" s="355"/>
      <c r="U86" s="355"/>
      <c r="V86" s="355"/>
      <c r="W86" s="355"/>
      <c r="X86" s="355"/>
      <c r="Y86" s="353"/>
      <c r="Z86" s="12"/>
      <c r="AA86" s="12"/>
      <c r="AB86" s="355"/>
      <c r="AC86" s="355"/>
      <c r="AD86" s="355"/>
      <c r="AE86" s="355"/>
      <c r="AF86" s="355"/>
      <c r="AG86" s="355"/>
      <c r="AH86" s="355"/>
      <c r="AK86" s="107"/>
    </row>
    <row r="87" spans="1:39" s="386" customFormat="1" ht="106.25" hidden="1" customHeight="1" outlineLevel="2">
      <c r="A87" s="714" t="s">
        <v>94</v>
      </c>
      <c r="B87" s="718"/>
      <c r="C87" s="718"/>
      <c r="D87" s="718"/>
      <c r="E87" s="718"/>
      <c r="F87" s="718"/>
      <c r="G87" s="718"/>
      <c r="H87" s="718"/>
      <c r="I87" s="718"/>
      <c r="J87" s="718"/>
      <c r="K87" s="715"/>
      <c r="L87" s="361"/>
      <c r="M87" s="714" t="s">
        <v>95</v>
      </c>
      <c r="N87" s="718"/>
      <c r="O87" s="715"/>
      <c r="P87" s="13"/>
      <c r="Q87" s="714" t="s">
        <v>96</v>
      </c>
      <c r="R87" s="718"/>
      <c r="S87" s="718"/>
      <c r="T87" s="718"/>
      <c r="U87" s="718"/>
      <c r="V87" s="718"/>
      <c r="W87" s="715"/>
      <c r="X87" s="572"/>
      <c r="Y87" s="714" t="s">
        <v>97</v>
      </c>
      <c r="Z87" s="718"/>
      <c r="AA87" s="715"/>
      <c r="AB87" s="358"/>
      <c r="AC87" s="714" t="s">
        <v>98</v>
      </c>
      <c r="AD87" s="715"/>
      <c r="AE87" s="358"/>
      <c r="AF87" s="716" t="s">
        <v>788</v>
      </c>
      <c r="AG87" s="716" t="s">
        <v>787</v>
      </c>
      <c r="AH87" s="600"/>
      <c r="AK87" s="107"/>
    </row>
    <row r="88" spans="1:39" s="387" customFormat="1" ht="299" hidden="1" customHeight="1" outlineLevel="2">
      <c r="A88" s="798" t="s">
        <v>99</v>
      </c>
      <c r="B88" s="798"/>
      <c r="C88" s="714" t="s">
        <v>100</v>
      </c>
      <c r="D88" s="718"/>
      <c r="E88" s="718"/>
      <c r="F88" s="715"/>
      <c r="G88" s="546" t="s">
        <v>763</v>
      </c>
      <c r="H88" s="546" t="s">
        <v>778</v>
      </c>
      <c r="I88" s="554" t="s">
        <v>764</v>
      </c>
      <c r="J88" s="554" t="s">
        <v>765</v>
      </c>
      <c r="K88" s="554" t="s">
        <v>779</v>
      </c>
      <c r="L88" s="361"/>
      <c r="M88" s="546" t="s">
        <v>768</v>
      </c>
      <c r="N88" s="546" t="s">
        <v>769</v>
      </c>
      <c r="O88" s="554" t="s">
        <v>770</v>
      </c>
      <c r="P88" s="13"/>
      <c r="Q88" s="554" t="s">
        <v>101</v>
      </c>
      <c r="R88" s="554" t="s">
        <v>102</v>
      </c>
      <c r="S88" s="558" t="s">
        <v>103</v>
      </c>
      <c r="T88" s="558" t="s">
        <v>104</v>
      </c>
      <c r="U88" s="554" t="s">
        <v>105</v>
      </c>
      <c r="V88" s="546" t="s">
        <v>106</v>
      </c>
      <c r="W88" s="554" t="s">
        <v>771</v>
      </c>
      <c r="X88" s="573"/>
      <c r="Y88" s="546" t="s">
        <v>107</v>
      </c>
      <c r="Z88" s="546" t="s">
        <v>772</v>
      </c>
      <c r="AA88" s="546" t="s">
        <v>773</v>
      </c>
      <c r="AB88" s="358"/>
      <c r="AC88" s="546" t="s">
        <v>774</v>
      </c>
      <c r="AD88" s="546" t="s">
        <v>775</v>
      </c>
      <c r="AE88" s="358"/>
      <c r="AF88" s="717"/>
      <c r="AG88" s="717"/>
      <c r="AH88" s="588"/>
      <c r="AL88" s="387" t="s">
        <v>168</v>
      </c>
      <c r="AM88" s="387" t="s">
        <v>169</v>
      </c>
    </row>
    <row r="89" spans="1:39" s="387" customFormat="1" ht="34.25" hidden="1" customHeight="1" outlineLevel="2" collapsed="1">
      <c r="A89" s="721" t="s">
        <v>109</v>
      </c>
      <c r="B89" s="733" t="s">
        <v>110</v>
      </c>
      <c r="C89" s="734" t="s">
        <v>170</v>
      </c>
      <c r="D89" s="820" t="s">
        <v>111</v>
      </c>
      <c r="E89" s="820"/>
      <c r="F89" s="757"/>
      <c r="G89" s="710"/>
      <c r="H89" s="838" t="str">
        <f>IF(G89="","",G89/$G$253)</f>
        <v/>
      </c>
      <c r="I89" s="710"/>
      <c r="J89" s="710"/>
      <c r="K89" s="712" t="str">
        <f>IF(SUM(I89:J90)=0,"",SUM(I89:J90))</f>
        <v/>
      </c>
      <c r="L89" s="362"/>
      <c r="M89" s="796"/>
      <c r="N89" s="401" t="b">
        <v>0</v>
      </c>
      <c r="O89" s="5"/>
      <c r="P89" s="363"/>
      <c r="Q89" s="712"/>
      <c r="R89" s="710"/>
      <c r="S89" s="710"/>
      <c r="T89" s="710"/>
      <c r="U89" s="710"/>
      <c r="V89" s="712">
        <f t="shared" ref="V89:V90" si="8">IF(M89=TRUE,SUM(Q89:U89),0)</f>
        <v>0</v>
      </c>
      <c r="W89" s="712"/>
      <c r="X89" s="362"/>
      <c r="Y89" s="364" t="s">
        <v>112</v>
      </c>
      <c r="Z89" s="5"/>
      <c r="AA89" s="5"/>
      <c r="AB89" s="358"/>
      <c r="AC89" s="712"/>
      <c r="AD89" s="712"/>
      <c r="AE89" s="358"/>
      <c r="AF89" s="712" t="str">
        <f t="shared" ref="AF89:AF97" si="9">IF(G89="","",IF(AND(V89="",Z89="",Z90="",AC89=""),"Missing Info",IF(G89-V89-Z89-Z90+AC89=0,"OK","Review financial exposure")))</f>
        <v/>
      </c>
      <c r="AG89" s="712" t="str">
        <f>IF(K89="","",IF(AND(W89="",AA89="",AA90="",AD89=""),"Missing Info",IF(K89-W89-AA89-AA90+AD89=0,"OK","Review emissions")))</f>
        <v/>
      </c>
      <c r="AH89" s="588"/>
      <c r="AK89" s="107" t="s">
        <v>171</v>
      </c>
      <c r="AL89" s="387">
        <f>COUNTIFS($AK$89:$AK$238,$AK89,M$89:M$238,TRUE)</f>
        <v>0</v>
      </c>
      <c r="AM89" s="387">
        <f t="shared" ref="AM89:AM152" si="10">COUNTIFS($AK$89:$AK$238,$AK89,N$89:N$238,TRUE)</f>
        <v>0</v>
      </c>
    </row>
    <row r="90" spans="1:39" s="387" customFormat="1" ht="34.25" hidden="1" customHeight="1" outlineLevel="3">
      <c r="A90" s="722"/>
      <c r="B90" s="733"/>
      <c r="C90" s="735"/>
      <c r="D90" s="821"/>
      <c r="E90" s="821"/>
      <c r="F90" s="761"/>
      <c r="G90" s="711"/>
      <c r="H90" s="839"/>
      <c r="I90" s="711"/>
      <c r="J90" s="711"/>
      <c r="K90" s="713"/>
      <c r="L90" s="362"/>
      <c r="M90" s="797"/>
      <c r="N90" s="401" t="b">
        <v>0</v>
      </c>
      <c r="O90" s="5"/>
      <c r="P90" s="363"/>
      <c r="Q90" s="713"/>
      <c r="R90" s="711"/>
      <c r="S90" s="711"/>
      <c r="T90" s="711"/>
      <c r="U90" s="711"/>
      <c r="V90" s="713">
        <f t="shared" si="8"/>
        <v>0</v>
      </c>
      <c r="W90" s="713"/>
      <c r="X90" s="362"/>
      <c r="Y90" s="364" t="s">
        <v>114</v>
      </c>
      <c r="Z90" s="5"/>
      <c r="AA90" s="5"/>
      <c r="AB90" s="358"/>
      <c r="AC90" s="713"/>
      <c r="AD90" s="713"/>
      <c r="AE90" s="358"/>
      <c r="AF90" s="713"/>
      <c r="AG90" s="713"/>
      <c r="AH90" s="588"/>
      <c r="AK90" s="107" t="s">
        <v>171</v>
      </c>
      <c r="AL90" s="387">
        <f t="shared" ref="AL90:AL153" si="11">COUNTIFS($AK$89:$AK$238,$AK90,M$89:M$238,TRUE)</f>
        <v>0</v>
      </c>
      <c r="AM90" s="387">
        <f t="shared" si="10"/>
        <v>0</v>
      </c>
    </row>
    <row r="91" spans="1:39" s="387" customFormat="1" ht="39" hidden="1" customHeight="1" outlineLevel="3">
      <c r="A91" s="722"/>
      <c r="B91" s="733"/>
      <c r="C91" s="735"/>
      <c r="D91" s="728" t="s">
        <v>115</v>
      </c>
      <c r="E91" s="784" t="s">
        <v>277</v>
      </c>
      <c r="F91" s="784" t="s">
        <v>232</v>
      </c>
      <c r="G91" s="710"/>
      <c r="H91" s="838" t="str">
        <f>IF(G91="","",G91/$G$253)</f>
        <v/>
      </c>
      <c r="I91" s="710"/>
      <c r="J91" s="710"/>
      <c r="K91" s="712" t="str">
        <f>IF(SUM(I91:J92)=0,"",SUM(I91:J92))</f>
        <v/>
      </c>
      <c r="L91" s="362"/>
      <c r="M91" s="796"/>
      <c r="N91" s="401" t="b">
        <v>0</v>
      </c>
      <c r="O91" s="5"/>
      <c r="P91" s="363"/>
      <c r="Q91" s="712"/>
      <c r="R91" s="710"/>
      <c r="S91" s="710"/>
      <c r="T91" s="710"/>
      <c r="U91" s="710"/>
      <c r="V91" s="712">
        <f t="shared" ref="V91:V98" si="12">IF(M91=TRUE,SUM(Q91:U91),0)</f>
        <v>0</v>
      </c>
      <c r="W91" s="712"/>
      <c r="X91" s="362"/>
      <c r="Y91" s="364" t="s">
        <v>112</v>
      </c>
      <c r="Z91" s="5"/>
      <c r="AA91" s="5"/>
      <c r="AB91" s="358"/>
      <c r="AC91" s="712"/>
      <c r="AD91" s="712"/>
      <c r="AE91" s="358"/>
      <c r="AF91" s="712" t="str">
        <f t="shared" si="9"/>
        <v/>
      </c>
      <c r="AG91" s="712" t="str">
        <f>IF(K91="","",IF(AND(W91="",AA91="",AA92="",AD91=""),"Missing Info",IF(K91-W91-AA91-AA92+AD91=0,"OK","Review emissions")))</f>
        <v/>
      </c>
      <c r="AH91" s="588"/>
      <c r="AK91" s="107" t="s">
        <v>171</v>
      </c>
      <c r="AL91" s="387">
        <f t="shared" si="11"/>
        <v>0</v>
      </c>
      <c r="AM91" s="387">
        <f t="shared" si="10"/>
        <v>0</v>
      </c>
    </row>
    <row r="92" spans="1:39" s="387" customFormat="1" ht="39" hidden="1" customHeight="1" outlineLevel="3">
      <c r="A92" s="722"/>
      <c r="B92" s="733"/>
      <c r="C92" s="735"/>
      <c r="D92" s="823"/>
      <c r="E92" s="785"/>
      <c r="F92" s="786"/>
      <c r="G92" s="711"/>
      <c r="H92" s="839"/>
      <c r="I92" s="711"/>
      <c r="J92" s="711"/>
      <c r="K92" s="713"/>
      <c r="L92" s="362"/>
      <c r="M92" s="797"/>
      <c r="N92" s="401" t="b">
        <v>0</v>
      </c>
      <c r="O92" s="5"/>
      <c r="P92" s="363"/>
      <c r="Q92" s="713"/>
      <c r="R92" s="711"/>
      <c r="S92" s="711"/>
      <c r="T92" s="711"/>
      <c r="U92" s="711"/>
      <c r="V92" s="713">
        <f t="shared" si="12"/>
        <v>0</v>
      </c>
      <c r="W92" s="713"/>
      <c r="X92" s="362"/>
      <c r="Y92" s="364" t="s">
        <v>114</v>
      </c>
      <c r="Z92" s="5"/>
      <c r="AA92" s="5"/>
      <c r="AB92" s="358"/>
      <c r="AC92" s="713"/>
      <c r="AD92" s="713"/>
      <c r="AE92" s="358"/>
      <c r="AF92" s="713"/>
      <c r="AG92" s="713"/>
      <c r="AH92" s="588"/>
      <c r="AK92" s="107" t="s">
        <v>171</v>
      </c>
      <c r="AL92" s="387">
        <f t="shared" si="11"/>
        <v>0</v>
      </c>
      <c r="AM92" s="387">
        <f t="shared" si="10"/>
        <v>0</v>
      </c>
    </row>
    <row r="93" spans="1:39" s="387" customFormat="1" ht="39" hidden="1" customHeight="1" outlineLevel="3">
      <c r="A93" s="722"/>
      <c r="B93" s="733"/>
      <c r="C93" s="735"/>
      <c r="D93" s="823"/>
      <c r="E93" s="785"/>
      <c r="F93" s="784" t="s">
        <v>233</v>
      </c>
      <c r="G93" s="710"/>
      <c r="H93" s="838" t="str">
        <f>IF(G93="","",G93/$G$253)</f>
        <v/>
      </c>
      <c r="I93" s="710"/>
      <c r="J93" s="710"/>
      <c r="K93" s="712" t="str">
        <f>IF(SUM(I93:J94)=0,"",SUM(I93:J94))</f>
        <v/>
      </c>
      <c r="L93" s="362"/>
      <c r="M93" s="796"/>
      <c r="N93" s="401" t="b">
        <v>0</v>
      </c>
      <c r="O93" s="5"/>
      <c r="P93" s="363"/>
      <c r="Q93" s="712"/>
      <c r="R93" s="710"/>
      <c r="S93" s="710"/>
      <c r="T93" s="710"/>
      <c r="U93" s="710"/>
      <c r="V93" s="712">
        <f t="shared" si="12"/>
        <v>0</v>
      </c>
      <c r="W93" s="712"/>
      <c r="X93" s="362"/>
      <c r="Y93" s="364" t="s">
        <v>112</v>
      </c>
      <c r="Z93" s="5"/>
      <c r="AA93" s="5"/>
      <c r="AB93" s="358"/>
      <c r="AC93" s="712"/>
      <c r="AD93" s="712"/>
      <c r="AE93" s="358"/>
      <c r="AF93" s="712" t="str">
        <f t="shared" si="9"/>
        <v/>
      </c>
      <c r="AG93" s="712" t="str">
        <f>IF(K93="","",IF(AND(W93="",AA93="",AA94="",AD93=""),"Missing Info",IF(K93-W93-AA93-AA94+AD93=0,"OK","Review emissions")))</f>
        <v/>
      </c>
      <c r="AH93" s="588"/>
      <c r="AK93" s="107" t="s">
        <v>171</v>
      </c>
      <c r="AL93" s="387">
        <f t="shared" si="11"/>
        <v>0</v>
      </c>
      <c r="AM93" s="387">
        <f t="shared" si="10"/>
        <v>0</v>
      </c>
    </row>
    <row r="94" spans="1:39" s="387" customFormat="1" ht="39" hidden="1" customHeight="1" outlineLevel="3">
      <c r="A94" s="722"/>
      <c r="B94" s="733"/>
      <c r="C94" s="735"/>
      <c r="D94" s="823"/>
      <c r="E94" s="785"/>
      <c r="F94" s="786"/>
      <c r="G94" s="711"/>
      <c r="H94" s="839"/>
      <c r="I94" s="711"/>
      <c r="J94" s="711"/>
      <c r="K94" s="713"/>
      <c r="L94" s="362"/>
      <c r="M94" s="797"/>
      <c r="N94" s="401" t="b">
        <v>0</v>
      </c>
      <c r="O94" s="5"/>
      <c r="P94" s="363"/>
      <c r="Q94" s="713"/>
      <c r="R94" s="711"/>
      <c r="S94" s="711"/>
      <c r="T94" s="711"/>
      <c r="U94" s="711"/>
      <c r="V94" s="713">
        <f t="shared" si="12"/>
        <v>0</v>
      </c>
      <c r="W94" s="713"/>
      <c r="X94" s="362"/>
      <c r="Y94" s="364" t="s">
        <v>114</v>
      </c>
      <c r="Z94" s="5"/>
      <c r="AA94" s="5"/>
      <c r="AB94" s="358"/>
      <c r="AC94" s="713"/>
      <c r="AD94" s="713"/>
      <c r="AE94" s="358"/>
      <c r="AF94" s="713"/>
      <c r="AG94" s="713"/>
      <c r="AH94" s="588"/>
      <c r="AK94" s="107" t="s">
        <v>171</v>
      </c>
      <c r="AL94" s="387">
        <f t="shared" si="11"/>
        <v>0</v>
      </c>
      <c r="AM94" s="387">
        <f t="shared" si="10"/>
        <v>0</v>
      </c>
    </row>
    <row r="95" spans="1:39" s="387" customFormat="1" ht="68" hidden="1" customHeight="1" outlineLevel="3">
      <c r="A95" s="722"/>
      <c r="B95" s="733"/>
      <c r="C95" s="735"/>
      <c r="D95" s="823"/>
      <c r="E95" s="785"/>
      <c r="F95" s="784" t="s">
        <v>234</v>
      </c>
      <c r="G95" s="710"/>
      <c r="H95" s="838" t="str">
        <f>IF(G95="","",G95/$G$253)</f>
        <v/>
      </c>
      <c r="I95" s="710"/>
      <c r="J95" s="710"/>
      <c r="K95" s="712" t="str">
        <f>IF(SUM(I95:J96)=0,"",SUM(I95:J96))</f>
        <v/>
      </c>
      <c r="L95" s="362"/>
      <c r="M95" s="796"/>
      <c r="N95" s="401" t="b">
        <v>0</v>
      </c>
      <c r="O95" s="5"/>
      <c r="P95" s="363"/>
      <c r="Q95" s="393"/>
      <c r="R95" s="710"/>
      <c r="S95" s="710"/>
      <c r="T95" s="710"/>
      <c r="U95" s="710"/>
      <c r="V95" s="712">
        <f t="shared" si="12"/>
        <v>0</v>
      </c>
      <c r="W95" s="712"/>
      <c r="X95" s="362"/>
      <c r="Y95" s="364" t="s">
        <v>112</v>
      </c>
      <c r="Z95" s="5"/>
      <c r="AA95" s="5"/>
      <c r="AB95" s="358"/>
      <c r="AC95" s="712"/>
      <c r="AD95" s="712"/>
      <c r="AE95" s="358"/>
      <c r="AF95" s="712" t="str">
        <f t="shared" si="9"/>
        <v/>
      </c>
      <c r="AG95" s="712" t="str">
        <f>IF(K95="","",IF(AND(W95="",AA95="",AA96="",AD95=""),"Missing Info",IF(K95-W95-AA95-AA96+AD95=0,"OK","Review emissions")))</f>
        <v/>
      </c>
      <c r="AH95" s="588"/>
      <c r="AK95" s="107" t="s">
        <v>171</v>
      </c>
      <c r="AL95" s="387">
        <f t="shared" si="11"/>
        <v>0</v>
      </c>
      <c r="AM95" s="387">
        <f t="shared" si="10"/>
        <v>0</v>
      </c>
    </row>
    <row r="96" spans="1:39" s="387" customFormat="1" ht="68" hidden="1" customHeight="1" outlineLevel="3">
      <c r="A96" s="722"/>
      <c r="B96" s="733"/>
      <c r="C96" s="735"/>
      <c r="D96" s="823"/>
      <c r="E96" s="785"/>
      <c r="F96" s="786"/>
      <c r="G96" s="711"/>
      <c r="H96" s="839"/>
      <c r="I96" s="711"/>
      <c r="J96" s="711"/>
      <c r="K96" s="713"/>
      <c r="L96" s="362"/>
      <c r="M96" s="797"/>
      <c r="N96" s="401" t="b">
        <v>0</v>
      </c>
      <c r="O96" s="5"/>
      <c r="P96" s="363"/>
      <c r="Q96" s="393"/>
      <c r="R96" s="711"/>
      <c r="S96" s="711"/>
      <c r="T96" s="711"/>
      <c r="U96" s="711"/>
      <c r="V96" s="713">
        <f t="shared" si="12"/>
        <v>0</v>
      </c>
      <c r="W96" s="713"/>
      <c r="X96" s="362"/>
      <c r="Y96" s="364" t="s">
        <v>114</v>
      </c>
      <c r="Z96" s="5"/>
      <c r="AA96" s="5"/>
      <c r="AB96" s="358"/>
      <c r="AC96" s="713"/>
      <c r="AD96" s="713"/>
      <c r="AE96" s="358"/>
      <c r="AF96" s="713"/>
      <c r="AG96" s="713"/>
      <c r="AH96" s="588"/>
      <c r="AK96" s="107" t="s">
        <v>171</v>
      </c>
      <c r="AL96" s="387">
        <f t="shared" si="11"/>
        <v>0</v>
      </c>
      <c r="AM96" s="387">
        <f t="shared" si="10"/>
        <v>0</v>
      </c>
    </row>
    <row r="97" spans="1:39" s="387" customFormat="1" ht="39" hidden="1" customHeight="1" outlineLevel="3">
      <c r="A97" s="722"/>
      <c r="B97" s="733"/>
      <c r="C97" s="735"/>
      <c r="D97" s="823"/>
      <c r="E97" s="785"/>
      <c r="F97" s="784" t="s">
        <v>117</v>
      </c>
      <c r="G97" s="710"/>
      <c r="H97" s="838" t="str">
        <f>IF(G97="","",G97/$G$253)</f>
        <v/>
      </c>
      <c r="I97" s="710"/>
      <c r="J97" s="710"/>
      <c r="K97" s="712" t="str">
        <f>IF(SUM(I97:J98)=0,"",SUM(I97:J98))</f>
        <v/>
      </c>
      <c r="L97" s="362"/>
      <c r="M97" s="796"/>
      <c r="N97" s="401" t="b">
        <v>0</v>
      </c>
      <c r="O97" s="5"/>
      <c r="P97" s="363"/>
      <c r="Q97" s="712"/>
      <c r="R97" s="710"/>
      <c r="S97" s="710"/>
      <c r="T97" s="710"/>
      <c r="U97" s="710"/>
      <c r="V97" s="712">
        <f t="shared" si="12"/>
        <v>0</v>
      </c>
      <c r="W97" s="712"/>
      <c r="X97" s="362"/>
      <c r="Y97" s="364" t="s">
        <v>112</v>
      </c>
      <c r="Z97" s="5"/>
      <c r="AA97" s="5"/>
      <c r="AB97" s="358"/>
      <c r="AC97" s="712"/>
      <c r="AD97" s="712"/>
      <c r="AE97" s="358"/>
      <c r="AF97" s="712" t="str">
        <f t="shared" si="9"/>
        <v/>
      </c>
      <c r="AG97" s="712" t="str">
        <f>IF(K97="","",IF(AND(W97="",AA97="",AA98="",AD97=""),"Missing Info",IF(K97-W97-AA97-AA98+AD97=0,"OK","Review emissions")))</f>
        <v/>
      </c>
      <c r="AH97" s="588"/>
      <c r="AK97" s="107" t="s">
        <v>171</v>
      </c>
      <c r="AL97" s="387">
        <f t="shared" si="11"/>
        <v>0</v>
      </c>
      <c r="AM97" s="387">
        <f t="shared" si="10"/>
        <v>0</v>
      </c>
    </row>
    <row r="98" spans="1:39" s="387" customFormat="1" ht="39" hidden="1" customHeight="1" outlineLevel="3">
      <c r="A98" s="723"/>
      <c r="B98" s="733"/>
      <c r="C98" s="735"/>
      <c r="D98" s="730"/>
      <c r="E98" s="786"/>
      <c r="F98" s="786"/>
      <c r="G98" s="711"/>
      <c r="H98" s="839"/>
      <c r="I98" s="711"/>
      <c r="J98" s="711"/>
      <c r="K98" s="713"/>
      <c r="L98" s="362"/>
      <c r="M98" s="797"/>
      <c r="N98" s="401" t="b">
        <v>0</v>
      </c>
      <c r="O98" s="5"/>
      <c r="P98" s="363"/>
      <c r="Q98" s="713"/>
      <c r="R98" s="711"/>
      <c r="S98" s="711"/>
      <c r="T98" s="711"/>
      <c r="U98" s="711"/>
      <c r="V98" s="713">
        <f t="shared" si="12"/>
        <v>0</v>
      </c>
      <c r="W98" s="713"/>
      <c r="X98" s="362"/>
      <c r="Y98" s="364" t="s">
        <v>114</v>
      </c>
      <c r="Z98" s="5"/>
      <c r="AA98" s="5"/>
      <c r="AB98" s="358"/>
      <c r="AC98" s="713"/>
      <c r="AD98" s="713"/>
      <c r="AE98" s="358"/>
      <c r="AF98" s="713"/>
      <c r="AG98" s="713"/>
      <c r="AH98" s="588"/>
      <c r="AK98" s="107" t="s">
        <v>171</v>
      </c>
      <c r="AL98" s="387">
        <f t="shared" si="11"/>
        <v>0</v>
      </c>
      <c r="AM98" s="387">
        <f t="shared" si="10"/>
        <v>0</v>
      </c>
    </row>
    <row r="99" spans="1:39" s="387" customFormat="1" ht="39" hidden="1" customHeight="1" outlineLevel="3">
      <c r="A99" s="721" t="s">
        <v>759</v>
      </c>
      <c r="B99" s="733"/>
      <c r="C99" s="735"/>
      <c r="D99" s="724" t="s">
        <v>762</v>
      </c>
      <c r="E99" s="725"/>
      <c r="F99" s="726"/>
      <c r="G99" s="5"/>
      <c r="H99" s="388" t="str">
        <f t="shared" ref="H99:H116" si="13">IF(G99="","",G99/$G$253)</f>
        <v/>
      </c>
      <c r="I99" s="5"/>
      <c r="J99" s="5"/>
      <c r="K99" s="557" t="str">
        <f t="shared" ref="K99:K115" si="14">IF(SUM(I99:J99)=0,"",SUM(I99:J99))</f>
        <v/>
      </c>
      <c r="L99" s="362"/>
      <c r="M99" s="401" t="b">
        <v>0</v>
      </c>
      <c r="N99" s="401" t="b">
        <v>0</v>
      </c>
      <c r="O99" s="5"/>
      <c r="P99" s="363"/>
      <c r="Q99" s="557"/>
      <c r="R99" s="5"/>
      <c r="S99" s="5"/>
      <c r="T99" s="5"/>
      <c r="U99" s="5"/>
      <c r="V99" s="557">
        <f t="shared" ref="V99:V130" si="15">IF(M99=TRUE,SUM(Q99:U99),0)</f>
        <v>0</v>
      </c>
      <c r="W99" s="5"/>
      <c r="X99" s="362"/>
      <c r="Y99" s="364" t="s">
        <v>112</v>
      </c>
      <c r="Z99" s="5"/>
      <c r="AA99" s="5"/>
      <c r="AB99" s="358"/>
      <c r="AC99" s="5"/>
      <c r="AD99" s="5"/>
      <c r="AE99" s="358"/>
      <c r="AF99" s="557" t="str">
        <f t="shared" ref="AF99:AF115" si="16">IF(G99="","",IF(AND(V99="",Z99="",AC99=""),"Missing Info",IF(G99-V99-Z99+AC99=0,"OK","Review financial exposure")))</f>
        <v/>
      </c>
      <c r="AG99" s="557" t="str">
        <f t="shared" ref="AG99:AG115" si="17">IF(K99="","",IF(AND(W99="",AA99="",AD99=""),"Missing Info",IF(K99-W99-AA99+AD99=0,"OK","Review emissions")))</f>
        <v/>
      </c>
      <c r="AH99" s="588"/>
      <c r="AK99" s="107" t="s">
        <v>172</v>
      </c>
      <c r="AL99" s="387">
        <f t="shared" si="11"/>
        <v>0</v>
      </c>
      <c r="AM99" s="387">
        <f t="shared" si="10"/>
        <v>0</v>
      </c>
    </row>
    <row r="100" spans="1:39" s="387" customFormat="1" ht="104" hidden="1" customHeight="1" outlineLevel="3">
      <c r="A100" s="722"/>
      <c r="B100" s="733"/>
      <c r="C100" s="735"/>
      <c r="D100" s="728" t="s">
        <v>761</v>
      </c>
      <c r="E100" s="784" t="s">
        <v>277</v>
      </c>
      <c r="F100" s="545" t="s">
        <v>232</v>
      </c>
      <c r="G100" s="5"/>
      <c r="H100" s="388" t="str">
        <f t="shared" si="13"/>
        <v/>
      </c>
      <c r="I100" s="5"/>
      <c r="J100" s="5"/>
      <c r="K100" s="557" t="str">
        <f t="shared" si="14"/>
        <v/>
      </c>
      <c r="L100" s="362"/>
      <c r="M100" s="401" t="b">
        <v>0</v>
      </c>
      <c r="N100" s="401" t="b">
        <v>0</v>
      </c>
      <c r="O100" s="5"/>
      <c r="P100" s="363"/>
      <c r="Q100" s="557"/>
      <c r="R100" s="5"/>
      <c r="S100" s="5"/>
      <c r="T100" s="5"/>
      <c r="U100" s="5"/>
      <c r="V100" s="557">
        <f t="shared" si="15"/>
        <v>0</v>
      </c>
      <c r="W100" s="5"/>
      <c r="X100" s="362"/>
      <c r="Y100" s="364" t="s">
        <v>112</v>
      </c>
      <c r="Z100" s="5"/>
      <c r="AA100" s="5"/>
      <c r="AB100" s="358"/>
      <c r="AC100" s="5"/>
      <c r="AD100" s="5"/>
      <c r="AE100" s="358"/>
      <c r="AF100" s="557" t="str">
        <f t="shared" si="16"/>
        <v/>
      </c>
      <c r="AG100" s="557" t="str">
        <f t="shared" si="17"/>
        <v/>
      </c>
      <c r="AH100" s="588"/>
      <c r="AK100" s="107" t="s">
        <v>172</v>
      </c>
      <c r="AL100" s="387">
        <f t="shared" si="11"/>
        <v>0</v>
      </c>
      <c r="AM100" s="387">
        <f t="shared" si="10"/>
        <v>0</v>
      </c>
    </row>
    <row r="101" spans="1:39" s="387" customFormat="1" ht="80" hidden="1" customHeight="1" outlineLevel="3">
      <c r="A101" s="722"/>
      <c r="B101" s="733"/>
      <c r="C101" s="735"/>
      <c r="D101" s="823"/>
      <c r="E101" s="785"/>
      <c r="F101" s="545" t="s">
        <v>233</v>
      </c>
      <c r="G101" s="5"/>
      <c r="H101" s="388" t="str">
        <f t="shared" si="13"/>
        <v/>
      </c>
      <c r="I101" s="5"/>
      <c r="J101" s="5"/>
      <c r="K101" s="557" t="str">
        <f t="shared" si="14"/>
        <v/>
      </c>
      <c r="L101" s="362"/>
      <c r="M101" s="401" t="b">
        <v>0</v>
      </c>
      <c r="N101" s="401" t="b">
        <v>0</v>
      </c>
      <c r="O101" s="5"/>
      <c r="P101" s="363"/>
      <c r="Q101" s="557"/>
      <c r="R101" s="5"/>
      <c r="S101" s="5"/>
      <c r="T101" s="5"/>
      <c r="U101" s="5"/>
      <c r="V101" s="557">
        <f t="shared" si="15"/>
        <v>0</v>
      </c>
      <c r="W101" s="5"/>
      <c r="X101" s="362"/>
      <c r="Y101" s="364" t="s">
        <v>112</v>
      </c>
      <c r="Z101" s="5"/>
      <c r="AA101" s="5"/>
      <c r="AB101" s="358"/>
      <c r="AC101" s="5"/>
      <c r="AD101" s="5"/>
      <c r="AE101" s="358"/>
      <c r="AF101" s="557" t="str">
        <f t="shared" si="16"/>
        <v/>
      </c>
      <c r="AG101" s="557" t="str">
        <f t="shared" si="17"/>
        <v/>
      </c>
      <c r="AH101" s="588"/>
      <c r="AK101" s="107" t="s">
        <v>172</v>
      </c>
      <c r="AL101" s="387">
        <f t="shared" si="11"/>
        <v>0</v>
      </c>
      <c r="AM101" s="387">
        <f t="shared" si="10"/>
        <v>0</v>
      </c>
    </row>
    <row r="102" spans="1:39" s="387" customFormat="1" ht="116" hidden="1" customHeight="1" outlineLevel="3">
      <c r="A102" s="722"/>
      <c r="B102" s="733"/>
      <c r="C102" s="735"/>
      <c r="D102" s="823"/>
      <c r="E102" s="785"/>
      <c r="F102" s="545" t="s">
        <v>234</v>
      </c>
      <c r="G102" s="5"/>
      <c r="H102" s="388" t="str">
        <f t="shared" si="13"/>
        <v/>
      </c>
      <c r="I102" s="5"/>
      <c r="J102" s="5"/>
      <c r="K102" s="557" t="str">
        <f t="shared" si="14"/>
        <v/>
      </c>
      <c r="L102" s="362"/>
      <c r="M102" s="401" t="b">
        <v>0</v>
      </c>
      <c r="N102" s="401" t="b">
        <v>0</v>
      </c>
      <c r="O102" s="5"/>
      <c r="P102" s="363"/>
      <c r="Q102" s="557"/>
      <c r="R102" s="5"/>
      <c r="S102" s="5"/>
      <c r="T102" s="5"/>
      <c r="U102" s="5"/>
      <c r="V102" s="557">
        <f t="shared" si="15"/>
        <v>0</v>
      </c>
      <c r="W102" s="5"/>
      <c r="X102" s="362"/>
      <c r="Y102" s="364" t="s">
        <v>112</v>
      </c>
      <c r="Z102" s="5"/>
      <c r="AA102" s="5"/>
      <c r="AB102" s="358"/>
      <c r="AC102" s="5"/>
      <c r="AD102" s="5"/>
      <c r="AE102" s="358"/>
      <c r="AF102" s="557" t="str">
        <f t="shared" si="16"/>
        <v/>
      </c>
      <c r="AG102" s="557" t="str">
        <f t="shared" si="17"/>
        <v/>
      </c>
      <c r="AH102" s="588"/>
      <c r="AK102" s="107" t="s">
        <v>172</v>
      </c>
      <c r="AL102" s="387">
        <f t="shared" si="11"/>
        <v>0</v>
      </c>
      <c r="AM102" s="387">
        <f t="shared" si="10"/>
        <v>0</v>
      </c>
    </row>
    <row r="103" spans="1:39" s="387" customFormat="1" ht="39" hidden="1" customHeight="1" outlineLevel="3">
      <c r="A103" s="723"/>
      <c r="B103" s="788"/>
      <c r="C103" s="736"/>
      <c r="D103" s="730"/>
      <c r="E103" s="786"/>
      <c r="F103" s="545" t="s">
        <v>117</v>
      </c>
      <c r="G103" s="5"/>
      <c r="H103" s="388" t="str">
        <f t="shared" si="13"/>
        <v/>
      </c>
      <c r="I103" s="5"/>
      <c r="J103" s="5"/>
      <c r="K103" s="557" t="str">
        <f t="shared" si="14"/>
        <v/>
      </c>
      <c r="L103" s="362"/>
      <c r="M103" s="401" t="b">
        <v>0</v>
      </c>
      <c r="N103" s="401" t="b">
        <v>0</v>
      </c>
      <c r="O103" s="5"/>
      <c r="P103" s="363"/>
      <c r="Q103" s="557"/>
      <c r="R103" s="5"/>
      <c r="S103" s="5"/>
      <c r="T103" s="5"/>
      <c r="U103" s="5"/>
      <c r="V103" s="557">
        <f t="shared" si="15"/>
        <v>0</v>
      </c>
      <c r="W103" s="5"/>
      <c r="X103" s="362"/>
      <c r="Y103" s="364" t="s">
        <v>112</v>
      </c>
      <c r="Z103" s="5"/>
      <c r="AA103" s="5"/>
      <c r="AB103" s="358"/>
      <c r="AC103" s="5"/>
      <c r="AD103" s="5"/>
      <c r="AE103" s="358"/>
      <c r="AF103" s="557" t="str">
        <f t="shared" si="16"/>
        <v/>
      </c>
      <c r="AG103" s="557" t="str">
        <f t="shared" si="17"/>
        <v/>
      </c>
      <c r="AH103" s="588"/>
      <c r="AK103" s="107" t="s">
        <v>172</v>
      </c>
      <c r="AL103" s="387">
        <f t="shared" si="11"/>
        <v>0</v>
      </c>
      <c r="AM103" s="387">
        <f t="shared" si="10"/>
        <v>0</v>
      </c>
    </row>
    <row r="104" spans="1:39" s="391" customFormat="1" ht="39" hidden="1" customHeight="1" outlineLevel="2" collapsed="1">
      <c r="A104" s="721" t="s">
        <v>118</v>
      </c>
      <c r="B104" s="732" t="s">
        <v>119</v>
      </c>
      <c r="C104" s="724" t="s">
        <v>120</v>
      </c>
      <c r="D104" s="725"/>
      <c r="E104" s="725"/>
      <c r="F104" s="726"/>
      <c r="G104" s="5"/>
      <c r="H104" s="388" t="str">
        <f t="shared" si="13"/>
        <v/>
      </c>
      <c r="I104" s="5"/>
      <c r="J104" s="5"/>
      <c r="K104" s="557" t="str">
        <f t="shared" si="14"/>
        <v/>
      </c>
      <c r="L104" s="362"/>
      <c r="M104" s="31" t="b">
        <v>0</v>
      </c>
      <c r="N104" s="389"/>
      <c r="O104" s="402"/>
      <c r="P104" s="363"/>
      <c r="Q104" s="557"/>
      <c r="R104" s="5"/>
      <c r="S104" s="5"/>
      <c r="T104" s="5"/>
      <c r="U104" s="5"/>
      <c r="V104" s="557">
        <f t="shared" si="15"/>
        <v>0</v>
      </c>
      <c r="W104" s="5"/>
      <c r="X104" s="362"/>
      <c r="Y104" s="364"/>
      <c r="Z104" s="557"/>
      <c r="AA104" s="557"/>
      <c r="AB104" s="390"/>
      <c r="AC104" s="557"/>
      <c r="AD104" s="557"/>
      <c r="AE104" s="362"/>
      <c r="AF104" s="557" t="str">
        <f t="shared" si="16"/>
        <v/>
      </c>
      <c r="AG104" s="557" t="str">
        <f t="shared" si="17"/>
        <v/>
      </c>
      <c r="AH104" s="589"/>
      <c r="AK104" s="107" t="s">
        <v>173</v>
      </c>
      <c r="AL104" s="387">
        <f t="shared" si="11"/>
        <v>0</v>
      </c>
      <c r="AM104" s="387">
        <f t="shared" si="10"/>
        <v>0</v>
      </c>
    </row>
    <row r="105" spans="1:39" s="391" customFormat="1" ht="129" hidden="1" customHeight="1" outlineLevel="3">
      <c r="A105" s="722"/>
      <c r="B105" s="733"/>
      <c r="C105" s="756" t="s">
        <v>122</v>
      </c>
      <c r="D105" s="757"/>
      <c r="E105" s="784" t="s">
        <v>277</v>
      </c>
      <c r="F105" s="545" t="s">
        <v>235</v>
      </c>
      <c r="G105" s="5"/>
      <c r="H105" s="388" t="str">
        <f t="shared" si="13"/>
        <v/>
      </c>
      <c r="I105" s="5"/>
      <c r="J105" s="5"/>
      <c r="K105" s="557" t="str">
        <f t="shared" si="14"/>
        <v/>
      </c>
      <c r="L105" s="362"/>
      <c r="M105" s="31" t="b">
        <v>0</v>
      </c>
      <c r="N105" s="389"/>
      <c r="O105" s="402"/>
      <c r="P105" s="363"/>
      <c r="Q105" s="557"/>
      <c r="R105" s="5"/>
      <c r="S105" s="5"/>
      <c r="T105" s="5"/>
      <c r="U105" s="5"/>
      <c r="V105" s="557">
        <f t="shared" si="15"/>
        <v>0</v>
      </c>
      <c r="W105" s="5"/>
      <c r="X105" s="362"/>
      <c r="Y105" s="364"/>
      <c r="Z105" s="557"/>
      <c r="AA105" s="557"/>
      <c r="AB105" s="390"/>
      <c r="AC105" s="557"/>
      <c r="AD105" s="557"/>
      <c r="AE105" s="362"/>
      <c r="AF105" s="557" t="str">
        <f t="shared" si="16"/>
        <v/>
      </c>
      <c r="AG105" s="557" t="str">
        <f t="shared" si="17"/>
        <v/>
      </c>
      <c r="AH105" s="589"/>
      <c r="AK105" s="107" t="s">
        <v>173</v>
      </c>
      <c r="AL105" s="387">
        <f t="shared" si="11"/>
        <v>0</v>
      </c>
      <c r="AM105" s="387">
        <f t="shared" si="10"/>
        <v>0</v>
      </c>
    </row>
    <row r="106" spans="1:39" s="391" customFormat="1" ht="100.25" hidden="1" customHeight="1" outlineLevel="3">
      <c r="A106" s="722"/>
      <c r="B106" s="733"/>
      <c r="C106" s="758"/>
      <c r="D106" s="759"/>
      <c r="E106" s="785"/>
      <c r="F106" s="545" t="s">
        <v>236</v>
      </c>
      <c r="G106" s="5"/>
      <c r="H106" s="388" t="str">
        <f t="shared" si="13"/>
        <v/>
      </c>
      <c r="I106" s="5"/>
      <c r="J106" s="5"/>
      <c r="K106" s="557" t="str">
        <f t="shared" si="14"/>
        <v/>
      </c>
      <c r="L106" s="362"/>
      <c r="M106" s="31" t="b">
        <v>0</v>
      </c>
      <c r="N106" s="389"/>
      <c r="O106" s="402"/>
      <c r="P106" s="363"/>
      <c r="Q106" s="557"/>
      <c r="R106" s="5"/>
      <c r="S106" s="5"/>
      <c r="T106" s="5"/>
      <c r="U106" s="5"/>
      <c r="V106" s="557">
        <f t="shared" si="15"/>
        <v>0</v>
      </c>
      <c r="W106" s="5"/>
      <c r="X106" s="362"/>
      <c r="Y106" s="364"/>
      <c r="Z106" s="557"/>
      <c r="AA106" s="557"/>
      <c r="AB106" s="390"/>
      <c r="AC106" s="557"/>
      <c r="AD106" s="557"/>
      <c r="AE106" s="362"/>
      <c r="AF106" s="557" t="str">
        <f t="shared" si="16"/>
        <v/>
      </c>
      <c r="AG106" s="557" t="str">
        <f t="shared" si="17"/>
        <v/>
      </c>
      <c r="AH106" s="589"/>
      <c r="AK106" s="107" t="s">
        <v>173</v>
      </c>
      <c r="AL106" s="387">
        <f t="shared" si="11"/>
        <v>0</v>
      </c>
      <c r="AM106" s="387">
        <f t="shared" si="10"/>
        <v>0</v>
      </c>
    </row>
    <row r="107" spans="1:39" s="391" customFormat="1" ht="175" hidden="1" customHeight="1" outlineLevel="3">
      <c r="A107" s="722"/>
      <c r="B107" s="733"/>
      <c r="C107" s="758"/>
      <c r="D107" s="759"/>
      <c r="E107" s="785"/>
      <c r="F107" s="545" t="s">
        <v>237</v>
      </c>
      <c r="G107" s="5"/>
      <c r="H107" s="388" t="str">
        <f t="shared" si="13"/>
        <v/>
      </c>
      <c r="I107" s="5"/>
      <c r="J107" s="5"/>
      <c r="K107" s="557" t="str">
        <f t="shared" si="14"/>
        <v/>
      </c>
      <c r="L107" s="362"/>
      <c r="M107" s="31" t="b">
        <v>0</v>
      </c>
      <c r="N107" s="389"/>
      <c r="O107" s="402"/>
      <c r="P107" s="363"/>
      <c r="Q107" s="557"/>
      <c r="R107" s="5"/>
      <c r="S107" s="5"/>
      <c r="T107" s="5"/>
      <c r="U107" s="5"/>
      <c r="V107" s="557">
        <f t="shared" si="15"/>
        <v>0</v>
      </c>
      <c r="W107" s="5"/>
      <c r="X107" s="362"/>
      <c r="Y107" s="364"/>
      <c r="Z107" s="557"/>
      <c r="AA107" s="557"/>
      <c r="AB107" s="390"/>
      <c r="AC107" s="557"/>
      <c r="AD107" s="557"/>
      <c r="AE107" s="362"/>
      <c r="AF107" s="557" t="str">
        <f t="shared" si="16"/>
        <v/>
      </c>
      <c r="AG107" s="557" t="str">
        <f t="shared" si="17"/>
        <v/>
      </c>
      <c r="AH107" s="589"/>
      <c r="AK107" s="107" t="s">
        <v>173</v>
      </c>
      <c r="AL107" s="387">
        <f t="shared" si="11"/>
        <v>0</v>
      </c>
      <c r="AM107" s="387">
        <f t="shared" si="10"/>
        <v>0</v>
      </c>
    </row>
    <row r="108" spans="1:39" s="391" customFormat="1" ht="63" hidden="1" customHeight="1" outlineLevel="3">
      <c r="A108" s="722"/>
      <c r="B108" s="733"/>
      <c r="C108" s="758"/>
      <c r="D108" s="759"/>
      <c r="E108" s="785"/>
      <c r="F108" s="545" t="s">
        <v>124</v>
      </c>
      <c r="G108" s="5"/>
      <c r="H108" s="388" t="str">
        <f t="shared" si="13"/>
        <v/>
      </c>
      <c r="I108" s="5"/>
      <c r="J108" s="5"/>
      <c r="K108" s="557" t="str">
        <f t="shared" si="14"/>
        <v/>
      </c>
      <c r="L108" s="362"/>
      <c r="M108" s="31" t="b">
        <v>0</v>
      </c>
      <c r="N108" s="389"/>
      <c r="O108" s="402"/>
      <c r="P108" s="363"/>
      <c r="Q108" s="557"/>
      <c r="R108" s="5"/>
      <c r="S108" s="5"/>
      <c r="T108" s="5"/>
      <c r="U108" s="5"/>
      <c r="V108" s="557">
        <f t="shared" si="15"/>
        <v>0</v>
      </c>
      <c r="W108" s="5"/>
      <c r="X108" s="362"/>
      <c r="Y108" s="364"/>
      <c r="Z108" s="557"/>
      <c r="AA108" s="557"/>
      <c r="AB108" s="390"/>
      <c r="AC108" s="557"/>
      <c r="AD108" s="557"/>
      <c r="AE108" s="362"/>
      <c r="AF108" s="557" t="str">
        <f t="shared" si="16"/>
        <v/>
      </c>
      <c r="AG108" s="557" t="str">
        <f t="shared" si="17"/>
        <v/>
      </c>
      <c r="AH108" s="589"/>
      <c r="AK108" s="107" t="s">
        <v>173</v>
      </c>
      <c r="AL108" s="387">
        <f t="shared" si="11"/>
        <v>0</v>
      </c>
      <c r="AM108" s="387">
        <f t="shared" si="10"/>
        <v>0</v>
      </c>
    </row>
    <row r="109" spans="1:39" s="391" customFormat="1" ht="63" hidden="1" customHeight="1" outlineLevel="3">
      <c r="A109" s="722"/>
      <c r="B109" s="733"/>
      <c r="C109" s="758"/>
      <c r="D109" s="759"/>
      <c r="E109" s="785"/>
      <c r="F109" s="545" t="s">
        <v>125</v>
      </c>
      <c r="G109" s="5"/>
      <c r="H109" s="388" t="str">
        <f t="shared" si="13"/>
        <v/>
      </c>
      <c r="I109" s="5"/>
      <c r="J109" s="5"/>
      <c r="K109" s="557" t="str">
        <f t="shared" si="14"/>
        <v/>
      </c>
      <c r="L109" s="362"/>
      <c r="M109" s="31" t="b">
        <v>0</v>
      </c>
      <c r="N109" s="389"/>
      <c r="O109" s="402"/>
      <c r="P109" s="363"/>
      <c r="Q109" s="557"/>
      <c r="R109" s="5"/>
      <c r="S109" s="5"/>
      <c r="T109" s="5"/>
      <c r="U109" s="5"/>
      <c r="V109" s="557">
        <f t="shared" si="15"/>
        <v>0</v>
      </c>
      <c r="W109" s="5"/>
      <c r="X109" s="362"/>
      <c r="Y109" s="364"/>
      <c r="Z109" s="557"/>
      <c r="AA109" s="557"/>
      <c r="AB109" s="390"/>
      <c r="AC109" s="557"/>
      <c r="AD109" s="557"/>
      <c r="AE109" s="362"/>
      <c r="AF109" s="557" t="str">
        <f t="shared" si="16"/>
        <v/>
      </c>
      <c r="AG109" s="557" t="str">
        <f t="shared" si="17"/>
        <v/>
      </c>
      <c r="AH109" s="589"/>
      <c r="AK109" s="107" t="s">
        <v>173</v>
      </c>
      <c r="AL109" s="387">
        <f t="shared" si="11"/>
        <v>0</v>
      </c>
      <c r="AM109" s="387">
        <f t="shared" si="10"/>
        <v>0</v>
      </c>
    </row>
    <row r="110" spans="1:39" s="391" customFormat="1" ht="39" hidden="1" customHeight="1" outlineLevel="3">
      <c r="A110" s="723"/>
      <c r="B110" s="733"/>
      <c r="C110" s="760"/>
      <c r="D110" s="761"/>
      <c r="E110" s="786"/>
      <c r="F110" s="545" t="s">
        <v>238</v>
      </c>
      <c r="G110" s="5"/>
      <c r="H110" s="388" t="str">
        <f t="shared" si="13"/>
        <v/>
      </c>
      <c r="I110" s="5"/>
      <c r="J110" s="5"/>
      <c r="K110" s="557" t="str">
        <f t="shared" si="14"/>
        <v/>
      </c>
      <c r="L110" s="362"/>
      <c r="M110" s="31" t="b">
        <v>0</v>
      </c>
      <c r="N110" s="389"/>
      <c r="O110" s="402"/>
      <c r="P110" s="363"/>
      <c r="Q110" s="557"/>
      <c r="R110" s="5"/>
      <c r="S110" s="5"/>
      <c r="T110" s="5"/>
      <c r="U110" s="5"/>
      <c r="V110" s="557">
        <f t="shared" si="15"/>
        <v>0</v>
      </c>
      <c r="W110" s="5"/>
      <c r="X110" s="362"/>
      <c r="Y110" s="364"/>
      <c r="Z110" s="557"/>
      <c r="AA110" s="557"/>
      <c r="AB110" s="390"/>
      <c r="AC110" s="557"/>
      <c r="AD110" s="557"/>
      <c r="AE110" s="362"/>
      <c r="AF110" s="557" t="str">
        <f t="shared" si="16"/>
        <v/>
      </c>
      <c r="AG110" s="557" t="str">
        <f t="shared" si="17"/>
        <v/>
      </c>
      <c r="AH110" s="589"/>
      <c r="AK110" s="107" t="s">
        <v>173</v>
      </c>
      <c r="AL110" s="387">
        <f t="shared" si="11"/>
        <v>0</v>
      </c>
      <c r="AM110" s="387">
        <f t="shared" si="10"/>
        <v>0</v>
      </c>
    </row>
    <row r="111" spans="1:39" s="391" customFormat="1" ht="39" hidden="1" customHeight="1" outlineLevel="3">
      <c r="A111" s="721" t="s">
        <v>174</v>
      </c>
      <c r="B111" s="733"/>
      <c r="C111" s="810" t="s">
        <v>175</v>
      </c>
      <c r="D111" s="737" t="s">
        <v>176</v>
      </c>
      <c r="E111" s="738"/>
      <c r="F111" s="739"/>
      <c r="G111" s="539"/>
      <c r="H111" s="388" t="str">
        <f t="shared" si="13"/>
        <v/>
      </c>
      <c r="I111" s="539"/>
      <c r="J111" s="539"/>
      <c r="K111" s="540" t="str">
        <f t="shared" si="14"/>
        <v/>
      </c>
      <c r="L111" s="362"/>
      <c r="M111" s="31" t="b">
        <v>0</v>
      </c>
      <c r="N111" s="401" t="b">
        <v>0</v>
      </c>
      <c r="O111" s="402"/>
      <c r="P111" s="363"/>
      <c r="Q111" s="540"/>
      <c r="R111" s="5"/>
      <c r="S111" s="5"/>
      <c r="T111" s="5"/>
      <c r="U111" s="5"/>
      <c r="V111" s="540">
        <f t="shared" si="15"/>
        <v>0</v>
      </c>
      <c r="W111" s="5"/>
      <c r="X111" s="362"/>
      <c r="Y111" s="364" t="s">
        <v>177</v>
      </c>
      <c r="Z111" s="5"/>
      <c r="AA111" s="5"/>
      <c r="AB111" s="392"/>
      <c r="AC111" s="5"/>
      <c r="AD111" s="5"/>
      <c r="AE111" s="362"/>
      <c r="AF111" s="557" t="str">
        <f t="shared" si="16"/>
        <v/>
      </c>
      <c r="AG111" s="557" t="str">
        <f t="shared" si="17"/>
        <v/>
      </c>
      <c r="AH111" s="589"/>
      <c r="AK111" s="107" t="s">
        <v>178</v>
      </c>
      <c r="AL111" s="387">
        <f t="shared" si="11"/>
        <v>0</v>
      </c>
      <c r="AM111" s="387">
        <f t="shared" si="10"/>
        <v>0</v>
      </c>
    </row>
    <row r="112" spans="1:39" s="391" customFormat="1" ht="83" hidden="1" customHeight="1" outlineLevel="3">
      <c r="A112" s="722"/>
      <c r="B112" s="733"/>
      <c r="C112" s="826"/>
      <c r="D112" s="734" t="s">
        <v>179</v>
      </c>
      <c r="E112" s="784" t="s">
        <v>277</v>
      </c>
      <c r="F112" s="545" t="s">
        <v>235</v>
      </c>
      <c r="G112" s="539"/>
      <c r="H112" s="388" t="str">
        <f t="shared" si="13"/>
        <v/>
      </c>
      <c r="I112" s="539"/>
      <c r="J112" s="539"/>
      <c r="K112" s="540" t="str">
        <f t="shared" si="14"/>
        <v/>
      </c>
      <c r="L112" s="362"/>
      <c r="M112" s="31" t="b">
        <v>0</v>
      </c>
      <c r="N112" s="401" t="b">
        <v>0</v>
      </c>
      <c r="O112" s="402"/>
      <c r="P112" s="363"/>
      <c r="Q112" s="540"/>
      <c r="R112" s="5"/>
      <c r="S112" s="5"/>
      <c r="T112" s="5"/>
      <c r="U112" s="5"/>
      <c r="V112" s="540">
        <f t="shared" si="15"/>
        <v>0</v>
      </c>
      <c r="W112" s="5"/>
      <c r="X112" s="362"/>
      <c r="Y112" s="364" t="s">
        <v>177</v>
      </c>
      <c r="Z112" s="5"/>
      <c r="AA112" s="5"/>
      <c r="AB112" s="392"/>
      <c r="AC112" s="5"/>
      <c r="AD112" s="5"/>
      <c r="AE112" s="362"/>
      <c r="AF112" s="557" t="str">
        <f t="shared" si="16"/>
        <v/>
      </c>
      <c r="AG112" s="557" t="str">
        <f t="shared" si="17"/>
        <v/>
      </c>
      <c r="AH112" s="589"/>
      <c r="AK112" s="107" t="s">
        <v>178</v>
      </c>
      <c r="AL112" s="387">
        <f t="shared" si="11"/>
        <v>0</v>
      </c>
      <c r="AM112" s="387">
        <f t="shared" si="10"/>
        <v>0</v>
      </c>
    </row>
    <row r="113" spans="1:39" s="391" customFormat="1" ht="83" hidden="1" customHeight="1" outlineLevel="3">
      <c r="A113" s="722"/>
      <c r="B113" s="733"/>
      <c r="C113" s="826"/>
      <c r="D113" s="735"/>
      <c r="E113" s="785"/>
      <c r="F113" s="545" t="s">
        <v>236</v>
      </c>
      <c r="G113" s="539"/>
      <c r="H113" s="388" t="str">
        <f t="shared" si="13"/>
        <v/>
      </c>
      <c r="I113" s="539"/>
      <c r="J113" s="539"/>
      <c r="K113" s="540" t="str">
        <f t="shared" si="14"/>
        <v/>
      </c>
      <c r="L113" s="362"/>
      <c r="M113" s="544" t="b">
        <v>0</v>
      </c>
      <c r="N113" s="401" t="b">
        <v>0</v>
      </c>
      <c r="O113" s="402"/>
      <c r="P113" s="363"/>
      <c r="Q113" s="540"/>
      <c r="R113" s="5"/>
      <c r="S113" s="5"/>
      <c r="T113" s="5"/>
      <c r="U113" s="5"/>
      <c r="V113" s="540">
        <f t="shared" si="15"/>
        <v>0</v>
      </c>
      <c r="W113" s="5"/>
      <c r="X113" s="362"/>
      <c r="Y113" s="364" t="s">
        <v>177</v>
      </c>
      <c r="Z113" s="5"/>
      <c r="AA113" s="5"/>
      <c r="AB113" s="392"/>
      <c r="AC113" s="5"/>
      <c r="AD113" s="5"/>
      <c r="AE113" s="363"/>
      <c r="AF113" s="557" t="str">
        <f t="shared" si="16"/>
        <v/>
      </c>
      <c r="AG113" s="557" t="str">
        <f t="shared" si="17"/>
        <v/>
      </c>
      <c r="AH113" s="589"/>
      <c r="AK113" s="107" t="s">
        <v>178</v>
      </c>
      <c r="AL113" s="387">
        <f t="shared" si="11"/>
        <v>0</v>
      </c>
      <c r="AM113" s="387">
        <f t="shared" si="10"/>
        <v>0</v>
      </c>
    </row>
    <row r="114" spans="1:39" s="391" customFormat="1" ht="134" hidden="1" customHeight="1" outlineLevel="3">
      <c r="A114" s="722"/>
      <c r="B114" s="733"/>
      <c r="C114" s="826"/>
      <c r="D114" s="735"/>
      <c r="E114" s="785"/>
      <c r="F114" s="545" t="s">
        <v>237</v>
      </c>
      <c r="G114" s="539"/>
      <c r="H114" s="388" t="str">
        <f t="shared" si="13"/>
        <v/>
      </c>
      <c r="I114" s="539"/>
      <c r="J114" s="539"/>
      <c r="K114" s="540" t="str">
        <f t="shared" si="14"/>
        <v/>
      </c>
      <c r="L114" s="362"/>
      <c r="M114" s="544" t="b">
        <v>0</v>
      </c>
      <c r="N114" s="401" t="b">
        <v>0</v>
      </c>
      <c r="O114" s="402"/>
      <c r="P114" s="363"/>
      <c r="Q114" s="540"/>
      <c r="R114" s="5"/>
      <c r="S114" s="5"/>
      <c r="T114" s="5"/>
      <c r="U114" s="5"/>
      <c r="V114" s="540">
        <f t="shared" si="15"/>
        <v>0</v>
      </c>
      <c r="W114" s="5"/>
      <c r="X114" s="362"/>
      <c r="Y114" s="364" t="s">
        <v>177</v>
      </c>
      <c r="Z114" s="5"/>
      <c r="AA114" s="5"/>
      <c r="AB114" s="392"/>
      <c r="AC114" s="5"/>
      <c r="AD114" s="5"/>
      <c r="AE114" s="363"/>
      <c r="AF114" s="557" t="str">
        <f t="shared" si="16"/>
        <v/>
      </c>
      <c r="AG114" s="557" t="str">
        <f t="shared" si="17"/>
        <v/>
      </c>
      <c r="AH114" s="589"/>
      <c r="AK114" s="107" t="s">
        <v>178</v>
      </c>
      <c r="AL114" s="387">
        <f t="shared" si="11"/>
        <v>0</v>
      </c>
      <c r="AM114" s="387">
        <f t="shared" si="10"/>
        <v>0</v>
      </c>
    </row>
    <row r="115" spans="1:39" s="391" customFormat="1" ht="83" hidden="1" customHeight="1" outlineLevel="3">
      <c r="A115" s="722"/>
      <c r="B115" s="733"/>
      <c r="C115" s="826"/>
      <c r="D115" s="736"/>
      <c r="E115" s="786"/>
      <c r="F115" s="545" t="s">
        <v>125</v>
      </c>
      <c r="G115" s="539"/>
      <c r="H115" s="388" t="str">
        <f t="shared" si="13"/>
        <v/>
      </c>
      <c r="I115" s="539"/>
      <c r="J115" s="539"/>
      <c r="K115" s="557" t="str">
        <f t="shared" si="14"/>
        <v/>
      </c>
      <c r="L115" s="362"/>
      <c r="M115" s="544" t="b">
        <v>0</v>
      </c>
      <c r="N115" s="401" t="b">
        <v>0</v>
      </c>
      <c r="O115" s="402"/>
      <c r="P115" s="363"/>
      <c r="Q115" s="557"/>
      <c r="R115" s="5"/>
      <c r="S115" s="5"/>
      <c r="T115" s="5"/>
      <c r="U115" s="5"/>
      <c r="V115" s="557">
        <f t="shared" si="15"/>
        <v>0</v>
      </c>
      <c r="W115" s="5"/>
      <c r="X115" s="362"/>
      <c r="Y115" s="364" t="s">
        <v>177</v>
      </c>
      <c r="Z115" s="5"/>
      <c r="AA115" s="5"/>
      <c r="AB115" s="392"/>
      <c r="AC115" s="5"/>
      <c r="AD115" s="5"/>
      <c r="AE115" s="363"/>
      <c r="AF115" s="557" t="str">
        <f t="shared" si="16"/>
        <v/>
      </c>
      <c r="AG115" s="557" t="str">
        <f t="shared" si="17"/>
        <v/>
      </c>
      <c r="AH115" s="589"/>
      <c r="AK115" s="107" t="s">
        <v>178</v>
      </c>
      <c r="AL115" s="387">
        <f t="shared" si="11"/>
        <v>0</v>
      </c>
      <c r="AM115" s="387">
        <f t="shared" si="10"/>
        <v>0</v>
      </c>
    </row>
    <row r="116" spans="1:39" s="391" customFormat="1" ht="39" hidden="1" customHeight="1" outlineLevel="3">
      <c r="A116" s="722"/>
      <c r="B116" s="733"/>
      <c r="C116" s="826"/>
      <c r="D116" s="740" t="s">
        <v>180</v>
      </c>
      <c r="E116" s="741"/>
      <c r="F116" s="742"/>
      <c r="G116" s="710"/>
      <c r="H116" s="838" t="str">
        <f t="shared" si="13"/>
        <v/>
      </c>
      <c r="I116" s="710"/>
      <c r="J116" s="710"/>
      <c r="K116" s="712" t="str">
        <f>IF(SUM(I116:J117)=0,"",SUM(I116:J117))</f>
        <v/>
      </c>
      <c r="L116" s="362"/>
      <c r="M116" s="808" t="b">
        <v>0</v>
      </c>
      <c r="N116" s="401" t="b">
        <v>0</v>
      </c>
      <c r="O116" s="5"/>
      <c r="P116" s="363"/>
      <c r="Q116" s="712"/>
      <c r="R116" s="710"/>
      <c r="S116" s="710"/>
      <c r="T116" s="710"/>
      <c r="U116" s="710"/>
      <c r="V116" s="712">
        <f t="shared" si="15"/>
        <v>0</v>
      </c>
      <c r="W116" s="710"/>
      <c r="X116" s="362"/>
      <c r="Y116" s="364" t="s">
        <v>181</v>
      </c>
      <c r="Z116" s="5"/>
      <c r="AA116" s="5"/>
      <c r="AB116" s="392"/>
      <c r="AC116" s="710"/>
      <c r="AD116" s="710"/>
      <c r="AE116" s="363"/>
      <c r="AF116" s="712" t="str">
        <f t="shared" ref="AF116:AF134" si="18">IF(G116="","",IF(AND(V116="",Z116="",Z117="",AC116=""),"Missing Info",IF(G116-V116-Z116-Z117+AC116=0,"OK","Review financial exposure")))</f>
        <v/>
      </c>
      <c r="AG116" s="712" t="str">
        <f>IF(K116="","",IF(AND(W116="",AA116="",AA117="",AD116=""),"Missing Info",IF(K116-W116-AA116-AA117+AD116=0,"OK","Review emissions")))</f>
        <v/>
      </c>
      <c r="AH116" s="589"/>
      <c r="AK116" s="107" t="s">
        <v>182</v>
      </c>
      <c r="AL116" s="387">
        <f t="shared" si="11"/>
        <v>0</v>
      </c>
      <c r="AM116" s="387">
        <f t="shared" si="10"/>
        <v>0</v>
      </c>
    </row>
    <row r="117" spans="1:39" s="391" customFormat="1" ht="39" hidden="1" customHeight="1" outlineLevel="3">
      <c r="A117" s="722"/>
      <c r="B117" s="733"/>
      <c r="C117" s="826"/>
      <c r="D117" s="743"/>
      <c r="E117" s="744"/>
      <c r="F117" s="745"/>
      <c r="G117" s="711"/>
      <c r="H117" s="839"/>
      <c r="I117" s="711"/>
      <c r="J117" s="711"/>
      <c r="K117" s="713"/>
      <c r="L117" s="362"/>
      <c r="M117" s="809"/>
      <c r="N117" s="401" t="b">
        <v>0</v>
      </c>
      <c r="O117" s="5"/>
      <c r="P117" s="363"/>
      <c r="Q117" s="713"/>
      <c r="R117" s="711"/>
      <c r="S117" s="711"/>
      <c r="T117" s="711"/>
      <c r="U117" s="711"/>
      <c r="V117" s="713">
        <f t="shared" si="15"/>
        <v>0</v>
      </c>
      <c r="W117" s="711"/>
      <c r="X117" s="362"/>
      <c r="Y117" s="364" t="s">
        <v>183</v>
      </c>
      <c r="Z117" s="5"/>
      <c r="AA117" s="5"/>
      <c r="AB117" s="392"/>
      <c r="AC117" s="711"/>
      <c r="AD117" s="711"/>
      <c r="AE117" s="363"/>
      <c r="AF117" s="713"/>
      <c r="AG117" s="713"/>
      <c r="AH117" s="589"/>
      <c r="AK117" s="107" t="s">
        <v>182</v>
      </c>
      <c r="AL117" s="387">
        <f t="shared" si="11"/>
        <v>0</v>
      </c>
      <c r="AM117" s="387">
        <f t="shared" si="10"/>
        <v>0</v>
      </c>
    </row>
    <row r="118" spans="1:39" s="391" customFormat="1" ht="39" hidden="1" customHeight="1" outlineLevel="3">
      <c r="A118" s="722"/>
      <c r="B118" s="733"/>
      <c r="C118" s="826"/>
      <c r="D118" s="734" t="s">
        <v>184</v>
      </c>
      <c r="E118" s="784" t="s">
        <v>277</v>
      </c>
      <c r="F118" s="784" t="s">
        <v>235</v>
      </c>
      <c r="G118" s="710"/>
      <c r="H118" s="838" t="str">
        <f>IF(G118="","",G118/$G$253)</f>
        <v/>
      </c>
      <c r="I118" s="710"/>
      <c r="J118" s="710"/>
      <c r="K118" s="712" t="str">
        <f>IF(SUM(I118:J119)=0,"",SUM(I118:J119))</f>
        <v/>
      </c>
      <c r="L118" s="362"/>
      <c r="M118" s="808" t="b">
        <v>0</v>
      </c>
      <c r="N118" s="401" t="b">
        <v>0</v>
      </c>
      <c r="O118" s="5"/>
      <c r="P118" s="363"/>
      <c r="Q118" s="712"/>
      <c r="R118" s="710"/>
      <c r="S118" s="710"/>
      <c r="T118" s="710"/>
      <c r="U118" s="710"/>
      <c r="V118" s="712">
        <f t="shared" si="15"/>
        <v>0</v>
      </c>
      <c r="W118" s="710"/>
      <c r="X118" s="362"/>
      <c r="Y118" s="364" t="s">
        <v>181</v>
      </c>
      <c r="Z118" s="5"/>
      <c r="AA118" s="5"/>
      <c r="AB118" s="392"/>
      <c r="AC118" s="710"/>
      <c r="AD118" s="710"/>
      <c r="AE118" s="363"/>
      <c r="AF118" s="712" t="str">
        <f t="shared" si="18"/>
        <v/>
      </c>
      <c r="AG118" s="712" t="str">
        <f>IF(K118="","",IF(AND(W118="",AA118="",AA119="",AD118=""),"Missing Info",IF(K118-W118-AA118-AA119+AD118=0,"OK","Review emissions")))</f>
        <v/>
      </c>
      <c r="AH118" s="589"/>
      <c r="AK118" s="107" t="s">
        <v>182</v>
      </c>
      <c r="AL118" s="387">
        <f t="shared" si="11"/>
        <v>0</v>
      </c>
      <c r="AM118" s="387">
        <f t="shared" si="10"/>
        <v>0</v>
      </c>
    </row>
    <row r="119" spans="1:39" s="391" customFormat="1" ht="39" hidden="1" customHeight="1" outlineLevel="3">
      <c r="A119" s="722"/>
      <c r="B119" s="733"/>
      <c r="C119" s="826"/>
      <c r="D119" s="735"/>
      <c r="E119" s="785"/>
      <c r="F119" s="786"/>
      <c r="G119" s="711"/>
      <c r="H119" s="839"/>
      <c r="I119" s="711"/>
      <c r="J119" s="711"/>
      <c r="K119" s="713"/>
      <c r="L119" s="362"/>
      <c r="M119" s="809"/>
      <c r="N119" s="401" t="b">
        <v>0</v>
      </c>
      <c r="O119" s="5"/>
      <c r="P119" s="363"/>
      <c r="Q119" s="713"/>
      <c r="R119" s="711"/>
      <c r="S119" s="711"/>
      <c r="T119" s="711"/>
      <c r="U119" s="711"/>
      <c r="V119" s="713">
        <f t="shared" si="15"/>
        <v>0</v>
      </c>
      <c r="W119" s="711"/>
      <c r="X119" s="362"/>
      <c r="Y119" s="364" t="s">
        <v>183</v>
      </c>
      <c r="Z119" s="5"/>
      <c r="AA119" s="5"/>
      <c r="AB119" s="392"/>
      <c r="AC119" s="711"/>
      <c r="AD119" s="711"/>
      <c r="AE119" s="363"/>
      <c r="AF119" s="713"/>
      <c r="AG119" s="713"/>
      <c r="AH119" s="589"/>
      <c r="AK119" s="107" t="s">
        <v>182</v>
      </c>
      <c r="AL119" s="387">
        <f t="shared" si="11"/>
        <v>0</v>
      </c>
      <c r="AM119" s="387">
        <f t="shared" si="10"/>
        <v>0</v>
      </c>
    </row>
    <row r="120" spans="1:39" s="391" customFormat="1" ht="39" hidden="1" customHeight="1" outlineLevel="3">
      <c r="A120" s="722"/>
      <c r="B120" s="733"/>
      <c r="C120" s="826"/>
      <c r="D120" s="735"/>
      <c r="E120" s="785"/>
      <c r="F120" s="784" t="s">
        <v>236</v>
      </c>
      <c r="G120" s="710"/>
      <c r="H120" s="838" t="str">
        <f>IF(G120="","",G120/$G$253)</f>
        <v/>
      </c>
      <c r="I120" s="710"/>
      <c r="J120" s="710"/>
      <c r="K120" s="712" t="str">
        <f>IF(SUM(I120:J121)=0,"",SUM(I120:J121))</f>
        <v/>
      </c>
      <c r="L120" s="362"/>
      <c r="M120" s="808" t="b">
        <v>0</v>
      </c>
      <c r="N120" s="401" t="b">
        <v>0</v>
      </c>
      <c r="O120" s="5"/>
      <c r="P120" s="363"/>
      <c r="Q120" s="393"/>
      <c r="R120" s="710"/>
      <c r="S120" s="710"/>
      <c r="T120" s="710"/>
      <c r="U120" s="710"/>
      <c r="V120" s="712">
        <f t="shared" si="15"/>
        <v>0</v>
      </c>
      <c r="W120" s="710"/>
      <c r="X120" s="362"/>
      <c r="Y120" s="364" t="s">
        <v>181</v>
      </c>
      <c r="Z120" s="5"/>
      <c r="AA120" s="5"/>
      <c r="AB120" s="392"/>
      <c r="AC120" s="710"/>
      <c r="AD120" s="710"/>
      <c r="AE120" s="363"/>
      <c r="AF120" s="712" t="str">
        <f t="shared" si="18"/>
        <v/>
      </c>
      <c r="AG120" s="712" t="str">
        <f>IF(K120="","",IF(AND(W120="",AA120="",AA121="",AD120=""),"Missing Info",IF(K120-W120-AA120-AA121+AD120=0,"OK","Review emissions")))</f>
        <v/>
      </c>
      <c r="AH120" s="589"/>
      <c r="AK120" s="107" t="s">
        <v>182</v>
      </c>
      <c r="AL120" s="387">
        <f t="shared" si="11"/>
        <v>0</v>
      </c>
      <c r="AM120" s="387">
        <f t="shared" si="10"/>
        <v>0</v>
      </c>
    </row>
    <row r="121" spans="1:39" s="391" customFormat="1" ht="39" hidden="1" customHeight="1" outlineLevel="3">
      <c r="A121" s="722"/>
      <c r="B121" s="733"/>
      <c r="C121" s="826"/>
      <c r="D121" s="735"/>
      <c r="E121" s="785"/>
      <c r="F121" s="786"/>
      <c r="G121" s="711"/>
      <c r="H121" s="839"/>
      <c r="I121" s="711"/>
      <c r="J121" s="711"/>
      <c r="K121" s="713"/>
      <c r="L121" s="362"/>
      <c r="M121" s="809"/>
      <c r="N121" s="401" t="b">
        <v>0</v>
      </c>
      <c r="O121" s="5"/>
      <c r="P121" s="363"/>
      <c r="Q121" s="393"/>
      <c r="R121" s="711"/>
      <c r="S121" s="711"/>
      <c r="T121" s="711"/>
      <c r="U121" s="711"/>
      <c r="V121" s="713">
        <f t="shared" si="15"/>
        <v>0</v>
      </c>
      <c r="W121" s="711"/>
      <c r="X121" s="362"/>
      <c r="Y121" s="364" t="s">
        <v>183</v>
      </c>
      <c r="Z121" s="5"/>
      <c r="AA121" s="5"/>
      <c r="AB121" s="392"/>
      <c r="AC121" s="711"/>
      <c r="AD121" s="711"/>
      <c r="AE121" s="363"/>
      <c r="AF121" s="713"/>
      <c r="AG121" s="713"/>
      <c r="AH121" s="589"/>
      <c r="AK121" s="107" t="s">
        <v>182</v>
      </c>
      <c r="AL121" s="387">
        <f t="shared" si="11"/>
        <v>0</v>
      </c>
      <c r="AM121" s="387">
        <f t="shared" si="10"/>
        <v>0</v>
      </c>
    </row>
    <row r="122" spans="1:39" s="391" customFormat="1" ht="68" hidden="1" customHeight="1" outlineLevel="3">
      <c r="A122" s="722"/>
      <c r="B122" s="733"/>
      <c r="C122" s="826"/>
      <c r="D122" s="735"/>
      <c r="E122" s="785"/>
      <c r="F122" s="784" t="s">
        <v>237</v>
      </c>
      <c r="G122" s="710"/>
      <c r="H122" s="838" t="str">
        <f>IF(G122="","",G122/$G$253)</f>
        <v/>
      </c>
      <c r="I122" s="710"/>
      <c r="J122" s="710"/>
      <c r="K122" s="712" t="str">
        <f>IF(SUM(I122:J123)=0,"",SUM(I122:J123))</f>
        <v/>
      </c>
      <c r="L122" s="362"/>
      <c r="M122" s="808" t="b">
        <v>0</v>
      </c>
      <c r="N122" s="401" t="b">
        <v>0</v>
      </c>
      <c r="O122" s="5"/>
      <c r="P122" s="363"/>
      <c r="Q122" s="393"/>
      <c r="R122" s="710"/>
      <c r="S122" s="710"/>
      <c r="T122" s="710"/>
      <c r="U122" s="710"/>
      <c r="V122" s="712">
        <f t="shared" si="15"/>
        <v>0</v>
      </c>
      <c r="W122" s="710"/>
      <c r="X122" s="362"/>
      <c r="Y122" s="364" t="s">
        <v>181</v>
      </c>
      <c r="Z122" s="5"/>
      <c r="AA122" s="5"/>
      <c r="AB122" s="392"/>
      <c r="AC122" s="710"/>
      <c r="AD122" s="710"/>
      <c r="AE122" s="363"/>
      <c r="AF122" s="712" t="str">
        <f t="shared" si="18"/>
        <v/>
      </c>
      <c r="AG122" s="712" t="str">
        <f>IF(K122="","",IF(AND(W122="",AA122="",AA123="",AD122=""),"Missing Info",IF(K122-W122-AA122-AA123+AD122=0,"OK","Review emissions")))</f>
        <v/>
      </c>
      <c r="AH122" s="589"/>
      <c r="AK122" s="107" t="s">
        <v>182</v>
      </c>
      <c r="AL122" s="387">
        <f t="shared" si="11"/>
        <v>0</v>
      </c>
      <c r="AM122" s="387">
        <f t="shared" si="10"/>
        <v>0</v>
      </c>
    </row>
    <row r="123" spans="1:39" s="391" customFormat="1" ht="68" hidden="1" customHeight="1" outlineLevel="3">
      <c r="A123" s="722"/>
      <c r="B123" s="733"/>
      <c r="C123" s="826"/>
      <c r="D123" s="735"/>
      <c r="E123" s="785"/>
      <c r="F123" s="786"/>
      <c r="G123" s="711"/>
      <c r="H123" s="839"/>
      <c r="I123" s="711"/>
      <c r="J123" s="711"/>
      <c r="K123" s="713"/>
      <c r="L123" s="362"/>
      <c r="M123" s="809"/>
      <c r="N123" s="401" t="b">
        <v>0</v>
      </c>
      <c r="O123" s="5"/>
      <c r="P123" s="363"/>
      <c r="Q123" s="393"/>
      <c r="R123" s="711"/>
      <c r="S123" s="711"/>
      <c r="T123" s="711"/>
      <c r="U123" s="711"/>
      <c r="V123" s="713">
        <f t="shared" si="15"/>
        <v>0</v>
      </c>
      <c r="W123" s="711"/>
      <c r="X123" s="362"/>
      <c r="Y123" s="364" t="s">
        <v>183</v>
      </c>
      <c r="Z123" s="5"/>
      <c r="AA123" s="5"/>
      <c r="AB123" s="392"/>
      <c r="AC123" s="711"/>
      <c r="AD123" s="711"/>
      <c r="AE123" s="363"/>
      <c r="AF123" s="713"/>
      <c r="AG123" s="713"/>
      <c r="AH123" s="589"/>
      <c r="AK123" s="107" t="s">
        <v>182</v>
      </c>
      <c r="AL123" s="387">
        <f t="shared" si="11"/>
        <v>0</v>
      </c>
      <c r="AM123" s="387">
        <f t="shared" si="10"/>
        <v>0</v>
      </c>
    </row>
    <row r="124" spans="1:39" s="391" customFormat="1" ht="39" hidden="1" customHeight="1" outlineLevel="3">
      <c r="A124" s="722"/>
      <c r="B124" s="733"/>
      <c r="C124" s="826"/>
      <c r="D124" s="735"/>
      <c r="E124" s="785"/>
      <c r="F124" s="784" t="s">
        <v>125</v>
      </c>
      <c r="G124" s="710"/>
      <c r="H124" s="838" t="str">
        <f>IF(G124="","",G124/$G$253)</f>
        <v/>
      </c>
      <c r="I124" s="710"/>
      <c r="J124" s="710"/>
      <c r="K124" s="712" t="str">
        <f>IF(SUM(I124:J125)=0,"",SUM(I124:J125))</f>
        <v/>
      </c>
      <c r="L124" s="362"/>
      <c r="M124" s="808" t="b">
        <v>0</v>
      </c>
      <c r="N124" s="401" t="b">
        <v>0</v>
      </c>
      <c r="O124" s="5"/>
      <c r="P124" s="363"/>
      <c r="Q124" s="712"/>
      <c r="R124" s="710"/>
      <c r="S124" s="710"/>
      <c r="T124" s="710"/>
      <c r="U124" s="710"/>
      <c r="V124" s="712">
        <f t="shared" si="15"/>
        <v>0</v>
      </c>
      <c r="W124" s="710"/>
      <c r="X124" s="362"/>
      <c r="Y124" s="364" t="s">
        <v>181</v>
      </c>
      <c r="Z124" s="5"/>
      <c r="AA124" s="5"/>
      <c r="AB124" s="392"/>
      <c r="AC124" s="710"/>
      <c r="AD124" s="710"/>
      <c r="AE124" s="363"/>
      <c r="AF124" s="712" t="str">
        <f t="shared" si="18"/>
        <v/>
      </c>
      <c r="AG124" s="712" t="str">
        <f>IF(K124="","",IF(AND(W124="",AA124="",AA125="",AD124=""),"Missing Info",IF(K124-W124-AA124-AA125+AD124=0,"OK","Review emissions")))</f>
        <v/>
      </c>
      <c r="AH124" s="589"/>
      <c r="AK124" s="107" t="s">
        <v>182</v>
      </c>
      <c r="AL124" s="387">
        <f t="shared" si="11"/>
        <v>0</v>
      </c>
      <c r="AM124" s="387">
        <f t="shared" si="10"/>
        <v>0</v>
      </c>
    </row>
    <row r="125" spans="1:39" s="391" customFormat="1" ht="39" hidden="1" customHeight="1" outlineLevel="3">
      <c r="A125" s="722"/>
      <c r="B125" s="733"/>
      <c r="C125" s="826"/>
      <c r="D125" s="736"/>
      <c r="E125" s="786"/>
      <c r="F125" s="786"/>
      <c r="G125" s="711"/>
      <c r="H125" s="839"/>
      <c r="I125" s="711"/>
      <c r="J125" s="711"/>
      <c r="K125" s="713"/>
      <c r="L125" s="362"/>
      <c r="M125" s="809"/>
      <c r="N125" s="401" t="b">
        <v>0</v>
      </c>
      <c r="O125" s="5"/>
      <c r="P125" s="363"/>
      <c r="Q125" s="713"/>
      <c r="R125" s="711"/>
      <c r="S125" s="711"/>
      <c r="T125" s="711"/>
      <c r="U125" s="711"/>
      <c r="V125" s="713">
        <f t="shared" si="15"/>
        <v>0</v>
      </c>
      <c r="W125" s="711"/>
      <c r="X125" s="362"/>
      <c r="Y125" s="364" t="s">
        <v>183</v>
      </c>
      <c r="Z125" s="5"/>
      <c r="AA125" s="5"/>
      <c r="AB125" s="392"/>
      <c r="AC125" s="711"/>
      <c r="AD125" s="711"/>
      <c r="AE125" s="363"/>
      <c r="AF125" s="713"/>
      <c r="AG125" s="713"/>
      <c r="AH125" s="589"/>
      <c r="AK125" s="107" t="s">
        <v>182</v>
      </c>
      <c r="AL125" s="387">
        <f t="shared" si="11"/>
        <v>0</v>
      </c>
      <c r="AM125" s="387">
        <f t="shared" si="10"/>
        <v>0</v>
      </c>
    </row>
    <row r="126" spans="1:39" s="391" customFormat="1" ht="39" hidden="1" customHeight="1" outlineLevel="3">
      <c r="A126" s="722"/>
      <c r="B126" s="733"/>
      <c r="C126" s="826"/>
      <c r="D126" s="740" t="s">
        <v>185</v>
      </c>
      <c r="E126" s="741"/>
      <c r="F126" s="742"/>
      <c r="G126" s="710"/>
      <c r="H126" s="838" t="str">
        <f>IF(G126="","",G126/$G$253)</f>
        <v/>
      </c>
      <c r="I126" s="710"/>
      <c r="J126" s="710"/>
      <c r="K126" s="712" t="str">
        <f>IF(SUM(I126:J127)=0,"",SUM(I126:J127))</f>
        <v/>
      </c>
      <c r="L126" s="362"/>
      <c r="M126" s="808" t="b">
        <v>0</v>
      </c>
      <c r="N126" s="401" t="b">
        <v>0</v>
      </c>
      <c r="O126" s="5"/>
      <c r="P126" s="363"/>
      <c r="Q126" s="712"/>
      <c r="R126" s="710"/>
      <c r="S126" s="710"/>
      <c r="T126" s="710"/>
      <c r="U126" s="710"/>
      <c r="V126" s="712">
        <f t="shared" si="15"/>
        <v>0</v>
      </c>
      <c r="W126" s="710"/>
      <c r="X126" s="362"/>
      <c r="Y126" s="364" t="s">
        <v>186</v>
      </c>
      <c r="Z126" s="5"/>
      <c r="AA126" s="5"/>
      <c r="AB126" s="392"/>
      <c r="AC126" s="710"/>
      <c r="AD126" s="710"/>
      <c r="AE126" s="363"/>
      <c r="AF126" s="712" t="str">
        <f t="shared" si="18"/>
        <v/>
      </c>
      <c r="AG126" s="712" t="str">
        <f>IF(K126="","",IF(AND(W126="",AA126="",AA127="",AD126=""),"Missing Info",IF(K126-W126-AA126-AA127+AD126=0,"OK","Review emissions")))</f>
        <v/>
      </c>
      <c r="AH126" s="589"/>
      <c r="AK126" s="107" t="s">
        <v>187</v>
      </c>
      <c r="AL126" s="387">
        <f t="shared" si="11"/>
        <v>0</v>
      </c>
      <c r="AM126" s="387">
        <f t="shared" si="10"/>
        <v>0</v>
      </c>
    </row>
    <row r="127" spans="1:39" s="391" customFormat="1" ht="39" hidden="1" customHeight="1" outlineLevel="3">
      <c r="A127" s="722"/>
      <c r="B127" s="733"/>
      <c r="C127" s="826"/>
      <c r="D127" s="743"/>
      <c r="E127" s="744"/>
      <c r="F127" s="745"/>
      <c r="G127" s="711"/>
      <c r="H127" s="839"/>
      <c r="I127" s="711"/>
      <c r="J127" s="711"/>
      <c r="K127" s="713"/>
      <c r="L127" s="362"/>
      <c r="M127" s="809"/>
      <c r="N127" s="401" t="b">
        <v>0</v>
      </c>
      <c r="O127" s="5"/>
      <c r="P127" s="363"/>
      <c r="Q127" s="713"/>
      <c r="R127" s="711"/>
      <c r="S127" s="711"/>
      <c r="T127" s="711"/>
      <c r="U127" s="711"/>
      <c r="V127" s="713">
        <f t="shared" si="15"/>
        <v>0</v>
      </c>
      <c r="W127" s="711"/>
      <c r="X127" s="362"/>
      <c r="Y127" s="364" t="s">
        <v>188</v>
      </c>
      <c r="Z127" s="5"/>
      <c r="AA127" s="5"/>
      <c r="AB127" s="392"/>
      <c r="AC127" s="711"/>
      <c r="AD127" s="711"/>
      <c r="AE127" s="363"/>
      <c r="AF127" s="713"/>
      <c r="AG127" s="713"/>
      <c r="AH127" s="589"/>
      <c r="AK127" s="107" t="s">
        <v>187</v>
      </c>
      <c r="AL127" s="387">
        <f t="shared" si="11"/>
        <v>0</v>
      </c>
      <c r="AM127" s="387">
        <f t="shared" si="10"/>
        <v>0</v>
      </c>
    </row>
    <row r="128" spans="1:39" s="391" customFormat="1" ht="39" hidden="1" customHeight="1" outlineLevel="3">
      <c r="A128" s="722"/>
      <c r="B128" s="733"/>
      <c r="C128" s="826"/>
      <c r="D128" s="734" t="s">
        <v>189</v>
      </c>
      <c r="E128" s="784" t="s">
        <v>277</v>
      </c>
      <c r="F128" s="784" t="s">
        <v>235</v>
      </c>
      <c r="G128" s="710"/>
      <c r="H128" s="838" t="str">
        <f>IF(G128="","",G128/$G$253)</f>
        <v/>
      </c>
      <c r="I128" s="710"/>
      <c r="J128" s="710"/>
      <c r="K128" s="712" t="str">
        <f>IF(SUM(I128:J129)=0,"",SUM(I128:J129))</f>
        <v/>
      </c>
      <c r="L128" s="362"/>
      <c r="M128" s="808" t="b">
        <v>0</v>
      </c>
      <c r="N128" s="401" t="b">
        <v>0</v>
      </c>
      <c r="O128" s="5"/>
      <c r="P128" s="363"/>
      <c r="Q128" s="712"/>
      <c r="R128" s="710"/>
      <c r="S128" s="710"/>
      <c r="T128" s="710"/>
      <c r="U128" s="710"/>
      <c r="V128" s="712">
        <f t="shared" si="15"/>
        <v>0</v>
      </c>
      <c r="W128" s="710"/>
      <c r="X128" s="362"/>
      <c r="Y128" s="364" t="s">
        <v>186</v>
      </c>
      <c r="Z128" s="5"/>
      <c r="AA128" s="5"/>
      <c r="AB128" s="392"/>
      <c r="AC128" s="710"/>
      <c r="AD128" s="710"/>
      <c r="AE128" s="363"/>
      <c r="AF128" s="712" t="str">
        <f t="shared" si="18"/>
        <v/>
      </c>
      <c r="AG128" s="712" t="str">
        <f>IF(K128="","",IF(AND(W128="",AA128="",AA129="",AD128=""),"Missing Info",IF(K128-W128-AA128-AA129+AD128=0,"OK","Review emissions")))</f>
        <v/>
      </c>
      <c r="AH128" s="589"/>
      <c r="AK128" s="107" t="s">
        <v>187</v>
      </c>
      <c r="AL128" s="387">
        <f t="shared" si="11"/>
        <v>0</v>
      </c>
      <c r="AM128" s="387">
        <f t="shared" si="10"/>
        <v>0</v>
      </c>
    </row>
    <row r="129" spans="1:39" s="391" customFormat="1" ht="39" hidden="1" customHeight="1" outlineLevel="3">
      <c r="A129" s="722"/>
      <c r="B129" s="733"/>
      <c r="C129" s="826"/>
      <c r="D129" s="735"/>
      <c r="E129" s="785"/>
      <c r="F129" s="786"/>
      <c r="G129" s="711"/>
      <c r="H129" s="839"/>
      <c r="I129" s="711"/>
      <c r="J129" s="711"/>
      <c r="K129" s="713"/>
      <c r="L129" s="362"/>
      <c r="M129" s="809"/>
      <c r="N129" s="401" t="b">
        <v>0</v>
      </c>
      <c r="O129" s="5"/>
      <c r="P129" s="363"/>
      <c r="Q129" s="713"/>
      <c r="R129" s="711"/>
      <c r="S129" s="711"/>
      <c r="T129" s="711"/>
      <c r="U129" s="711"/>
      <c r="V129" s="713">
        <f t="shared" si="15"/>
        <v>0</v>
      </c>
      <c r="W129" s="711"/>
      <c r="X129" s="362"/>
      <c r="Y129" s="364" t="s">
        <v>188</v>
      </c>
      <c r="Z129" s="5"/>
      <c r="AA129" s="5"/>
      <c r="AB129" s="392"/>
      <c r="AC129" s="711"/>
      <c r="AD129" s="711"/>
      <c r="AE129" s="363"/>
      <c r="AF129" s="713"/>
      <c r="AG129" s="713"/>
      <c r="AH129" s="589"/>
      <c r="AK129" s="107" t="s">
        <v>187</v>
      </c>
      <c r="AL129" s="387">
        <f t="shared" si="11"/>
        <v>0</v>
      </c>
      <c r="AM129" s="387">
        <f t="shared" si="10"/>
        <v>0</v>
      </c>
    </row>
    <row r="130" spans="1:39" s="391" customFormat="1" ht="39" hidden="1" customHeight="1" outlineLevel="3">
      <c r="A130" s="722"/>
      <c r="B130" s="733"/>
      <c r="C130" s="826"/>
      <c r="D130" s="735"/>
      <c r="E130" s="785"/>
      <c r="F130" s="784" t="s">
        <v>236</v>
      </c>
      <c r="G130" s="710"/>
      <c r="H130" s="838" t="str">
        <f>IF(G130="","",G130/$G$253)</f>
        <v/>
      </c>
      <c r="I130" s="710"/>
      <c r="J130" s="710"/>
      <c r="K130" s="712" t="str">
        <f>IF(SUM(I130:J131)=0,"",SUM(I130:J131))</f>
        <v/>
      </c>
      <c r="L130" s="362"/>
      <c r="M130" s="808" t="b">
        <v>0</v>
      </c>
      <c r="N130" s="401" t="b">
        <v>0</v>
      </c>
      <c r="O130" s="5"/>
      <c r="P130" s="363"/>
      <c r="Q130" s="712"/>
      <c r="R130" s="710"/>
      <c r="S130" s="710"/>
      <c r="T130" s="710"/>
      <c r="U130" s="710"/>
      <c r="V130" s="712">
        <f t="shared" si="15"/>
        <v>0</v>
      </c>
      <c r="W130" s="710"/>
      <c r="X130" s="362"/>
      <c r="Y130" s="364" t="s">
        <v>186</v>
      </c>
      <c r="Z130" s="5"/>
      <c r="AA130" s="5"/>
      <c r="AB130" s="392"/>
      <c r="AC130" s="710"/>
      <c r="AD130" s="710"/>
      <c r="AE130" s="363"/>
      <c r="AF130" s="712" t="str">
        <f t="shared" si="18"/>
        <v/>
      </c>
      <c r="AG130" s="712" t="str">
        <f>IF(K130="","",IF(AND(W130="",AA130="",AA131="",AD130=""),"Missing Info",IF(K130-W130-AA130-AA131+AD130=0,"OK","Review emissions")))</f>
        <v/>
      </c>
      <c r="AH130" s="589"/>
      <c r="AK130" s="107" t="s">
        <v>187</v>
      </c>
      <c r="AL130" s="387">
        <f t="shared" si="11"/>
        <v>0</v>
      </c>
      <c r="AM130" s="387">
        <f t="shared" si="10"/>
        <v>0</v>
      </c>
    </row>
    <row r="131" spans="1:39" s="391" customFormat="1" ht="39" hidden="1" customHeight="1" outlineLevel="3">
      <c r="A131" s="722"/>
      <c r="B131" s="733"/>
      <c r="C131" s="826"/>
      <c r="D131" s="735"/>
      <c r="E131" s="785"/>
      <c r="F131" s="786"/>
      <c r="G131" s="711"/>
      <c r="H131" s="839"/>
      <c r="I131" s="711"/>
      <c r="J131" s="711"/>
      <c r="K131" s="713"/>
      <c r="L131" s="362"/>
      <c r="M131" s="809"/>
      <c r="N131" s="401" t="b">
        <v>0</v>
      </c>
      <c r="O131" s="5"/>
      <c r="P131" s="363"/>
      <c r="Q131" s="713"/>
      <c r="R131" s="711"/>
      <c r="S131" s="711"/>
      <c r="T131" s="711"/>
      <c r="U131" s="711"/>
      <c r="V131" s="713">
        <f t="shared" ref="V131:V162" si="19">IF(M131=TRUE,SUM(Q131:U131),0)</f>
        <v>0</v>
      </c>
      <c r="W131" s="711"/>
      <c r="X131" s="362"/>
      <c r="Y131" s="364" t="s">
        <v>188</v>
      </c>
      <c r="Z131" s="5"/>
      <c r="AA131" s="5"/>
      <c r="AB131" s="392"/>
      <c r="AC131" s="711"/>
      <c r="AD131" s="711"/>
      <c r="AE131" s="363"/>
      <c r="AF131" s="713"/>
      <c r="AG131" s="713"/>
      <c r="AH131" s="589"/>
      <c r="AK131" s="107" t="s">
        <v>187</v>
      </c>
      <c r="AL131" s="387">
        <f t="shared" si="11"/>
        <v>0</v>
      </c>
      <c r="AM131" s="387">
        <f t="shared" si="10"/>
        <v>0</v>
      </c>
    </row>
    <row r="132" spans="1:39" s="391" customFormat="1" ht="69" hidden="1" customHeight="1" outlineLevel="3">
      <c r="A132" s="722"/>
      <c r="B132" s="733"/>
      <c r="C132" s="826"/>
      <c r="D132" s="735"/>
      <c r="E132" s="785"/>
      <c r="F132" s="784" t="s">
        <v>237</v>
      </c>
      <c r="G132" s="710"/>
      <c r="H132" s="838" t="str">
        <f>IF(G132="","",G132/$G$253)</f>
        <v/>
      </c>
      <c r="I132" s="710"/>
      <c r="J132" s="710"/>
      <c r="K132" s="712" t="str">
        <f>IF(SUM(I132:J133)=0,"",SUM(I132:J133))</f>
        <v/>
      </c>
      <c r="L132" s="362"/>
      <c r="M132" s="808" t="b">
        <v>0</v>
      </c>
      <c r="N132" s="401" t="b">
        <v>0</v>
      </c>
      <c r="O132" s="5"/>
      <c r="P132" s="363"/>
      <c r="Q132" s="393"/>
      <c r="R132" s="710"/>
      <c r="S132" s="710"/>
      <c r="T132" s="710"/>
      <c r="U132" s="710"/>
      <c r="V132" s="712">
        <f t="shared" si="19"/>
        <v>0</v>
      </c>
      <c r="W132" s="710"/>
      <c r="X132" s="362"/>
      <c r="Y132" s="364" t="s">
        <v>186</v>
      </c>
      <c r="Z132" s="5"/>
      <c r="AA132" s="5"/>
      <c r="AB132" s="392"/>
      <c r="AC132" s="710"/>
      <c r="AD132" s="710"/>
      <c r="AE132" s="363"/>
      <c r="AF132" s="712" t="str">
        <f t="shared" si="18"/>
        <v/>
      </c>
      <c r="AG132" s="712" t="str">
        <f>IF(K132="","",IF(AND(W132="",AA132="",AA133="",AD132=""),"Missing Info",IF(K132-W132-AA132-AA133+AD132=0,"OK","Review emissions")))</f>
        <v/>
      </c>
      <c r="AH132" s="589"/>
      <c r="AK132" s="107" t="s">
        <v>187</v>
      </c>
      <c r="AL132" s="387">
        <f t="shared" si="11"/>
        <v>0</v>
      </c>
      <c r="AM132" s="387">
        <f t="shared" si="10"/>
        <v>0</v>
      </c>
    </row>
    <row r="133" spans="1:39" s="391" customFormat="1" ht="69" hidden="1" customHeight="1" outlineLevel="3">
      <c r="A133" s="722"/>
      <c r="B133" s="733"/>
      <c r="C133" s="826"/>
      <c r="D133" s="735"/>
      <c r="E133" s="785"/>
      <c r="F133" s="786"/>
      <c r="G133" s="711"/>
      <c r="H133" s="839"/>
      <c r="I133" s="711"/>
      <c r="J133" s="711"/>
      <c r="K133" s="713"/>
      <c r="L133" s="362"/>
      <c r="M133" s="809"/>
      <c r="N133" s="401" t="b">
        <v>0</v>
      </c>
      <c r="O133" s="5"/>
      <c r="P133" s="363"/>
      <c r="Q133" s="393"/>
      <c r="R133" s="711"/>
      <c r="S133" s="711"/>
      <c r="T133" s="711"/>
      <c r="U133" s="711"/>
      <c r="V133" s="713">
        <f t="shared" si="19"/>
        <v>0</v>
      </c>
      <c r="W133" s="711"/>
      <c r="X133" s="362"/>
      <c r="Y133" s="364" t="s">
        <v>188</v>
      </c>
      <c r="Z133" s="5"/>
      <c r="AA133" s="5"/>
      <c r="AB133" s="392"/>
      <c r="AC133" s="711"/>
      <c r="AD133" s="711"/>
      <c r="AE133" s="363"/>
      <c r="AF133" s="713"/>
      <c r="AG133" s="713"/>
      <c r="AH133" s="589"/>
      <c r="AK133" s="107" t="s">
        <v>187</v>
      </c>
      <c r="AL133" s="387">
        <f t="shared" si="11"/>
        <v>0</v>
      </c>
      <c r="AM133" s="387">
        <f t="shared" si="10"/>
        <v>0</v>
      </c>
    </row>
    <row r="134" spans="1:39" s="391" customFormat="1" ht="39" hidden="1" customHeight="1" outlineLevel="3">
      <c r="A134" s="722"/>
      <c r="B134" s="733"/>
      <c r="C134" s="826"/>
      <c r="D134" s="735"/>
      <c r="E134" s="785"/>
      <c r="F134" s="784" t="s">
        <v>125</v>
      </c>
      <c r="G134" s="710"/>
      <c r="H134" s="838" t="str">
        <f>IF(G134="","",G134/$G$253)</f>
        <v/>
      </c>
      <c r="I134" s="710"/>
      <c r="J134" s="710"/>
      <c r="K134" s="712" t="str">
        <f>IF(SUM(I134:J135)=0,"",SUM(I134:J135))</f>
        <v/>
      </c>
      <c r="L134" s="362"/>
      <c r="M134" s="808" t="b">
        <v>0</v>
      </c>
      <c r="N134" s="401" t="b">
        <v>0</v>
      </c>
      <c r="O134" s="5"/>
      <c r="P134" s="363"/>
      <c r="Q134" s="712"/>
      <c r="R134" s="710"/>
      <c r="S134" s="710"/>
      <c r="T134" s="710"/>
      <c r="U134" s="710"/>
      <c r="V134" s="712">
        <f t="shared" si="19"/>
        <v>0</v>
      </c>
      <c r="W134" s="710"/>
      <c r="X134" s="362"/>
      <c r="Y134" s="364" t="s">
        <v>186</v>
      </c>
      <c r="Z134" s="5"/>
      <c r="AA134" s="5"/>
      <c r="AB134" s="392"/>
      <c r="AC134" s="710"/>
      <c r="AD134" s="710"/>
      <c r="AE134" s="363"/>
      <c r="AF134" s="712" t="str">
        <f t="shared" si="18"/>
        <v/>
      </c>
      <c r="AG134" s="712" t="str">
        <f>IF(K134="","",IF(AND(W134="",AA134="",AA135="",AD134=""),"Missing Info",IF(K134-W134-AA134-AA135+AD134=0,"OK","Review emissions")))</f>
        <v/>
      </c>
      <c r="AH134" s="589"/>
      <c r="AK134" s="107" t="s">
        <v>187</v>
      </c>
      <c r="AL134" s="387">
        <f t="shared" si="11"/>
        <v>0</v>
      </c>
      <c r="AM134" s="387">
        <f t="shared" si="10"/>
        <v>0</v>
      </c>
    </row>
    <row r="135" spans="1:39" s="391" customFormat="1" ht="39" hidden="1" customHeight="1" outlineLevel="3">
      <c r="A135" s="722"/>
      <c r="B135" s="733"/>
      <c r="C135" s="811"/>
      <c r="D135" s="736"/>
      <c r="E135" s="786"/>
      <c r="F135" s="786"/>
      <c r="G135" s="711"/>
      <c r="H135" s="839"/>
      <c r="I135" s="711"/>
      <c r="J135" s="711"/>
      <c r="K135" s="713"/>
      <c r="L135" s="362"/>
      <c r="M135" s="809"/>
      <c r="N135" s="401" t="b">
        <v>0</v>
      </c>
      <c r="O135" s="5"/>
      <c r="P135" s="363"/>
      <c r="Q135" s="713"/>
      <c r="R135" s="711"/>
      <c r="S135" s="711"/>
      <c r="T135" s="711"/>
      <c r="U135" s="711"/>
      <c r="V135" s="713">
        <f t="shared" si="19"/>
        <v>0</v>
      </c>
      <c r="W135" s="711"/>
      <c r="X135" s="362"/>
      <c r="Y135" s="364" t="s">
        <v>188</v>
      </c>
      <c r="Z135" s="5"/>
      <c r="AA135" s="5"/>
      <c r="AB135" s="392"/>
      <c r="AC135" s="711"/>
      <c r="AD135" s="711"/>
      <c r="AE135" s="363"/>
      <c r="AF135" s="713"/>
      <c r="AG135" s="713"/>
      <c r="AH135" s="589"/>
      <c r="AK135" s="107" t="s">
        <v>187</v>
      </c>
      <c r="AL135" s="387">
        <f t="shared" si="11"/>
        <v>0</v>
      </c>
      <c r="AM135" s="387">
        <f t="shared" si="10"/>
        <v>0</v>
      </c>
    </row>
    <row r="136" spans="1:39" s="391" customFormat="1" ht="39" hidden="1" customHeight="1" outlineLevel="3">
      <c r="A136" s="722"/>
      <c r="B136" s="733"/>
      <c r="C136" s="734" t="s">
        <v>190</v>
      </c>
      <c r="D136" s="737" t="s">
        <v>191</v>
      </c>
      <c r="E136" s="738"/>
      <c r="F136" s="739"/>
      <c r="G136" s="539"/>
      <c r="H136" s="388" t="str">
        <f t="shared" ref="H136:H146" si="20">IF(G136="","",G136/$G$253)</f>
        <v/>
      </c>
      <c r="I136" s="539"/>
      <c r="J136" s="539"/>
      <c r="K136" s="557" t="str">
        <f t="shared" ref="K136:K145" si="21">IF(SUM(I136:J136)=0,"",SUM(I136:J136))</f>
        <v/>
      </c>
      <c r="L136" s="362"/>
      <c r="M136" s="544" t="b">
        <v>0</v>
      </c>
      <c r="N136" s="401" t="b">
        <v>0</v>
      </c>
      <c r="O136" s="5"/>
      <c r="P136" s="363"/>
      <c r="Q136" s="557"/>
      <c r="R136" s="5"/>
      <c r="S136" s="5"/>
      <c r="T136" s="5"/>
      <c r="U136" s="5"/>
      <c r="V136" s="557">
        <f t="shared" si="19"/>
        <v>0</v>
      </c>
      <c r="W136" s="5"/>
      <c r="X136" s="362"/>
      <c r="Y136" s="364" t="s">
        <v>192</v>
      </c>
      <c r="Z136" s="5"/>
      <c r="AA136" s="5"/>
      <c r="AB136" s="392"/>
      <c r="AC136" s="5"/>
      <c r="AD136" s="5"/>
      <c r="AE136" s="363"/>
      <c r="AF136" s="557" t="str">
        <f t="shared" ref="AF136:AF145" si="22">IF(G136="","",IF(AND(V136="",Z136="",AC136=""),"Missing Info",IF(G136-V136-Z136+AC136=0,"OK","Review financial exposure")))</f>
        <v/>
      </c>
      <c r="AG136" s="557" t="str">
        <f t="shared" ref="AG136:AG145" si="23">IF(K136="","",IF(AND(W136="",AA136="",AD136=""),"Missing Info",IF(K136-W136-AA136+AD136=0,"OK","Review emissions")))</f>
        <v/>
      </c>
      <c r="AH136" s="589"/>
      <c r="AK136" s="107" t="s">
        <v>193</v>
      </c>
      <c r="AL136" s="387">
        <f t="shared" si="11"/>
        <v>0</v>
      </c>
      <c r="AM136" s="387">
        <f t="shared" si="10"/>
        <v>0</v>
      </c>
    </row>
    <row r="137" spans="1:39" s="391" customFormat="1" ht="85.25" hidden="1" customHeight="1" outlineLevel="3">
      <c r="A137" s="722"/>
      <c r="B137" s="733"/>
      <c r="C137" s="735"/>
      <c r="D137" s="734" t="s">
        <v>194</v>
      </c>
      <c r="E137" s="784" t="s">
        <v>277</v>
      </c>
      <c r="F137" s="545" t="s">
        <v>235</v>
      </c>
      <c r="G137" s="539"/>
      <c r="H137" s="388" t="str">
        <f t="shared" si="20"/>
        <v/>
      </c>
      <c r="I137" s="539"/>
      <c r="J137" s="539"/>
      <c r="K137" s="557" t="str">
        <f t="shared" si="21"/>
        <v/>
      </c>
      <c r="L137" s="362"/>
      <c r="M137" s="544" t="b">
        <v>0</v>
      </c>
      <c r="N137" s="401" t="b">
        <v>0</v>
      </c>
      <c r="O137" s="5"/>
      <c r="P137" s="363"/>
      <c r="Q137" s="557"/>
      <c r="R137" s="5"/>
      <c r="S137" s="5"/>
      <c r="T137" s="5"/>
      <c r="U137" s="5"/>
      <c r="V137" s="557">
        <f t="shared" si="19"/>
        <v>0</v>
      </c>
      <c r="W137" s="5"/>
      <c r="X137" s="362"/>
      <c r="Y137" s="364" t="s">
        <v>192</v>
      </c>
      <c r="Z137" s="5"/>
      <c r="AA137" s="5"/>
      <c r="AB137" s="392"/>
      <c r="AC137" s="5"/>
      <c r="AD137" s="5"/>
      <c r="AE137" s="363"/>
      <c r="AF137" s="557" t="str">
        <f t="shared" si="22"/>
        <v/>
      </c>
      <c r="AG137" s="557" t="str">
        <f t="shared" si="23"/>
        <v/>
      </c>
      <c r="AH137" s="589"/>
      <c r="AK137" s="107" t="s">
        <v>193</v>
      </c>
      <c r="AL137" s="387">
        <f t="shared" si="11"/>
        <v>0</v>
      </c>
      <c r="AM137" s="387">
        <f t="shared" si="10"/>
        <v>0</v>
      </c>
    </row>
    <row r="138" spans="1:39" s="391" customFormat="1" ht="85.25" hidden="1" customHeight="1" outlineLevel="3">
      <c r="A138" s="722"/>
      <c r="B138" s="733"/>
      <c r="C138" s="735"/>
      <c r="D138" s="735"/>
      <c r="E138" s="785"/>
      <c r="F138" s="545" t="s">
        <v>236</v>
      </c>
      <c r="G138" s="539"/>
      <c r="H138" s="388" t="str">
        <f t="shared" si="20"/>
        <v/>
      </c>
      <c r="I138" s="539"/>
      <c r="J138" s="539"/>
      <c r="K138" s="557" t="str">
        <f t="shared" si="21"/>
        <v/>
      </c>
      <c r="L138" s="362"/>
      <c r="M138" s="544" t="b">
        <v>0</v>
      </c>
      <c r="N138" s="401" t="b">
        <v>0</v>
      </c>
      <c r="O138" s="5"/>
      <c r="P138" s="363"/>
      <c r="Q138" s="557"/>
      <c r="R138" s="5"/>
      <c r="S138" s="5"/>
      <c r="T138" s="5"/>
      <c r="U138" s="5"/>
      <c r="V138" s="557">
        <f t="shared" si="19"/>
        <v>0</v>
      </c>
      <c r="W138" s="5"/>
      <c r="X138" s="362"/>
      <c r="Y138" s="364" t="s">
        <v>192</v>
      </c>
      <c r="Z138" s="5"/>
      <c r="AA138" s="5"/>
      <c r="AB138" s="392"/>
      <c r="AC138" s="5"/>
      <c r="AD138" s="5"/>
      <c r="AE138" s="363"/>
      <c r="AF138" s="557" t="str">
        <f t="shared" si="22"/>
        <v/>
      </c>
      <c r="AG138" s="557" t="str">
        <f t="shared" si="23"/>
        <v/>
      </c>
      <c r="AH138" s="589"/>
      <c r="AK138" s="107" t="s">
        <v>193</v>
      </c>
      <c r="AL138" s="387">
        <f t="shared" si="11"/>
        <v>0</v>
      </c>
      <c r="AM138" s="387">
        <f t="shared" si="10"/>
        <v>0</v>
      </c>
    </row>
    <row r="139" spans="1:39" s="391" customFormat="1" ht="135" hidden="1" customHeight="1" outlineLevel="3">
      <c r="A139" s="722"/>
      <c r="B139" s="733"/>
      <c r="C139" s="735"/>
      <c r="D139" s="735"/>
      <c r="E139" s="785"/>
      <c r="F139" s="545" t="s">
        <v>237</v>
      </c>
      <c r="G139" s="539"/>
      <c r="H139" s="388" t="str">
        <f t="shared" si="20"/>
        <v/>
      </c>
      <c r="I139" s="539"/>
      <c r="J139" s="539"/>
      <c r="K139" s="557" t="str">
        <f t="shared" si="21"/>
        <v/>
      </c>
      <c r="L139" s="362"/>
      <c r="M139" s="544" t="b">
        <v>0</v>
      </c>
      <c r="N139" s="401" t="b">
        <v>0</v>
      </c>
      <c r="O139" s="5"/>
      <c r="P139" s="363"/>
      <c r="Q139" s="557"/>
      <c r="R139" s="5"/>
      <c r="S139" s="5"/>
      <c r="T139" s="5"/>
      <c r="U139" s="5"/>
      <c r="V139" s="557">
        <f t="shared" si="19"/>
        <v>0</v>
      </c>
      <c r="W139" s="5"/>
      <c r="X139" s="362"/>
      <c r="Y139" s="364" t="s">
        <v>192</v>
      </c>
      <c r="Z139" s="5"/>
      <c r="AA139" s="5"/>
      <c r="AB139" s="392"/>
      <c r="AC139" s="5"/>
      <c r="AD139" s="5"/>
      <c r="AE139" s="363"/>
      <c r="AF139" s="557" t="str">
        <f t="shared" si="22"/>
        <v/>
      </c>
      <c r="AG139" s="557" t="str">
        <f t="shared" si="23"/>
        <v/>
      </c>
      <c r="AH139" s="589"/>
      <c r="AK139" s="107" t="s">
        <v>193</v>
      </c>
      <c r="AL139" s="387">
        <f t="shared" si="11"/>
        <v>0</v>
      </c>
      <c r="AM139" s="387">
        <f t="shared" si="10"/>
        <v>0</v>
      </c>
    </row>
    <row r="140" spans="1:39" s="391" customFormat="1" ht="85.25" hidden="1" customHeight="1" outlineLevel="3">
      <c r="A140" s="722"/>
      <c r="B140" s="733"/>
      <c r="C140" s="735"/>
      <c r="D140" s="736"/>
      <c r="E140" s="786"/>
      <c r="F140" s="545" t="s">
        <v>125</v>
      </c>
      <c r="G140" s="539"/>
      <c r="H140" s="388" t="str">
        <f t="shared" si="20"/>
        <v/>
      </c>
      <c r="I140" s="539"/>
      <c r="J140" s="539"/>
      <c r="K140" s="557" t="str">
        <f t="shared" si="21"/>
        <v/>
      </c>
      <c r="L140" s="362"/>
      <c r="M140" s="544" t="b">
        <v>0</v>
      </c>
      <c r="N140" s="401" t="b">
        <v>0</v>
      </c>
      <c r="O140" s="5"/>
      <c r="P140" s="363"/>
      <c r="Q140" s="557"/>
      <c r="R140" s="5"/>
      <c r="S140" s="5"/>
      <c r="T140" s="5"/>
      <c r="U140" s="5"/>
      <c r="V140" s="557">
        <f t="shared" si="19"/>
        <v>0</v>
      </c>
      <c r="W140" s="5"/>
      <c r="X140" s="362"/>
      <c r="Y140" s="364" t="s">
        <v>192</v>
      </c>
      <c r="Z140" s="5"/>
      <c r="AA140" s="5"/>
      <c r="AB140" s="392"/>
      <c r="AC140" s="5"/>
      <c r="AD140" s="5"/>
      <c r="AE140" s="363"/>
      <c r="AF140" s="557" t="str">
        <f t="shared" si="22"/>
        <v/>
      </c>
      <c r="AG140" s="557" t="str">
        <f t="shared" si="23"/>
        <v/>
      </c>
      <c r="AH140" s="589"/>
      <c r="AK140" s="107" t="s">
        <v>193</v>
      </c>
      <c r="AL140" s="387">
        <f t="shared" si="11"/>
        <v>0</v>
      </c>
      <c r="AM140" s="387">
        <f t="shared" si="10"/>
        <v>0</v>
      </c>
    </row>
    <row r="141" spans="1:39" s="391" customFormat="1" ht="39" hidden="1" customHeight="1" outlineLevel="3">
      <c r="A141" s="722"/>
      <c r="B141" s="733"/>
      <c r="C141" s="735"/>
      <c r="D141" s="737" t="s">
        <v>195</v>
      </c>
      <c r="E141" s="738"/>
      <c r="F141" s="739"/>
      <c r="G141" s="539"/>
      <c r="H141" s="388" t="str">
        <f t="shared" si="20"/>
        <v/>
      </c>
      <c r="I141" s="539"/>
      <c r="J141" s="539"/>
      <c r="K141" s="557" t="str">
        <f t="shared" si="21"/>
        <v/>
      </c>
      <c r="L141" s="362"/>
      <c r="M141" s="544" t="b">
        <v>0</v>
      </c>
      <c r="N141" s="401" t="b">
        <v>0</v>
      </c>
      <c r="O141" s="5"/>
      <c r="P141" s="363"/>
      <c r="Q141" s="557"/>
      <c r="R141" s="5"/>
      <c r="S141" s="5"/>
      <c r="T141" s="5"/>
      <c r="U141" s="5"/>
      <c r="V141" s="557">
        <f t="shared" si="19"/>
        <v>0</v>
      </c>
      <c r="W141" s="5"/>
      <c r="X141" s="362"/>
      <c r="Y141" s="364" t="s">
        <v>196</v>
      </c>
      <c r="Z141" s="5"/>
      <c r="AA141" s="5"/>
      <c r="AB141" s="392"/>
      <c r="AC141" s="5"/>
      <c r="AD141" s="5"/>
      <c r="AE141" s="363"/>
      <c r="AF141" s="557" t="str">
        <f t="shared" si="22"/>
        <v/>
      </c>
      <c r="AG141" s="557" t="str">
        <f t="shared" si="23"/>
        <v/>
      </c>
      <c r="AH141" s="589"/>
      <c r="AK141" s="107" t="s">
        <v>197</v>
      </c>
      <c r="AL141" s="387">
        <f t="shared" si="11"/>
        <v>0</v>
      </c>
      <c r="AM141" s="387">
        <f t="shared" si="10"/>
        <v>0</v>
      </c>
    </row>
    <row r="142" spans="1:39" s="391" customFormat="1" ht="81" hidden="1" customHeight="1" outlineLevel="3">
      <c r="A142" s="722"/>
      <c r="B142" s="733"/>
      <c r="C142" s="735"/>
      <c r="D142" s="734" t="s">
        <v>198</v>
      </c>
      <c r="E142" s="784" t="s">
        <v>277</v>
      </c>
      <c r="F142" s="545" t="s">
        <v>235</v>
      </c>
      <c r="G142" s="539"/>
      <c r="H142" s="388" t="str">
        <f t="shared" si="20"/>
        <v/>
      </c>
      <c r="I142" s="539"/>
      <c r="J142" s="539"/>
      <c r="K142" s="557" t="str">
        <f t="shared" si="21"/>
        <v/>
      </c>
      <c r="L142" s="362"/>
      <c r="M142" s="544" t="b">
        <v>0</v>
      </c>
      <c r="N142" s="401" t="b">
        <v>0</v>
      </c>
      <c r="O142" s="5"/>
      <c r="P142" s="363"/>
      <c r="Q142" s="557"/>
      <c r="R142" s="5"/>
      <c r="S142" s="5"/>
      <c r="T142" s="5"/>
      <c r="U142" s="5"/>
      <c r="V142" s="557">
        <f t="shared" si="19"/>
        <v>0</v>
      </c>
      <c r="W142" s="5"/>
      <c r="X142" s="362"/>
      <c r="Y142" s="364" t="s">
        <v>196</v>
      </c>
      <c r="Z142" s="5"/>
      <c r="AA142" s="5"/>
      <c r="AB142" s="392"/>
      <c r="AC142" s="5"/>
      <c r="AD142" s="5"/>
      <c r="AE142" s="363"/>
      <c r="AF142" s="557" t="str">
        <f t="shared" si="22"/>
        <v/>
      </c>
      <c r="AG142" s="557" t="str">
        <f t="shared" si="23"/>
        <v/>
      </c>
      <c r="AH142" s="589"/>
      <c r="AK142" s="107" t="s">
        <v>197</v>
      </c>
      <c r="AL142" s="387">
        <f t="shared" si="11"/>
        <v>0</v>
      </c>
      <c r="AM142" s="387">
        <f t="shared" si="10"/>
        <v>0</v>
      </c>
    </row>
    <row r="143" spans="1:39" s="391" customFormat="1" ht="81" hidden="1" customHeight="1" outlineLevel="3">
      <c r="A143" s="722"/>
      <c r="B143" s="733"/>
      <c r="C143" s="735"/>
      <c r="D143" s="735"/>
      <c r="E143" s="785"/>
      <c r="F143" s="545" t="s">
        <v>236</v>
      </c>
      <c r="G143" s="539"/>
      <c r="H143" s="388" t="str">
        <f t="shared" si="20"/>
        <v/>
      </c>
      <c r="I143" s="539"/>
      <c r="J143" s="539"/>
      <c r="K143" s="557" t="str">
        <f t="shared" si="21"/>
        <v/>
      </c>
      <c r="L143" s="362"/>
      <c r="M143" s="544" t="b">
        <v>0</v>
      </c>
      <c r="N143" s="401" t="b">
        <v>0</v>
      </c>
      <c r="O143" s="5"/>
      <c r="P143" s="363"/>
      <c r="Q143" s="557"/>
      <c r="R143" s="5"/>
      <c r="S143" s="5"/>
      <c r="T143" s="5"/>
      <c r="U143" s="5"/>
      <c r="V143" s="557">
        <f t="shared" si="19"/>
        <v>0</v>
      </c>
      <c r="W143" s="5"/>
      <c r="X143" s="362"/>
      <c r="Y143" s="364" t="s">
        <v>196</v>
      </c>
      <c r="Z143" s="5"/>
      <c r="AA143" s="5"/>
      <c r="AB143" s="392"/>
      <c r="AC143" s="5"/>
      <c r="AD143" s="5"/>
      <c r="AE143" s="363"/>
      <c r="AF143" s="557" t="str">
        <f t="shared" si="22"/>
        <v/>
      </c>
      <c r="AG143" s="557" t="str">
        <f t="shared" si="23"/>
        <v/>
      </c>
      <c r="AH143" s="589"/>
      <c r="AK143" s="107" t="s">
        <v>197</v>
      </c>
      <c r="AL143" s="387">
        <f t="shared" si="11"/>
        <v>0</v>
      </c>
      <c r="AM143" s="387">
        <f t="shared" si="10"/>
        <v>0</v>
      </c>
    </row>
    <row r="144" spans="1:39" s="391" customFormat="1" ht="125" hidden="1" customHeight="1" outlineLevel="3">
      <c r="A144" s="722"/>
      <c r="B144" s="733"/>
      <c r="C144" s="735"/>
      <c r="D144" s="735"/>
      <c r="E144" s="785"/>
      <c r="F144" s="545" t="s">
        <v>237</v>
      </c>
      <c r="G144" s="539"/>
      <c r="H144" s="388" t="str">
        <f t="shared" si="20"/>
        <v/>
      </c>
      <c r="I144" s="539"/>
      <c r="J144" s="539"/>
      <c r="K144" s="557" t="str">
        <f t="shared" si="21"/>
        <v/>
      </c>
      <c r="L144" s="362"/>
      <c r="M144" s="544" t="b">
        <v>0</v>
      </c>
      <c r="N144" s="401" t="b">
        <v>0</v>
      </c>
      <c r="O144" s="5"/>
      <c r="P144" s="363"/>
      <c r="Q144" s="557"/>
      <c r="R144" s="5"/>
      <c r="S144" s="5"/>
      <c r="T144" s="5"/>
      <c r="U144" s="5"/>
      <c r="V144" s="557">
        <f t="shared" si="19"/>
        <v>0</v>
      </c>
      <c r="W144" s="5"/>
      <c r="X144" s="362"/>
      <c r="Y144" s="364" t="s">
        <v>196</v>
      </c>
      <c r="Z144" s="5"/>
      <c r="AA144" s="5"/>
      <c r="AB144" s="392"/>
      <c r="AC144" s="5"/>
      <c r="AD144" s="5"/>
      <c r="AE144" s="363"/>
      <c r="AF144" s="557" t="str">
        <f t="shared" si="22"/>
        <v/>
      </c>
      <c r="AG144" s="557" t="str">
        <f t="shared" si="23"/>
        <v/>
      </c>
      <c r="AH144" s="589"/>
      <c r="AK144" s="107" t="s">
        <v>197</v>
      </c>
      <c r="AL144" s="387">
        <f t="shared" si="11"/>
        <v>0</v>
      </c>
      <c r="AM144" s="387">
        <f t="shared" si="10"/>
        <v>0</v>
      </c>
    </row>
    <row r="145" spans="1:39" s="391" customFormat="1" ht="81" hidden="1" customHeight="1" outlineLevel="3">
      <c r="A145" s="722"/>
      <c r="B145" s="733"/>
      <c r="C145" s="736"/>
      <c r="D145" s="736"/>
      <c r="E145" s="786"/>
      <c r="F145" s="545" t="s">
        <v>125</v>
      </c>
      <c r="G145" s="539"/>
      <c r="H145" s="388" t="str">
        <f t="shared" si="20"/>
        <v/>
      </c>
      <c r="I145" s="539"/>
      <c r="J145" s="539"/>
      <c r="K145" s="557" t="str">
        <f t="shared" si="21"/>
        <v/>
      </c>
      <c r="L145" s="362"/>
      <c r="M145" s="544" t="b">
        <v>0</v>
      </c>
      <c r="N145" s="401" t="b">
        <v>0</v>
      </c>
      <c r="O145" s="5"/>
      <c r="P145" s="363"/>
      <c r="Q145" s="557"/>
      <c r="R145" s="5"/>
      <c r="S145" s="5"/>
      <c r="T145" s="5"/>
      <c r="U145" s="5"/>
      <c r="V145" s="557">
        <f t="shared" si="19"/>
        <v>0</v>
      </c>
      <c r="W145" s="5"/>
      <c r="X145" s="362"/>
      <c r="Y145" s="364" t="s">
        <v>196</v>
      </c>
      <c r="Z145" s="5"/>
      <c r="AA145" s="5"/>
      <c r="AB145" s="392"/>
      <c r="AC145" s="5"/>
      <c r="AD145" s="5"/>
      <c r="AE145" s="363"/>
      <c r="AF145" s="557" t="str">
        <f t="shared" si="22"/>
        <v/>
      </c>
      <c r="AG145" s="557" t="str">
        <f t="shared" si="23"/>
        <v/>
      </c>
      <c r="AH145" s="589"/>
      <c r="AK145" s="107" t="s">
        <v>197</v>
      </c>
      <c r="AL145" s="387">
        <f t="shared" si="11"/>
        <v>0</v>
      </c>
      <c r="AM145" s="387">
        <f t="shared" si="10"/>
        <v>0</v>
      </c>
    </row>
    <row r="146" spans="1:39" s="391" customFormat="1" ht="39" hidden="1" customHeight="1" outlineLevel="3">
      <c r="A146" s="722"/>
      <c r="B146" s="733"/>
      <c r="C146" s="734" t="s">
        <v>199</v>
      </c>
      <c r="D146" s="740" t="s">
        <v>200</v>
      </c>
      <c r="E146" s="741"/>
      <c r="F146" s="742"/>
      <c r="G146" s="710"/>
      <c r="H146" s="838" t="str">
        <f t="shared" si="20"/>
        <v/>
      </c>
      <c r="I146" s="710"/>
      <c r="J146" s="710"/>
      <c r="K146" s="712" t="str">
        <f>IF(SUM(I146:J147)=0,"",SUM(I146:J147))</f>
        <v/>
      </c>
      <c r="L146" s="362"/>
      <c r="M146" s="808" t="b">
        <v>0</v>
      </c>
      <c r="N146" s="401" t="b">
        <v>0</v>
      </c>
      <c r="O146" s="5"/>
      <c r="P146" s="363"/>
      <c r="Q146" s="712"/>
      <c r="R146" s="710"/>
      <c r="S146" s="710"/>
      <c r="T146" s="710"/>
      <c r="U146" s="710"/>
      <c r="V146" s="712">
        <f t="shared" si="19"/>
        <v>0</v>
      </c>
      <c r="W146" s="710"/>
      <c r="X146" s="362"/>
      <c r="Y146" s="364" t="s">
        <v>201</v>
      </c>
      <c r="Z146" s="5"/>
      <c r="AA146" s="5"/>
      <c r="AB146" s="392"/>
      <c r="AC146" s="710"/>
      <c r="AD146" s="710"/>
      <c r="AE146" s="363"/>
      <c r="AF146" s="712" t="str">
        <f t="shared" ref="AF146:AF154" si="24">IF(G146="","",IF(AND(V146="",Z146="",Z147="",AC146=""),"Missing Info",IF(G146-V146-Z146-Z147+AC146=0,"OK","Review financial exposure")))</f>
        <v/>
      </c>
      <c r="AG146" s="712" t="str">
        <f>IF(K146="","",IF(AND(W146="",AA146="",AA147="",AD146=""),"Missing Info",IF(K146-W146-AA146-AA147+AD146=0,"OK","Review emissions")))</f>
        <v/>
      </c>
      <c r="AH146" s="589"/>
      <c r="AK146" s="107" t="s">
        <v>202</v>
      </c>
      <c r="AL146" s="387">
        <f t="shared" si="11"/>
        <v>0</v>
      </c>
      <c r="AM146" s="387">
        <f t="shared" si="10"/>
        <v>0</v>
      </c>
    </row>
    <row r="147" spans="1:39" s="391" customFormat="1" ht="39" hidden="1" customHeight="1" outlineLevel="3">
      <c r="A147" s="722"/>
      <c r="B147" s="733"/>
      <c r="C147" s="735"/>
      <c r="D147" s="743"/>
      <c r="E147" s="744"/>
      <c r="F147" s="745"/>
      <c r="G147" s="711"/>
      <c r="H147" s="839"/>
      <c r="I147" s="711"/>
      <c r="J147" s="711"/>
      <c r="K147" s="713"/>
      <c r="L147" s="362"/>
      <c r="M147" s="809"/>
      <c r="N147" s="401" t="b">
        <v>0</v>
      </c>
      <c r="O147" s="5"/>
      <c r="P147" s="363"/>
      <c r="Q147" s="713"/>
      <c r="R147" s="711"/>
      <c r="S147" s="711"/>
      <c r="T147" s="711"/>
      <c r="U147" s="711"/>
      <c r="V147" s="713">
        <f t="shared" si="19"/>
        <v>0</v>
      </c>
      <c r="W147" s="711"/>
      <c r="X147" s="362"/>
      <c r="Y147" s="364" t="s">
        <v>203</v>
      </c>
      <c r="Z147" s="5"/>
      <c r="AA147" s="5"/>
      <c r="AB147" s="392"/>
      <c r="AC147" s="711"/>
      <c r="AD147" s="711"/>
      <c r="AE147" s="363"/>
      <c r="AF147" s="713"/>
      <c r="AG147" s="713"/>
      <c r="AH147" s="589"/>
      <c r="AK147" s="107" t="s">
        <v>202</v>
      </c>
      <c r="AL147" s="387">
        <f t="shared" si="11"/>
        <v>0</v>
      </c>
      <c r="AM147" s="387">
        <f t="shared" si="10"/>
        <v>0</v>
      </c>
    </row>
    <row r="148" spans="1:39" s="391" customFormat="1" ht="39" hidden="1" customHeight="1" outlineLevel="3">
      <c r="A148" s="722"/>
      <c r="B148" s="733"/>
      <c r="C148" s="735"/>
      <c r="D148" s="734" t="s">
        <v>204</v>
      </c>
      <c r="E148" s="784" t="s">
        <v>277</v>
      </c>
      <c r="F148" s="784" t="s">
        <v>235</v>
      </c>
      <c r="G148" s="710"/>
      <c r="H148" s="838" t="str">
        <f>IF(G148="","",G148/$G$253)</f>
        <v/>
      </c>
      <c r="I148" s="710"/>
      <c r="J148" s="710"/>
      <c r="K148" s="712" t="str">
        <f>IF(SUM(I148:J149)=0,"",SUM(I148:J149))</f>
        <v/>
      </c>
      <c r="L148" s="362"/>
      <c r="M148" s="808" t="b">
        <v>0</v>
      </c>
      <c r="N148" s="401" t="b">
        <v>0</v>
      </c>
      <c r="O148" s="5"/>
      <c r="P148" s="363"/>
      <c r="Q148" s="712"/>
      <c r="R148" s="710"/>
      <c r="S148" s="710"/>
      <c r="T148" s="710"/>
      <c r="U148" s="710"/>
      <c r="V148" s="712">
        <f t="shared" si="19"/>
        <v>0</v>
      </c>
      <c r="W148" s="710"/>
      <c r="X148" s="362"/>
      <c r="Y148" s="364" t="s">
        <v>201</v>
      </c>
      <c r="Z148" s="5"/>
      <c r="AA148" s="5"/>
      <c r="AB148" s="392"/>
      <c r="AC148" s="710"/>
      <c r="AD148" s="710"/>
      <c r="AE148" s="363"/>
      <c r="AF148" s="712" t="str">
        <f t="shared" si="24"/>
        <v/>
      </c>
      <c r="AG148" s="712" t="str">
        <f>IF(K148="","",IF(AND(W148="",AA148="",AA149="",AD148=""),"Missing Info",IF(K148-W148-AA148-AA149+AD148=0,"OK","Review emissions")))</f>
        <v/>
      </c>
      <c r="AH148" s="589"/>
      <c r="AK148" s="107" t="s">
        <v>202</v>
      </c>
      <c r="AL148" s="387">
        <f t="shared" si="11"/>
        <v>0</v>
      </c>
      <c r="AM148" s="387">
        <f t="shared" si="10"/>
        <v>0</v>
      </c>
    </row>
    <row r="149" spans="1:39" s="391" customFormat="1" ht="39" hidden="1" customHeight="1" outlineLevel="3">
      <c r="A149" s="722"/>
      <c r="B149" s="733"/>
      <c r="C149" s="735"/>
      <c r="D149" s="735"/>
      <c r="E149" s="785"/>
      <c r="F149" s="786"/>
      <c r="G149" s="711"/>
      <c r="H149" s="839"/>
      <c r="I149" s="711"/>
      <c r="J149" s="711"/>
      <c r="K149" s="713"/>
      <c r="L149" s="362"/>
      <c r="M149" s="809"/>
      <c r="N149" s="401" t="b">
        <v>0</v>
      </c>
      <c r="O149" s="5"/>
      <c r="P149" s="363"/>
      <c r="Q149" s="713"/>
      <c r="R149" s="711"/>
      <c r="S149" s="711"/>
      <c r="T149" s="711"/>
      <c r="U149" s="711"/>
      <c r="V149" s="713">
        <f t="shared" si="19"/>
        <v>0</v>
      </c>
      <c r="W149" s="711"/>
      <c r="X149" s="362"/>
      <c r="Y149" s="364" t="s">
        <v>203</v>
      </c>
      <c r="Z149" s="5"/>
      <c r="AA149" s="5"/>
      <c r="AB149" s="392"/>
      <c r="AC149" s="711"/>
      <c r="AD149" s="711"/>
      <c r="AE149" s="363"/>
      <c r="AF149" s="713"/>
      <c r="AG149" s="713"/>
      <c r="AH149" s="589"/>
      <c r="AK149" s="107" t="s">
        <v>202</v>
      </c>
      <c r="AL149" s="387">
        <f t="shared" si="11"/>
        <v>0</v>
      </c>
      <c r="AM149" s="387">
        <f t="shared" si="10"/>
        <v>0</v>
      </c>
    </row>
    <row r="150" spans="1:39" s="391" customFormat="1" ht="39" hidden="1" customHeight="1" outlineLevel="3">
      <c r="A150" s="722"/>
      <c r="B150" s="733"/>
      <c r="C150" s="735"/>
      <c r="D150" s="735"/>
      <c r="E150" s="785"/>
      <c r="F150" s="784" t="s">
        <v>236</v>
      </c>
      <c r="G150" s="710"/>
      <c r="H150" s="838" t="str">
        <f>IF(G150="","",G150/$G$253)</f>
        <v/>
      </c>
      <c r="I150" s="710"/>
      <c r="J150" s="710"/>
      <c r="K150" s="712" t="str">
        <f>IF(SUM(I150:J151)=0,"",SUM(I150:J151))</f>
        <v/>
      </c>
      <c r="L150" s="362"/>
      <c r="M150" s="808" t="b">
        <v>0</v>
      </c>
      <c r="N150" s="401" t="b">
        <v>0</v>
      </c>
      <c r="O150" s="5"/>
      <c r="P150" s="363"/>
      <c r="Q150" s="712"/>
      <c r="R150" s="710"/>
      <c r="S150" s="710"/>
      <c r="T150" s="710"/>
      <c r="U150" s="710"/>
      <c r="V150" s="712">
        <f t="shared" si="19"/>
        <v>0</v>
      </c>
      <c r="W150" s="710"/>
      <c r="X150" s="362"/>
      <c r="Y150" s="364" t="s">
        <v>201</v>
      </c>
      <c r="Z150" s="5"/>
      <c r="AA150" s="5"/>
      <c r="AB150" s="392"/>
      <c r="AC150" s="710"/>
      <c r="AD150" s="710"/>
      <c r="AE150" s="363"/>
      <c r="AF150" s="712" t="str">
        <f t="shared" si="24"/>
        <v/>
      </c>
      <c r="AG150" s="712" t="str">
        <f>IF(K150="","",IF(AND(W150="",AA150="",AA151="",AD150=""),"Missing Info",IF(K150-W150-AA150-AA151+AD150=0,"OK","Review emissions")))</f>
        <v/>
      </c>
      <c r="AH150" s="589"/>
      <c r="AK150" s="107" t="s">
        <v>202</v>
      </c>
      <c r="AL150" s="387">
        <f t="shared" si="11"/>
        <v>0</v>
      </c>
      <c r="AM150" s="387">
        <f t="shared" si="10"/>
        <v>0</v>
      </c>
    </row>
    <row r="151" spans="1:39" s="391" customFormat="1" ht="39" hidden="1" customHeight="1" outlineLevel="3">
      <c r="A151" s="722"/>
      <c r="B151" s="733"/>
      <c r="C151" s="735"/>
      <c r="D151" s="735"/>
      <c r="E151" s="785"/>
      <c r="F151" s="786"/>
      <c r="G151" s="711"/>
      <c r="H151" s="839"/>
      <c r="I151" s="711"/>
      <c r="J151" s="711"/>
      <c r="K151" s="713"/>
      <c r="L151" s="362"/>
      <c r="M151" s="809"/>
      <c r="N151" s="401" t="b">
        <v>0</v>
      </c>
      <c r="O151" s="5"/>
      <c r="P151" s="363"/>
      <c r="Q151" s="713"/>
      <c r="R151" s="711"/>
      <c r="S151" s="711"/>
      <c r="T151" s="711"/>
      <c r="U151" s="711"/>
      <c r="V151" s="713">
        <f t="shared" si="19"/>
        <v>0</v>
      </c>
      <c r="W151" s="711"/>
      <c r="X151" s="362"/>
      <c r="Y151" s="364" t="s">
        <v>203</v>
      </c>
      <c r="Z151" s="5"/>
      <c r="AA151" s="5"/>
      <c r="AB151" s="392"/>
      <c r="AC151" s="711"/>
      <c r="AD151" s="711"/>
      <c r="AE151" s="363"/>
      <c r="AF151" s="713"/>
      <c r="AG151" s="713"/>
      <c r="AH151" s="589"/>
      <c r="AK151" s="107" t="s">
        <v>202</v>
      </c>
      <c r="AL151" s="387">
        <f t="shared" si="11"/>
        <v>0</v>
      </c>
      <c r="AM151" s="387">
        <f t="shared" si="10"/>
        <v>0</v>
      </c>
    </row>
    <row r="152" spans="1:39" s="391" customFormat="1" ht="68" hidden="1" customHeight="1" outlineLevel="3">
      <c r="A152" s="722"/>
      <c r="B152" s="733"/>
      <c r="C152" s="735"/>
      <c r="D152" s="735"/>
      <c r="E152" s="785"/>
      <c r="F152" s="784" t="s">
        <v>237</v>
      </c>
      <c r="G152" s="710"/>
      <c r="H152" s="838" t="str">
        <f>IF(G152="","",G152/$G$253)</f>
        <v/>
      </c>
      <c r="I152" s="710"/>
      <c r="J152" s="710"/>
      <c r="K152" s="712" t="str">
        <f>IF(SUM(I152:J153)=0,"",SUM(I152:J153))</f>
        <v/>
      </c>
      <c r="L152" s="362"/>
      <c r="M152" s="808" t="b">
        <v>0</v>
      </c>
      <c r="N152" s="401" t="b">
        <v>0</v>
      </c>
      <c r="O152" s="5"/>
      <c r="P152" s="363"/>
      <c r="Q152" s="712"/>
      <c r="R152" s="710"/>
      <c r="S152" s="710"/>
      <c r="T152" s="710"/>
      <c r="U152" s="710"/>
      <c r="V152" s="712">
        <f t="shared" si="19"/>
        <v>0</v>
      </c>
      <c r="W152" s="710"/>
      <c r="X152" s="362"/>
      <c r="Y152" s="364" t="s">
        <v>201</v>
      </c>
      <c r="Z152" s="5"/>
      <c r="AA152" s="5"/>
      <c r="AB152" s="392"/>
      <c r="AC152" s="710"/>
      <c r="AD152" s="710"/>
      <c r="AE152" s="363"/>
      <c r="AF152" s="712" t="str">
        <f t="shared" si="24"/>
        <v/>
      </c>
      <c r="AG152" s="712" t="str">
        <f>IF(K152="","",IF(AND(W152="",AA152="",AA153="",AD152=""),"Missing Info",IF(K152-W152-AA152-AA153+AD152=0,"OK","Review emissions")))</f>
        <v/>
      </c>
      <c r="AH152" s="589"/>
      <c r="AK152" s="107" t="s">
        <v>202</v>
      </c>
      <c r="AL152" s="387">
        <f t="shared" si="11"/>
        <v>0</v>
      </c>
      <c r="AM152" s="387">
        <f t="shared" si="10"/>
        <v>0</v>
      </c>
    </row>
    <row r="153" spans="1:39" s="391" customFormat="1" ht="68" hidden="1" customHeight="1" outlineLevel="3">
      <c r="A153" s="722"/>
      <c r="B153" s="733"/>
      <c r="C153" s="735"/>
      <c r="D153" s="735"/>
      <c r="E153" s="785"/>
      <c r="F153" s="786"/>
      <c r="G153" s="711"/>
      <c r="H153" s="839"/>
      <c r="I153" s="711"/>
      <c r="J153" s="711"/>
      <c r="K153" s="713"/>
      <c r="L153" s="362"/>
      <c r="M153" s="809"/>
      <c r="N153" s="401" t="b">
        <v>0</v>
      </c>
      <c r="O153" s="5"/>
      <c r="P153" s="363"/>
      <c r="Q153" s="713"/>
      <c r="R153" s="711"/>
      <c r="S153" s="711"/>
      <c r="T153" s="711"/>
      <c r="U153" s="711"/>
      <c r="V153" s="713">
        <f t="shared" si="19"/>
        <v>0</v>
      </c>
      <c r="W153" s="711"/>
      <c r="X153" s="362"/>
      <c r="Y153" s="364" t="s">
        <v>203</v>
      </c>
      <c r="Z153" s="5"/>
      <c r="AA153" s="5"/>
      <c r="AB153" s="392"/>
      <c r="AC153" s="711"/>
      <c r="AD153" s="711"/>
      <c r="AE153" s="363"/>
      <c r="AF153" s="713"/>
      <c r="AG153" s="713"/>
      <c r="AH153" s="589"/>
      <c r="AK153" s="107" t="s">
        <v>202</v>
      </c>
      <c r="AL153" s="387">
        <f t="shared" si="11"/>
        <v>0</v>
      </c>
      <c r="AM153" s="387">
        <f t="shared" ref="AM153:AM216" si="25">COUNTIFS($AK$89:$AK$238,$AK153,N$89:N$238,TRUE)</f>
        <v>0</v>
      </c>
    </row>
    <row r="154" spans="1:39" s="391" customFormat="1" ht="39" hidden="1" customHeight="1" outlineLevel="3">
      <c r="A154" s="722"/>
      <c r="B154" s="733"/>
      <c r="C154" s="735"/>
      <c r="D154" s="735"/>
      <c r="E154" s="785"/>
      <c r="F154" s="784" t="s">
        <v>125</v>
      </c>
      <c r="G154" s="710"/>
      <c r="H154" s="838" t="str">
        <f>IF(G154="","",G154/$G$253)</f>
        <v/>
      </c>
      <c r="I154" s="710"/>
      <c r="J154" s="710"/>
      <c r="K154" s="712" t="str">
        <f>IF(SUM(I154:J155)=0,"",SUM(I154:J155))</f>
        <v/>
      </c>
      <c r="L154" s="362"/>
      <c r="M154" s="808" t="b">
        <v>0</v>
      </c>
      <c r="N154" s="401" t="b">
        <v>0</v>
      </c>
      <c r="O154" s="5"/>
      <c r="P154" s="363"/>
      <c r="Q154" s="712"/>
      <c r="R154" s="710"/>
      <c r="S154" s="710"/>
      <c r="T154" s="710"/>
      <c r="U154" s="710"/>
      <c r="V154" s="712">
        <f t="shared" si="19"/>
        <v>0</v>
      </c>
      <c r="W154" s="710"/>
      <c r="X154" s="362"/>
      <c r="Y154" s="364" t="s">
        <v>201</v>
      </c>
      <c r="Z154" s="5"/>
      <c r="AA154" s="5"/>
      <c r="AB154" s="392"/>
      <c r="AC154" s="710"/>
      <c r="AD154" s="710"/>
      <c r="AE154" s="363"/>
      <c r="AF154" s="712" t="str">
        <f t="shared" si="24"/>
        <v/>
      </c>
      <c r="AG154" s="712" t="str">
        <f>IF(K154="","",IF(AND(W154="",AA154="",AA155="",AD154=""),"Missing Info",IF(K154-W154-AA154-AA155+AD154=0,"OK","Review emissions")))</f>
        <v/>
      </c>
      <c r="AH154" s="589"/>
      <c r="AK154" s="107" t="s">
        <v>202</v>
      </c>
      <c r="AL154" s="387">
        <f t="shared" ref="AL154:AL217" si="26">COUNTIFS($AK$89:$AK$238,$AK154,M$89:M$238,TRUE)</f>
        <v>0</v>
      </c>
      <c r="AM154" s="387">
        <f t="shared" si="25"/>
        <v>0</v>
      </c>
    </row>
    <row r="155" spans="1:39" s="391" customFormat="1" ht="39" hidden="1" customHeight="1" outlineLevel="3">
      <c r="A155" s="722"/>
      <c r="B155" s="733"/>
      <c r="C155" s="736"/>
      <c r="D155" s="736"/>
      <c r="E155" s="786"/>
      <c r="F155" s="786"/>
      <c r="G155" s="711"/>
      <c r="H155" s="839"/>
      <c r="I155" s="711"/>
      <c r="J155" s="711"/>
      <c r="K155" s="713"/>
      <c r="L155" s="362"/>
      <c r="M155" s="809"/>
      <c r="N155" s="401" t="b">
        <v>0</v>
      </c>
      <c r="O155" s="5"/>
      <c r="P155" s="363"/>
      <c r="Q155" s="713"/>
      <c r="R155" s="711"/>
      <c r="S155" s="711"/>
      <c r="T155" s="711"/>
      <c r="U155" s="711"/>
      <c r="V155" s="713">
        <f t="shared" si="19"/>
        <v>0</v>
      </c>
      <c r="W155" s="711"/>
      <c r="X155" s="362"/>
      <c r="Y155" s="364" t="s">
        <v>203</v>
      </c>
      <c r="Z155" s="5"/>
      <c r="AA155" s="5"/>
      <c r="AB155" s="392"/>
      <c r="AC155" s="711"/>
      <c r="AD155" s="711"/>
      <c r="AE155" s="363"/>
      <c r="AF155" s="713"/>
      <c r="AG155" s="713"/>
      <c r="AH155" s="589"/>
      <c r="AK155" s="107" t="s">
        <v>202</v>
      </c>
      <c r="AL155" s="387">
        <f t="shared" si="26"/>
        <v>0</v>
      </c>
      <c r="AM155" s="387">
        <f t="shared" si="25"/>
        <v>0</v>
      </c>
    </row>
    <row r="156" spans="1:39" s="391" customFormat="1" ht="39" hidden="1" customHeight="1" outlineLevel="3">
      <c r="A156" s="722"/>
      <c r="B156" s="733"/>
      <c r="C156" s="734" t="s">
        <v>16</v>
      </c>
      <c r="D156" s="738" t="s">
        <v>205</v>
      </c>
      <c r="E156" s="738"/>
      <c r="F156" s="739"/>
      <c r="G156" s="539"/>
      <c r="H156" s="388" t="str">
        <f>IF(G156="","",G156/$G$253)</f>
        <v/>
      </c>
      <c r="I156" s="539"/>
      <c r="J156" s="539"/>
      <c r="K156" s="557" t="str">
        <f t="shared" ref="K156:K177" si="27">IF(SUM(I156:J156)=0,"",SUM(I156:J156))</f>
        <v/>
      </c>
      <c r="L156" s="362"/>
      <c r="M156" s="544" t="b">
        <v>0</v>
      </c>
      <c r="N156" s="401" t="b">
        <v>0</v>
      </c>
      <c r="O156" s="5"/>
      <c r="P156" s="363"/>
      <c r="Q156" s="557"/>
      <c r="R156" s="5"/>
      <c r="S156" s="5"/>
      <c r="T156" s="5"/>
      <c r="U156" s="5"/>
      <c r="V156" s="557">
        <f t="shared" si="19"/>
        <v>0</v>
      </c>
      <c r="W156" s="5"/>
      <c r="X156" s="362"/>
      <c r="Y156" s="364" t="s">
        <v>206</v>
      </c>
      <c r="Z156" s="5"/>
      <c r="AA156" s="5"/>
      <c r="AB156" s="392"/>
      <c r="AC156" s="5"/>
      <c r="AD156" s="5"/>
      <c r="AE156" s="363"/>
      <c r="AF156" s="557" t="str">
        <f t="shared" ref="AF156:AF177" si="28">IF(G156="","",IF(AND(V156="",Z156="",AC156=""),"Missing Info",IF(G156-V156-Z156+AC156=0,"OK","Review financial exposure")))</f>
        <v/>
      </c>
      <c r="AG156" s="557" t="str">
        <f t="shared" ref="AG156:AG177" si="29">IF(K156="","",IF(AND(W156="",AA156="",AD156=""),"Missing Info",IF(K156-W156-AA156+AD156=0,"OK","Review emissions")))</f>
        <v/>
      </c>
      <c r="AH156" s="589"/>
      <c r="AK156" s="107" t="s">
        <v>207</v>
      </c>
      <c r="AL156" s="387">
        <f t="shared" si="26"/>
        <v>0</v>
      </c>
      <c r="AM156" s="387">
        <f t="shared" si="25"/>
        <v>0</v>
      </c>
    </row>
    <row r="157" spans="1:39" s="391" customFormat="1" ht="96" hidden="1" customHeight="1" outlineLevel="3">
      <c r="A157" s="722"/>
      <c r="B157" s="733"/>
      <c r="C157" s="735"/>
      <c r="D157" s="734" t="s">
        <v>16</v>
      </c>
      <c r="E157" s="784" t="s">
        <v>277</v>
      </c>
      <c r="F157" s="545" t="s">
        <v>235</v>
      </c>
      <c r="G157" s="539"/>
      <c r="H157" s="388" t="str">
        <f t="shared" ref="H157:H177" si="30">IF(G157="","",G157/$G$253)</f>
        <v/>
      </c>
      <c r="I157" s="539"/>
      <c r="J157" s="539"/>
      <c r="K157" s="557" t="str">
        <f t="shared" si="27"/>
        <v/>
      </c>
      <c r="L157" s="362"/>
      <c r="M157" s="544" t="b">
        <v>0</v>
      </c>
      <c r="N157" s="401" t="b">
        <v>0</v>
      </c>
      <c r="O157" s="5"/>
      <c r="P157" s="363"/>
      <c r="Q157" s="557"/>
      <c r="R157" s="5"/>
      <c r="S157" s="5"/>
      <c r="T157" s="5"/>
      <c r="U157" s="5"/>
      <c r="V157" s="557">
        <f t="shared" si="19"/>
        <v>0</v>
      </c>
      <c r="W157" s="5"/>
      <c r="X157" s="362"/>
      <c r="Y157" s="364" t="s">
        <v>206</v>
      </c>
      <c r="Z157" s="5"/>
      <c r="AA157" s="5"/>
      <c r="AB157" s="392"/>
      <c r="AC157" s="5"/>
      <c r="AD157" s="5"/>
      <c r="AE157" s="363"/>
      <c r="AF157" s="557" t="str">
        <f t="shared" si="28"/>
        <v/>
      </c>
      <c r="AG157" s="557" t="str">
        <f t="shared" si="29"/>
        <v/>
      </c>
      <c r="AH157" s="589"/>
      <c r="AK157" s="107" t="s">
        <v>207</v>
      </c>
      <c r="AL157" s="387">
        <f t="shared" si="26"/>
        <v>0</v>
      </c>
      <c r="AM157" s="387">
        <f t="shared" si="25"/>
        <v>0</v>
      </c>
    </row>
    <row r="158" spans="1:39" s="391" customFormat="1" ht="96" hidden="1" customHeight="1" outlineLevel="3">
      <c r="A158" s="722"/>
      <c r="B158" s="733"/>
      <c r="C158" s="735"/>
      <c r="D158" s="735"/>
      <c r="E158" s="785"/>
      <c r="F158" s="545" t="s">
        <v>236</v>
      </c>
      <c r="G158" s="539"/>
      <c r="H158" s="388" t="str">
        <f t="shared" si="30"/>
        <v/>
      </c>
      <c r="I158" s="539"/>
      <c r="J158" s="539"/>
      <c r="K158" s="557" t="str">
        <f t="shared" si="27"/>
        <v/>
      </c>
      <c r="L158" s="362"/>
      <c r="M158" s="544" t="b">
        <v>0</v>
      </c>
      <c r="N158" s="401" t="b">
        <v>0</v>
      </c>
      <c r="O158" s="5"/>
      <c r="P158" s="363"/>
      <c r="Q158" s="557"/>
      <c r="R158" s="5"/>
      <c r="S158" s="5"/>
      <c r="T158" s="5"/>
      <c r="U158" s="5"/>
      <c r="V158" s="557">
        <f t="shared" si="19"/>
        <v>0</v>
      </c>
      <c r="W158" s="5"/>
      <c r="X158" s="362"/>
      <c r="Y158" s="364" t="s">
        <v>206</v>
      </c>
      <c r="Z158" s="5"/>
      <c r="AA158" s="5"/>
      <c r="AB158" s="392"/>
      <c r="AC158" s="5"/>
      <c r="AD158" s="5"/>
      <c r="AE158" s="363"/>
      <c r="AF158" s="557" t="str">
        <f t="shared" si="28"/>
        <v/>
      </c>
      <c r="AG158" s="557" t="str">
        <f t="shared" si="29"/>
        <v/>
      </c>
      <c r="AH158" s="589"/>
      <c r="AK158" s="107" t="s">
        <v>207</v>
      </c>
      <c r="AL158" s="387">
        <f t="shared" si="26"/>
        <v>0</v>
      </c>
      <c r="AM158" s="387">
        <f t="shared" si="25"/>
        <v>0</v>
      </c>
    </row>
    <row r="159" spans="1:39" s="391" customFormat="1" ht="140" hidden="1" customHeight="1" outlineLevel="3">
      <c r="A159" s="722"/>
      <c r="B159" s="733"/>
      <c r="C159" s="735"/>
      <c r="D159" s="735"/>
      <c r="E159" s="785"/>
      <c r="F159" s="545" t="s">
        <v>237</v>
      </c>
      <c r="G159" s="539"/>
      <c r="H159" s="388" t="str">
        <f t="shared" si="30"/>
        <v/>
      </c>
      <c r="I159" s="539"/>
      <c r="J159" s="539"/>
      <c r="K159" s="557" t="str">
        <f t="shared" si="27"/>
        <v/>
      </c>
      <c r="L159" s="362"/>
      <c r="M159" s="544" t="b">
        <v>0</v>
      </c>
      <c r="N159" s="401" t="b">
        <v>0</v>
      </c>
      <c r="O159" s="5"/>
      <c r="P159" s="363"/>
      <c r="Q159" s="557"/>
      <c r="R159" s="5"/>
      <c r="S159" s="5"/>
      <c r="T159" s="5"/>
      <c r="U159" s="5"/>
      <c r="V159" s="557">
        <f t="shared" si="19"/>
        <v>0</v>
      </c>
      <c r="W159" s="5"/>
      <c r="X159" s="362"/>
      <c r="Y159" s="364" t="s">
        <v>206</v>
      </c>
      <c r="Z159" s="5"/>
      <c r="AA159" s="5"/>
      <c r="AB159" s="392"/>
      <c r="AC159" s="5"/>
      <c r="AD159" s="5"/>
      <c r="AE159" s="363"/>
      <c r="AF159" s="557" t="str">
        <f t="shared" si="28"/>
        <v/>
      </c>
      <c r="AG159" s="557" t="str">
        <f t="shared" si="29"/>
        <v/>
      </c>
      <c r="AH159" s="589"/>
      <c r="AK159" s="107" t="s">
        <v>207</v>
      </c>
      <c r="AL159" s="387">
        <f t="shared" si="26"/>
        <v>0</v>
      </c>
      <c r="AM159" s="387">
        <f t="shared" si="25"/>
        <v>0</v>
      </c>
    </row>
    <row r="160" spans="1:39" s="391" customFormat="1" ht="96" hidden="1" customHeight="1" outlineLevel="3">
      <c r="A160" s="722"/>
      <c r="B160" s="733"/>
      <c r="C160" s="736"/>
      <c r="D160" s="736"/>
      <c r="E160" s="786"/>
      <c r="F160" s="545" t="s">
        <v>125</v>
      </c>
      <c r="G160" s="539"/>
      <c r="H160" s="388" t="str">
        <f t="shared" si="30"/>
        <v/>
      </c>
      <c r="I160" s="539"/>
      <c r="J160" s="539"/>
      <c r="K160" s="557" t="str">
        <f t="shared" si="27"/>
        <v/>
      </c>
      <c r="L160" s="362"/>
      <c r="M160" s="544" t="b">
        <v>0</v>
      </c>
      <c r="N160" s="401" t="b">
        <v>0</v>
      </c>
      <c r="O160" s="5"/>
      <c r="P160" s="363"/>
      <c r="Q160" s="557"/>
      <c r="R160" s="5"/>
      <c r="S160" s="5"/>
      <c r="T160" s="5"/>
      <c r="U160" s="5"/>
      <c r="V160" s="557">
        <f t="shared" si="19"/>
        <v>0</v>
      </c>
      <c r="W160" s="5"/>
      <c r="X160" s="362"/>
      <c r="Y160" s="364" t="s">
        <v>206</v>
      </c>
      <c r="Z160" s="5"/>
      <c r="AA160" s="5"/>
      <c r="AB160" s="392"/>
      <c r="AC160" s="5"/>
      <c r="AD160" s="5"/>
      <c r="AE160" s="363"/>
      <c r="AF160" s="557" t="str">
        <f t="shared" si="28"/>
        <v/>
      </c>
      <c r="AG160" s="557" t="str">
        <f t="shared" si="29"/>
        <v/>
      </c>
      <c r="AH160" s="589"/>
      <c r="AK160" s="107" t="s">
        <v>207</v>
      </c>
      <c r="AL160" s="387">
        <f t="shared" si="26"/>
        <v>0</v>
      </c>
      <c r="AM160" s="387">
        <f t="shared" si="25"/>
        <v>0</v>
      </c>
    </row>
    <row r="161" spans="1:39" s="391" customFormat="1" ht="39" hidden="1" customHeight="1" outlineLevel="3">
      <c r="A161" s="722"/>
      <c r="B161" s="733"/>
      <c r="C161" s="734" t="s">
        <v>208</v>
      </c>
      <c r="D161" s="737" t="s">
        <v>209</v>
      </c>
      <c r="E161" s="738"/>
      <c r="F161" s="739"/>
      <c r="G161" s="539"/>
      <c r="H161" s="388" t="str">
        <f t="shared" si="30"/>
        <v/>
      </c>
      <c r="I161" s="539"/>
      <c r="J161" s="539"/>
      <c r="K161" s="557" t="str">
        <f t="shared" si="27"/>
        <v/>
      </c>
      <c r="L161" s="362"/>
      <c r="M161" s="544" t="b">
        <v>0</v>
      </c>
      <c r="N161" s="401" t="b">
        <v>0</v>
      </c>
      <c r="O161" s="5"/>
      <c r="P161" s="363"/>
      <c r="Q161" s="557"/>
      <c r="R161" s="5"/>
      <c r="S161" s="5"/>
      <c r="T161" s="5"/>
      <c r="U161" s="5"/>
      <c r="V161" s="557">
        <f t="shared" si="19"/>
        <v>0</v>
      </c>
      <c r="W161" s="5"/>
      <c r="X161" s="362"/>
      <c r="Y161" s="394" t="s">
        <v>210</v>
      </c>
      <c r="Z161" s="5"/>
      <c r="AA161" s="5"/>
      <c r="AB161" s="392"/>
      <c r="AC161" s="5"/>
      <c r="AD161" s="5"/>
      <c r="AE161" s="363"/>
      <c r="AF161" s="557" t="str">
        <f t="shared" si="28"/>
        <v/>
      </c>
      <c r="AG161" s="557" t="str">
        <f t="shared" si="29"/>
        <v/>
      </c>
      <c r="AH161" s="589"/>
      <c r="AK161" s="107" t="s">
        <v>211</v>
      </c>
      <c r="AL161" s="387">
        <f t="shared" si="26"/>
        <v>0</v>
      </c>
      <c r="AM161" s="387">
        <f t="shared" si="25"/>
        <v>0</v>
      </c>
    </row>
    <row r="162" spans="1:39" s="391" customFormat="1" ht="91.25" hidden="1" customHeight="1" outlineLevel="3">
      <c r="A162" s="722"/>
      <c r="B162" s="733"/>
      <c r="C162" s="735"/>
      <c r="D162" s="784" t="s">
        <v>212</v>
      </c>
      <c r="E162" s="784" t="s">
        <v>277</v>
      </c>
      <c r="F162" s="545" t="s">
        <v>235</v>
      </c>
      <c r="G162" s="539"/>
      <c r="H162" s="388" t="str">
        <f t="shared" si="30"/>
        <v/>
      </c>
      <c r="I162" s="539"/>
      <c r="J162" s="539"/>
      <c r="K162" s="557" t="str">
        <f t="shared" si="27"/>
        <v/>
      </c>
      <c r="L162" s="362"/>
      <c r="M162" s="544" t="b">
        <v>0</v>
      </c>
      <c r="N162" s="401" t="b">
        <v>0</v>
      </c>
      <c r="O162" s="5"/>
      <c r="P162" s="363"/>
      <c r="Q162" s="557"/>
      <c r="R162" s="5"/>
      <c r="S162" s="5"/>
      <c r="T162" s="5"/>
      <c r="U162" s="5"/>
      <c r="V162" s="557">
        <f t="shared" si="19"/>
        <v>0</v>
      </c>
      <c r="W162" s="5"/>
      <c r="X162" s="362"/>
      <c r="Y162" s="394" t="s">
        <v>210</v>
      </c>
      <c r="Z162" s="5"/>
      <c r="AA162" s="5"/>
      <c r="AB162" s="392"/>
      <c r="AC162" s="5"/>
      <c r="AD162" s="5"/>
      <c r="AE162" s="363"/>
      <c r="AF162" s="557" t="str">
        <f t="shared" si="28"/>
        <v/>
      </c>
      <c r="AG162" s="557" t="str">
        <f t="shared" si="29"/>
        <v/>
      </c>
      <c r="AH162" s="589"/>
      <c r="AK162" s="107" t="s">
        <v>211</v>
      </c>
      <c r="AL162" s="387">
        <f t="shared" si="26"/>
        <v>0</v>
      </c>
      <c r="AM162" s="387">
        <f t="shared" si="25"/>
        <v>0</v>
      </c>
    </row>
    <row r="163" spans="1:39" s="391" customFormat="1" ht="91.25" hidden="1" customHeight="1" outlineLevel="3">
      <c r="A163" s="722"/>
      <c r="B163" s="733"/>
      <c r="C163" s="735"/>
      <c r="D163" s="785"/>
      <c r="E163" s="785"/>
      <c r="F163" s="545" t="s">
        <v>236</v>
      </c>
      <c r="G163" s="539"/>
      <c r="H163" s="388" t="str">
        <f t="shared" si="30"/>
        <v/>
      </c>
      <c r="I163" s="539"/>
      <c r="J163" s="539"/>
      <c r="K163" s="557" t="str">
        <f t="shared" si="27"/>
        <v/>
      </c>
      <c r="L163" s="362"/>
      <c r="M163" s="544" t="b">
        <v>0</v>
      </c>
      <c r="N163" s="401" t="b">
        <v>0</v>
      </c>
      <c r="O163" s="5"/>
      <c r="P163" s="363"/>
      <c r="Q163" s="557"/>
      <c r="R163" s="5"/>
      <c r="S163" s="5"/>
      <c r="T163" s="5"/>
      <c r="U163" s="5"/>
      <c r="V163" s="557">
        <f t="shared" ref="V163:V177" si="31">IF(M163=TRUE,SUM(Q163:U163),0)</f>
        <v>0</v>
      </c>
      <c r="W163" s="5"/>
      <c r="X163" s="362"/>
      <c r="Y163" s="394" t="s">
        <v>210</v>
      </c>
      <c r="Z163" s="5"/>
      <c r="AA163" s="5"/>
      <c r="AB163" s="392"/>
      <c r="AC163" s="5"/>
      <c r="AD163" s="5"/>
      <c r="AE163" s="363"/>
      <c r="AF163" s="557" t="str">
        <f t="shared" si="28"/>
        <v/>
      </c>
      <c r="AG163" s="557" t="str">
        <f t="shared" si="29"/>
        <v/>
      </c>
      <c r="AH163" s="589"/>
      <c r="AK163" s="107" t="s">
        <v>211</v>
      </c>
      <c r="AL163" s="387">
        <f t="shared" si="26"/>
        <v>0</v>
      </c>
      <c r="AM163" s="387">
        <f t="shared" si="25"/>
        <v>0</v>
      </c>
    </row>
    <row r="164" spans="1:39" s="391" customFormat="1" ht="130.25" hidden="1" customHeight="1" outlineLevel="3">
      <c r="A164" s="722"/>
      <c r="B164" s="733"/>
      <c r="C164" s="735"/>
      <c r="D164" s="785"/>
      <c r="E164" s="785"/>
      <c r="F164" s="545" t="s">
        <v>237</v>
      </c>
      <c r="G164" s="539"/>
      <c r="H164" s="388" t="str">
        <f t="shared" si="30"/>
        <v/>
      </c>
      <c r="I164" s="539"/>
      <c r="J164" s="539"/>
      <c r="K164" s="557" t="str">
        <f t="shared" si="27"/>
        <v/>
      </c>
      <c r="L164" s="362"/>
      <c r="M164" s="544" t="b">
        <v>0</v>
      </c>
      <c r="N164" s="401" t="b">
        <v>0</v>
      </c>
      <c r="O164" s="5"/>
      <c r="P164" s="363"/>
      <c r="Q164" s="557"/>
      <c r="R164" s="5"/>
      <c r="S164" s="5"/>
      <c r="T164" s="5"/>
      <c r="U164" s="5"/>
      <c r="V164" s="557">
        <f t="shared" si="31"/>
        <v>0</v>
      </c>
      <c r="W164" s="5"/>
      <c r="X164" s="362"/>
      <c r="Y164" s="394" t="s">
        <v>210</v>
      </c>
      <c r="Z164" s="5"/>
      <c r="AA164" s="5"/>
      <c r="AB164" s="392"/>
      <c r="AC164" s="5"/>
      <c r="AD164" s="5"/>
      <c r="AE164" s="363"/>
      <c r="AF164" s="557" t="str">
        <f t="shared" si="28"/>
        <v/>
      </c>
      <c r="AG164" s="557" t="str">
        <f t="shared" si="29"/>
        <v/>
      </c>
      <c r="AH164" s="589"/>
      <c r="AK164" s="107" t="s">
        <v>211</v>
      </c>
      <c r="AL164" s="387">
        <f t="shared" si="26"/>
        <v>0</v>
      </c>
      <c r="AM164" s="387">
        <f t="shared" si="25"/>
        <v>0</v>
      </c>
    </row>
    <row r="165" spans="1:39" s="391" customFormat="1" ht="39" hidden="1" customHeight="1" outlineLevel="3">
      <c r="A165" s="722"/>
      <c r="B165" s="733"/>
      <c r="C165" s="735"/>
      <c r="D165" s="785"/>
      <c r="E165" s="785"/>
      <c r="F165" s="545" t="s">
        <v>124</v>
      </c>
      <c r="G165" s="539"/>
      <c r="H165" s="388" t="str">
        <f t="shared" si="30"/>
        <v/>
      </c>
      <c r="I165" s="539"/>
      <c r="J165" s="539"/>
      <c r="K165" s="557" t="str">
        <f t="shared" si="27"/>
        <v/>
      </c>
      <c r="L165" s="362"/>
      <c r="M165" s="544" t="b">
        <v>0</v>
      </c>
      <c r="N165" s="401" t="b">
        <v>0</v>
      </c>
      <c r="O165" s="5"/>
      <c r="P165" s="363"/>
      <c r="Q165" s="557"/>
      <c r="R165" s="5"/>
      <c r="S165" s="5"/>
      <c r="T165" s="5"/>
      <c r="U165" s="5"/>
      <c r="V165" s="557">
        <f t="shared" si="31"/>
        <v>0</v>
      </c>
      <c r="W165" s="5"/>
      <c r="X165" s="362"/>
      <c r="Y165" s="394" t="s">
        <v>210</v>
      </c>
      <c r="Z165" s="5"/>
      <c r="AA165" s="5"/>
      <c r="AB165" s="392"/>
      <c r="AC165" s="5"/>
      <c r="AD165" s="5"/>
      <c r="AE165" s="363"/>
      <c r="AF165" s="557" t="str">
        <f t="shared" si="28"/>
        <v/>
      </c>
      <c r="AG165" s="557" t="str">
        <f t="shared" si="29"/>
        <v/>
      </c>
      <c r="AH165" s="589"/>
      <c r="AK165" s="107" t="s">
        <v>211</v>
      </c>
      <c r="AL165" s="387">
        <f t="shared" si="26"/>
        <v>0</v>
      </c>
      <c r="AM165" s="387">
        <f t="shared" si="25"/>
        <v>0</v>
      </c>
    </row>
    <row r="166" spans="1:39" s="391" customFormat="1" ht="39" hidden="1" customHeight="1" outlineLevel="3">
      <c r="A166" s="722"/>
      <c r="B166" s="733"/>
      <c r="C166" s="736"/>
      <c r="D166" s="786"/>
      <c r="E166" s="786"/>
      <c r="F166" s="545" t="s">
        <v>238</v>
      </c>
      <c r="G166" s="539"/>
      <c r="H166" s="388" t="str">
        <f t="shared" si="30"/>
        <v/>
      </c>
      <c r="I166" s="539"/>
      <c r="J166" s="539"/>
      <c r="K166" s="557" t="str">
        <f t="shared" si="27"/>
        <v/>
      </c>
      <c r="L166" s="362"/>
      <c r="M166" s="544" t="b">
        <v>0</v>
      </c>
      <c r="N166" s="401" t="b">
        <v>0</v>
      </c>
      <c r="O166" s="5"/>
      <c r="P166" s="363"/>
      <c r="Q166" s="557"/>
      <c r="R166" s="5"/>
      <c r="S166" s="5"/>
      <c r="T166" s="5"/>
      <c r="U166" s="5"/>
      <c r="V166" s="557">
        <f t="shared" si="31"/>
        <v>0</v>
      </c>
      <c r="W166" s="5"/>
      <c r="X166" s="362"/>
      <c r="Y166" s="394" t="s">
        <v>210</v>
      </c>
      <c r="Z166" s="5"/>
      <c r="AA166" s="5"/>
      <c r="AB166" s="392"/>
      <c r="AC166" s="5"/>
      <c r="AD166" s="5"/>
      <c r="AE166" s="363"/>
      <c r="AF166" s="557" t="str">
        <f t="shared" si="28"/>
        <v/>
      </c>
      <c r="AG166" s="557" t="str">
        <f t="shared" si="29"/>
        <v/>
      </c>
      <c r="AH166" s="589"/>
      <c r="AK166" s="107" t="s">
        <v>211</v>
      </c>
      <c r="AL166" s="387">
        <f t="shared" si="26"/>
        <v>0</v>
      </c>
      <c r="AM166" s="387">
        <f t="shared" si="25"/>
        <v>0</v>
      </c>
    </row>
    <row r="167" spans="1:39" s="391" customFormat="1" ht="39" hidden="1" customHeight="1" outlineLevel="2" collapsed="1">
      <c r="A167" s="721" t="s">
        <v>127</v>
      </c>
      <c r="B167" s="732" t="s">
        <v>128</v>
      </c>
      <c r="C167" s="724" t="s">
        <v>129</v>
      </c>
      <c r="D167" s="725"/>
      <c r="E167" s="725"/>
      <c r="F167" s="726"/>
      <c r="G167" s="5"/>
      <c r="H167" s="388" t="str">
        <f t="shared" si="30"/>
        <v/>
      </c>
      <c r="I167" s="5"/>
      <c r="J167" s="5"/>
      <c r="K167" s="557" t="str">
        <f t="shared" si="27"/>
        <v/>
      </c>
      <c r="L167" s="362"/>
      <c r="M167" s="544" t="b">
        <v>0</v>
      </c>
      <c r="N167" s="389"/>
      <c r="O167" s="5"/>
      <c r="P167" s="363"/>
      <c r="Q167" s="5"/>
      <c r="R167" s="5"/>
      <c r="S167" s="5"/>
      <c r="T167" s="5"/>
      <c r="U167" s="5"/>
      <c r="V167" s="557">
        <f t="shared" si="31"/>
        <v>0</v>
      </c>
      <c r="W167" s="5"/>
      <c r="X167" s="362"/>
      <c r="Y167" s="364"/>
      <c r="Z167" s="557"/>
      <c r="AA167" s="557"/>
      <c r="AB167" s="390"/>
      <c r="AC167" s="557"/>
      <c r="AD167" s="557"/>
      <c r="AE167" s="363"/>
      <c r="AF167" s="557" t="str">
        <f t="shared" si="28"/>
        <v/>
      </c>
      <c r="AG167" s="557" t="str">
        <f t="shared" si="29"/>
        <v/>
      </c>
      <c r="AH167" s="589"/>
      <c r="AK167" s="107" t="s">
        <v>213</v>
      </c>
      <c r="AL167" s="387">
        <f t="shared" si="26"/>
        <v>0</v>
      </c>
      <c r="AM167" s="387">
        <f t="shared" si="25"/>
        <v>0</v>
      </c>
    </row>
    <row r="168" spans="1:39" s="391" customFormat="1" ht="80" hidden="1" customHeight="1" outlineLevel="3">
      <c r="A168" s="722"/>
      <c r="B168" s="733"/>
      <c r="C168" s="746" t="s">
        <v>122</v>
      </c>
      <c r="D168" s="747"/>
      <c r="E168" s="784" t="s">
        <v>277</v>
      </c>
      <c r="F168" s="545" t="s">
        <v>239</v>
      </c>
      <c r="G168" s="5"/>
      <c r="H168" s="388" t="str">
        <f t="shared" si="30"/>
        <v/>
      </c>
      <c r="I168" s="5"/>
      <c r="J168" s="5"/>
      <c r="K168" s="557" t="str">
        <f t="shared" si="27"/>
        <v/>
      </c>
      <c r="L168" s="362"/>
      <c r="M168" s="544" t="b">
        <v>0</v>
      </c>
      <c r="N168" s="389"/>
      <c r="O168" s="5"/>
      <c r="P168" s="363"/>
      <c r="Q168" s="5"/>
      <c r="R168" s="5"/>
      <c r="S168" s="5"/>
      <c r="T168" s="5"/>
      <c r="U168" s="5"/>
      <c r="V168" s="557">
        <f t="shared" si="31"/>
        <v>0</v>
      </c>
      <c r="W168" s="5"/>
      <c r="X168" s="362"/>
      <c r="Y168" s="364"/>
      <c r="Z168" s="557"/>
      <c r="AA168" s="557"/>
      <c r="AB168" s="390"/>
      <c r="AC168" s="557"/>
      <c r="AD168" s="557"/>
      <c r="AE168" s="363"/>
      <c r="AF168" s="557" t="str">
        <f t="shared" si="28"/>
        <v/>
      </c>
      <c r="AG168" s="557" t="str">
        <f t="shared" si="29"/>
        <v/>
      </c>
      <c r="AH168" s="589"/>
      <c r="AK168" s="107" t="s">
        <v>213</v>
      </c>
      <c r="AL168" s="387">
        <f t="shared" si="26"/>
        <v>0</v>
      </c>
      <c r="AM168" s="387">
        <f t="shared" si="25"/>
        <v>0</v>
      </c>
    </row>
    <row r="169" spans="1:39" s="391" customFormat="1" ht="80" hidden="1" customHeight="1" outlineLevel="3">
      <c r="A169" s="722"/>
      <c r="B169" s="733"/>
      <c r="C169" s="830"/>
      <c r="D169" s="831"/>
      <c r="E169" s="785"/>
      <c r="F169" s="545" t="s">
        <v>240</v>
      </c>
      <c r="G169" s="5"/>
      <c r="H169" s="388" t="str">
        <f t="shared" si="30"/>
        <v/>
      </c>
      <c r="I169" s="5"/>
      <c r="J169" s="5"/>
      <c r="K169" s="557" t="str">
        <f t="shared" si="27"/>
        <v/>
      </c>
      <c r="L169" s="362"/>
      <c r="M169" s="544" t="b">
        <v>0</v>
      </c>
      <c r="N169" s="389"/>
      <c r="O169" s="5"/>
      <c r="P169" s="363"/>
      <c r="Q169" s="5"/>
      <c r="R169" s="5"/>
      <c r="S169" s="5"/>
      <c r="T169" s="5"/>
      <c r="U169" s="5"/>
      <c r="V169" s="557">
        <f t="shared" si="31"/>
        <v>0</v>
      </c>
      <c r="W169" s="5"/>
      <c r="X169" s="362"/>
      <c r="Y169" s="364"/>
      <c r="Z169" s="557"/>
      <c r="AA169" s="557"/>
      <c r="AB169" s="390"/>
      <c r="AC169" s="557"/>
      <c r="AD169" s="557"/>
      <c r="AE169" s="363"/>
      <c r="AF169" s="557" t="str">
        <f t="shared" si="28"/>
        <v/>
      </c>
      <c r="AG169" s="557" t="str">
        <f t="shared" si="29"/>
        <v/>
      </c>
      <c r="AH169" s="589"/>
      <c r="AK169" s="107" t="s">
        <v>213</v>
      </c>
      <c r="AL169" s="387">
        <f t="shared" si="26"/>
        <v>0</v>
      </c>
      <c r="AM169" s="387">
        <f t="shared" si="25"/>
        <v>0</v>
      </c>
    </row>
    <row r="170" spans="1:39" s="391" customFormat="1" ht="127.25" hidden="1" customHeight="1" outlineLevel="3">
      <c r="A170" s="722"/>
      <c r="B170" s="733"/>
      <c r="C170" s="830"/>
      <c r="D170" s="831"/>
      <c r="E170" s="785"/>
      <c r="F170" s="545" t="s">
        <v>241</v>
      </c>
      <c r="G170" s="5"/>
      <c r="H170" s="388" t="str">
        <f t="shared" si="30"/>
        <v/>
      </c>
      <c r="I170" s="5"/>
      <c r="J170" s="5"/>
      <c r="K170" s="557" t="str">
        <f t="shared" si="27"/>
        <v/>
      </c>
      <c r="L170" s="362"/>
      <c r="M170" s="544" t="b">
        <v>0</v>
      </c>
      <c r="N170" s="389"/>
      <c r="O170" s="5"/>
      <c r="P170" s="363"/>
      <c r="Q170" s="5"/>
      <c r="R170" s="5"/>
      <c r="S170" s="5"/>
      <c r="T170" s="5"/>
      <c r="U170" s="5"/>
      <c r="V170" s="557">
        <f t="shared" si="31"/>
        <v>0</v>
      </c>
      <c r="W170" s="5"/>
      <c r="X170" s="362"/>
      <c r="Y170" s="364"/>
      <c r="Z170" s="557"/>
      <c r="AA170" s="557"/>
      <c r="AB170" s="390"/>
      <c r="AC170" s="557"/>
      <c r="AD170" s="557"/>
      <c r="AE170" s="363"/>
      <c r="AF170" s="557" t="str">
        <f t="shared" si="28"/>
        <v/>
      </c>
      <c r="AG170" s="557" t="str">
        <f t="shared" si="29"/>
        <v/>
      </c>
      <c r="AH170" s="589"/>
      <c r="AK170" s="107" t="s">
        <v>213</v>
      </c>
      <c r="AL170" s="387">
        <f t="shared" si="26"/>
        <v>0</v>
      </c>
      <c r="AM170" s="387">
        <f t="shared" si="25"/>
        <v>0</v>
      </c>
    </row>
    <row r="171" spans="1:39" s="391" customFormat="1" ht="80" hidden="1" customHeight="1" outlineLevel="3">
      <c r="A171" s="723"/>
      <c r="B171" s="733"/>
      <c r="C171" s="748"/>
      <c r="D171" s="749"/>
      <c r="E171" s="786"/>
      <c r="F171" s="545" t="s">
        <v>132</v>
      </c>
      <c r="G171" s="5"/>
      <c r="H171" s="388" t="str">
        <f t="shared" si="30"/>
        <v/>
      </c>
      <c r="I171" s="5"/>
      <c r="J171" s="5"/>
      <c r="K171" s="557" t="str">
        <f t="shared" si="27"/>
        <v/>
      </c>
      <c r="L171" s="362"/>
      <c r="M171" s="544" t="b">
        <v>0</v>
      </c>
      <c r="N171" s="389"/>
      <c r="O171" s="5"/>
      <c r="P171" s="363"/>
      <c r="Q171" s="5"/>
      <c r="R171" s="5"/>
      <c r="S171" s="5"/>
      <c r="T171" s="5"/>
      <c r="U171" s="5"/>
      <c r="V171" s="557">
        <f t="shared" si="31"/>
        <v>0</v>
      </c>
      <c r="W171" s="5"/>
      <c r="X171" s="362"/>
      <c r="Y171" s="364"/>
      <c r="Z171" s="557"/>
      <c r="AA171" s="557"/>
      <c r="AB171" s="390"/>
      <c r="AC171" s="557"/>
      <c r="AD171" s="557"/>
      <c r="AE171" s="363"/>
      <c r="AF171" s="557" t="str">
        <f t="shared" si="28"/>
        <v/>
      </c>
      <c r="AG171" s="557" t="str">
        <f t="shared" si="29"/>
        <v/>
      </c>
      <c r="AH171" s="589"/>
      <c r="AK171" s="107" t="s">
        <v>213</v>
      </c>
      <c r="AL171" s="387">
        <f t="shared" si="26"/>
        <v>0</v>
      </c>
      <c r="AM171" s="387">
        <f t="shared" si="25"/>
        <v>0</v>
      </c>
    </row>
    <row r="172" spans="1:39" s="391" customFormat="1" ht="39" hidden="1" customHeight="1" outlineLevel="2" collapsed="1">
      <c r="A172" s="721" t="s">
        <v>133</v>
      </c>
      <c r="B172" s="732" t="s">
        <v>134</v>
      </c>
      <c r="C172" s="724" t="s">
        <v>135</v>
      </c>
      <c r="D172" s="725"/>
      <c r="E172" s="725"/>
      <c r="F172" s="726"/>
      <c r="G172" s="5"/>
      <c r="H172" s="388" t="str">
        <f t="shared" si="30"/>
        <v/>
      </c>
      <c r="I172" s="5"/>
      <c r="J172" s="5"/>
      <c r="K172" s="557" t="str">
        <f t="shared" si="27"/>
        <v/>
      </c>
      <c r="L172" s="362"/>
      <c r="M172" s="544" t="b">
        <v>0</v>
      </c>
      <c r="N172" s="389"/>
      <c r="O172" s="5"/>
      <c r="P172" s="363"/>
      <c r="Q172" s="5"/>
      <c r="R172" s="5"/>
      <c r="S172" s="5"/>
      <c r="T172" s="5"/>
      <c r="U172" s="5"/>
      <c r="V172" s="557">
        <f t="shared" si="31"/>
        <v>0</v>
      </c>
      <c r="W172" s="5"/>
      <c r="X172" s="362"/>
      <c r="Y172" s="364"/>
      <c r="Z172" s="557"/>
      <c r="AA172" s="557"/>
      <c r="AB172" s="390"/>
      <c r="AC172" s="557"/>
      <c r="AD172" s="557"/>
      <c r="AE172" s="363"/>
      <c r="AF172" s="557" t="str">
        <f t="shared" si="28"/>
        <v/>
      </c>
      <c r="AG172" s="557" t="str">
        <f t="shared" si="29"/>
        <v/>
      </c>
      <c r="AH172" s="589"/>
      <c r="AK172" s="107" t="s">
        <v>214</v>
      </c>
      <c r="AL172" s="387">
        <f t="shared" si="26"/>
        <v>0</v>
      </c>
      <c r="AM172" s="387">
        <f t="shared" si="25"/>
        <v>0</v>
      </c>
    </row>
    <row r="173" spans="1:39" s="391" customFormat="1" ht="131" hidden="1" customHeight="1" outlineLevel="3">
      <c r="A173" s="722"/>
      <c r="B173" s="733"/>
      <c r="C173" s="756" t="s">
        <v>122</v>
      </c>
      <c r="D173" s="757"/>
      <c r="E173" s="784" t="s">
        <v>277</v>
      </c>
      <c r="F173" s="545" t="s">
        <v>242</v>
      </c>
      <c r="G173" s="5"/>
      <c r="H173" s="388" t="str">
        <f t="shared" si="30"/>
        <v/>
      </c>
      <c r="I173" s="5"/>
      <c r="J173" s="5"/>
      <c r="K173" s="557" t="str">
        <f t="shared" si="27"/>
        <v/>
      </c>
      <c r="L173" s="362"/>
      <c r="M173" s="544" t="b">
        <v>0</v>
      </c>
      <c r="N173" s="389"/>
      <c r="O173" s="5"/>
      <c r="P173" s="363"/>
      <c r="Q173" s="5"/>
      <c r="R173" s="5"/>
      <c r="S173" s="5"/>
      <c r="T173" s="5"/>
      <c r="U173" s="5"/>
      <c r="V173" s="557">
        <f t="shared" si="31"/>
        <v>0</v>
      </c>
      <c r="W173" s="5"/>
      <c r="X173" s="362"/>
      <c r="Y173" s="364"/>
      <c r="Z173" s="557"/>
      <c r="AA173" s="557"/>
      <c r="AB173" s="390"/>
      <c r="AC173" s="557"/>
      <c r="AD173" s="557"/>
      <c r="AE173" s="363"/>
      <c r="AF173" s="557" t="str">
        <f t="shared" si="28"/>
        <v/>
      </c>
      <c r="AG173" s="557" t="str">
        <f t="shared" si="29"/>
        <v/>
      </c>
      <c r="AH173" s="589"/>
      <c r="AK173" s="107" t="s">
        <v>214</v>
      </c>
      <c r="AL173" s="387">
        <f t="shared" si="26"/>
        <v>0</v>
      </c>
      <c r="AM173" s="387">
        <f t="shared" si="25"/>
        <v>0</v>
      </c>
    </row>
    <row r="174" spans="1:39" s="391" customFormat="1" ht="131" hidden="1" customHeight="1" outlineLevel="3">
      <c r="A174" s="722"/>
      <c r="B174" s="733"/>
      <c r="C174" s="758"/>
      <c r="D174" s="759"/>
      <c r="E174" s="785"/>
      <c r="F174" s="545" t="s">
        <v>243</v>
      </c>
      <c r="G174" s="5"/>
      <c r="H174" s="388" t="str">
        <f t="shared" si="30"/>
        <v/>
      </c>
      <c r="I174" s="5"/>
      <c r="J174" s="5"/>
      <c r="K174" s="557" t="str">
        <f t="shared" si="27"/>
        <v/>
      </c>
      <c r="L174" s="362"/>
      <c r="M174" s="544" t="b">
        <v>0</v>
      </c>
      <c r="N174" s="389"/>
      <c r="O174" s="5"/>
      <c r="P174" s="363"/>
      <c r="Q174" s="5"/>
      <c r="R174" s="5"/>
      <c r="S174" s="5"/>
      <c r="T174" s="5"/>
      <c r="U174" s="5"/>
      <c r="V174" s="557">
        <f t="shared" si="31"/>
        <v>0</v>
      </c>
      <c r="W174" s="5"/>
      <c r="X174" s="362"/>
      <c r="Y174" s="364"/>
      <c r="Z174" s="557"/>
      <c r="AA174" s="557"/>
      <c r="AB174" s="390"/>
      <c r="AC174" s="557"/>
      <c r="AD174" s="557"/>
      <c r="AE174" s="363"/>
      <c r="AF174" s="557" t="str">
        <f t="shared" si="28"/>
        <v/>
      </c>
      <c r="AG174" s="557" t="str">
        <f t="shared" si="29"/>
        <v/>
      </c>
      <c r="AH174" s="589"/>
      <c r="AK174" s="107" t="s">
        <v>214</v>
      </c>
      <c r="AL174" s="387">
        <f t="shared" si="26"/>
        <v>0</v>
      </c>
      <c r="AM174" s="387">
        <f t="shared" si="25"/>
        <v>0</v>
      </c>
    </row>
    <row r="175" spans="1:39" s="391" customFormat="1" ht="131" hidden="1" customHeight="1" outlineLevel="3">
      <c r="A175" s="722"/>
      <c r="B175" s="733"/>
      <c r="C175" s="758"/>
      <c r="D175" s="759"/>
      <c r="E175" s="786"/>
      <c r="F175" s="545" t="s">
        <v>140</v>
      </c>
      <c r="G175" s="5"/>
      <c r="H175" s="388" t="str">
        <f t="shared" si="30"/>
        <v/>
      </c>
      <c r="I175" s="5"/>
      <c r="J175" s="5"/>
      <c r="K175" s="557" t="str">
        <f t="shared" si="27"/>
        <v/>
      </c>
      <c r="L175" s="362"/>
      <c r="M175" s="544" t="b">
        <v>0</v>
      </c>
      <c r="N175" s="389"/>
      <c r="O175" s="5"/>
      <c r="P175" s="363"/>
      <c r="Q175" s="5"/>
      <c r="R175" s="5"/>
      <c r="S175" s="5"/>
      <c r="T175" s="5"/>
      <c r="U175" s="5"/>
      <c r="V175" s="557">
        <f t="shared" si="31"/>
        <v>0</v>
      </c>
      <c r="W175" s="5"/>
      <c r="X175" s="362"/>
      <c r="Y175" s="364"/>
      <c r="Z175" s="557"/>
      <c r="AA175" s="557"/>
      <c r="AB175" s="390"/>
      <c r="AC175" s="557"/>
      <c r="AD175" s="557"/>
      <c r="AE175" s="363"/>
      <c r="AF175" s="557" t="str">
        <f t="shared" si="28"/>
        <v/>
      </c>
      <c r="AG175" s="557" t="str">
        <f t="shared" si="29"/>
        <v/>
      </c>
      <c r="AH175" s="589"/>
      <c r="AK175" s="107" t="s">
        <v>214</v>
      </c>
      <c r="AL175" s="387">
        <f t="shared" si="26"/>
        <v>0</v>
      </c>
      <c r="AM175" s="387">
        <f t="shared" si="25"/>
        <v>0</v>
      </c>
    </row>
    <row r="176" spans="1:39" s="391" customFormat="1" ht="131" hidden="1" customHeight="1" outlineLevel="3">
      <c r="A176" s="722"/>
      <c r="B176" s="733"/>
      <c r="C176" s="758"/>
      <c r="D176" s="759"/>
      <c r="E176" s="762" t="s">
        <v>278</v>
      </c>
      <c r="F176" s="763"/>
      <c r="G176" s="5"/>
      <c r="H176" s="388" t="str">
        <f t="shared" si="30"/>
        <v/>
      </c>
      <c r="I176" s="5"/>
      <c r="J176" s="5"/>
      <c r="K176" s="557" t="str">
        <f t="shared" si="27"/>
        <v/>
      </c>
      <c r="L176" s="362"/>
      <c r="M176" s="544" t="b">
        <v>0</v>
      </c>
      <c r="N176" s="389"/>
      <c r="O176" s="5"/>
      <c r="P176" s="363"/>
      <c r="Q176" s="5"/>
      <c r="R176" s="5"/>
      <c r="S176" s="5"/>
      <c r="T176" s="5"/>
      <c r="U176" s="5"/>
      <c r="V176" s="557">
        <f t="shared" si="31"/>
        <v>0</v>
      </c>
      <c r="W176" s="5"/>
      <c r="X176" s="362"/>
      <c r="Y176" s="364"/>
      <c r="Z176" s="557"/>
      <c r="AA176" s="557"/>
      <c r="AB176" s="390"/>
      <c r="AC176" s="557"/>
      <c r="AD176" s="557"/>
      <c r="AE176" s="363"/>
      <c r="AF176" s="557" t="str">
        <f t="shared" si="28"/>
        <v/>
      </c>
      <c r="AG176" s="557" t="str">
        <f t="shared" si="29"/>
        <v/>
      </c>
      <c r="AH176" s="589"/>
      <c r="AK176" s="107" t="s">
        <v>214</v>
      </c>
      <c r="AL176" s="387">
        <f t="shared" si="26"/>
        <v>0</v>
      </c>
      <c r="AM176" s="387">
        <f t="shared" si="25"/>
        <v>0</v>
      </c>
    </row>
    <row r="177" spans="1:39" s="391" customFormat="1" ht="131" hidden="1" customHeight="1" outlineLevel="3">
      <c r="A177" s="723"/>
      <c r="B177" s="733"/>
      <c r="C177" s="760"/>
      <c r="D177" s="761"/>
      <c r="E177" s="762" t="s">
        <v>279</v>
      </c>
      <c r="F177" s="763"/>
      <c r="G177" s="5"/>
      <c r="H177" s="388" t="str">
        <f t="shared" si="30"/>
        <v/>
      </c>
      <c r="I177" s="5"/>
      <c r="J177" s="5"/>
      <c r="K177" s="557" t="str">
        <f t="shared" si="27"/>
        <v/>
      </c>
      <c r="L177" s="362"/>
      <c r="M177" s="544" t="b">
        <v>0</v>
      </c>
      <c r="N177" s="389"/>
      <c r="O177" s="5"/>
      <c r="P177" s="363"/>
      <c r="Q177" s="5"/>
      <c r="R177" s="5"/>
      <c r="S177" s="5"/>
      <c r="T177" s="5"/>
      <c r="U177" s="5"/>
      <c r="V177" s="557">
        <f t="shared" si="31"/>
        <v>0</v>
      </c>
      <c r="W177" s="5"/>
      <c r="X177" s="362"/>
      <c r="Y177" s="364"/>
      <c r="Z177" s="557"/>
      <c r="AA177" s="557"/>
      <c r="AB177" s="390"/>
      <c r="AC177" s="557"/>
      <c r="AD177" s="557"/>
      <c r="AE177" s="363"/>
      <c r="AF177" s="557" t="str">
        <f t="shared" si="28"/>
        <v/>
      </c>
      <c r="AG177" s="557" t="str">
        <f t="shared" si="29"/>
        <v/>
      </c>
      <c r="AH177" s="589"/>
      <c r="AK177" s="348" t="s">
        <v>265</v>
      </c>
      <c r="AL177" s="387">
        <f t="shared" si="26"/>
        <v>0</v>
      </c>
      <c r="AM177" s="387">
        <f t="shared" si="25"/>
        <v>0</v>
      </c>
    </row>
    <row r="178" spans="1:39" s="391" customFormat="1" ht="39" hidden="1" customHeight="1" outlineLevel="3">
      <c r="A178" s="721" t="s">
        <v>215</v>
      </c>
      <c r="B178" s="733"/>
      <c r="C178" s="784" t="s">
        <v>170</v>
      </c>
      <c r="D178" s="840" t="s">
        <v>264</v>
      </c>
      <c r="E178" s="841"/>
      <c r="F178" s="842"/>
      <c r="G178" s="710"/>
      <c r="H178" s="838" t="str">
        <f>IF(G178="","",G178/$G$253)</f>
        <v/>
      </c>
      <c r="I178" s="710"/>
      <c r="J178" s="710"/>
      <c r="K178" s="712" t="str">
        <f>IF(SUM(I178:J179)=0,"",SUM(I178:J179))</f>
        <v/>
      </c>
      <c r="L178" s="362"/>
      <c r="M178" s="850"/>
      <c r="N178" s="401" t="b">
        <v>0</v>
      </c>
      <c r="O178" s="5"/>
      <c r="P178" s="363"/>
      <c r="Q178" s="707"/>
      <c r="R178" s="707"/>
      <c r="S178" s="707"/>
      <c r="T178" s="707"/>
      <c r="U178" s="707"/>
      <c r="V178" s="712"/>
      <c r="W178" s="712"/>
      <c r="X178" s="362"/>
      <c r="Y178" s="364" t="s">
        <v>112</v>
      </c>
      <c r="Z178" s="5"/>
      <c r="AA178" s="5"/>
      <c r="AB178" s="358"/>
      <c r="AC178" s="712"/>
      <c r="AD178" s="712"/>
      <c r="AE178" s="358"/>
      <c r="AF178" s="712" t="str">
        <f t="shared" ref="AF178:AF184" si="32">IF(G178="","",IF(AND(V178="",Z178="",Z179="",AC178=""),"Missing Info",IF(G178-V178-Z178-Z179+AC178=0,"OK","Review financial exposure")))</f>
        <v/>
      </c>
      <c r="AG178" s="712" t="str">
        <f>IF(K178="","",IF(AND(W178="",AA178="",AA179="",AD178=""),"Missing Info",IF(K178-W178-AA178-AA179+AD178=0,"OK","Review emissions")))</f>
        <v/>
      </c>
      <c r="AH178" s="589"/>
      <c r="AK178" s="348" t="s">
        <v>265</v>
      </c>
      <c r="AL178" s="387">
        <f t="shared" si="26"/>
        <v>0</v>
      </c>
      <c r="AM178" s="387">
        <f t="shared" si="25"/>
        <v>0</v>
      </c>
    </row>
    <row r="179" spans="1:39" s="391" customFormat="1" ht="39" hidden="1" customHeight="1" outlineLevel="3">
      <c r="A179" s="722"/>
      <c r="B179" s="733"/>
      <c r="C179" s="785"/>
      <c r="D179" s="843"/>
      <c r="E179" s="844"/>
      <c r="F179" s="845"/>
      <c r="G179" s="711"/>
      <c r="H179" s="839"/>
      <c r="I179" s="711"/>
      <c r="J179" s="711"/>
      <c r="K179" s="713"/>
      <c r="L179" s="362"/>
      <c r="M179" s="851"/>
      <c r="N179" s="401" t="b">
        <v>0</v>
      </c>
      <c r="O179" s="5"/>
      <c r="P179" s="363"/>
      <c r="Q179" s="708"/>
      <c r="R179" s="708"/>
      <c r="S179" s="708"/>
      <c r="T179" s="708"/>
      <c r="U179" s="708"/>
      <c r="V179" s="713"/>
      <c r="W179" s="713"/>
      <c r="X179" s="362"/>
      <c r="Y179" s="364" t="s">
        <v>114</v>
      </c>
      <c r="Z179" s="5"/>
      <c r="AA179" s="5"/>
      <c r="AB179" s="358"/>
      <c r="AC179" s="713"/>
      <c r="AD179" s="713"/>
      <c r="AE179" s="358"/>
      <c r="AF179" s="713"/>
      <c r="AG179" s="713"/>
      <c r="AH179" s="589"/>
      <c r="AK179" s="348" t="s">
        <v>265</v>
      </c>
      <c r="AL179" s="387">
        <f t="shared" si="26"/>
        <v>0</v>
      </c>
      <c r="AM179" s="387">
        <f t="shared" si="25"/>
        <v>0</v>
      </c>
    </row>
    <row r="180" spans="1:39" s="391" customFormat="1" ht="67.25" hidden="1" customHeight="1" outlineLevel="3">
      <c r="A180" s="722"/>
      <c r="B180" s="733"/>
      <c r="C180" s="785"/>
      <c r="D180" s="784" t="s">
        <v>266</v>
      </c>
      <c r="E180" s="784" t="s">
        <v>231</v>
      </c>
      <c r="F180" s="784" t="s">
        <v>267</v>
      </c>
      <c r="G180" s="710"/>
      <c r="H180" s="838" t="str">
        <f>IF(G180="","",G180/$G$253)</f>
        <v/>
      </c>
      <c r="I180" s="710"/>
      <c r="J180" s="710"/>
      <c r="K180" s="712" t="str">
        <f>IF(SUM(I180:J181)=0,"",SUM(I180:J181))</f>
        <v/>
      </c>
      <c r="L180" s="362"/>
      <c r="M180" s="850"/>
      <c r="N180" s="401" t="b">
        <v>0</v>
      </c>
      <c r="O180" s="5"/>
      <c r="P180" s="363"/>
      <c r="Q180" s="707"/>
      <c r="R180" s="707"/>
      <c r="S180" s="707"/>
      <c r="T180" s="707"/>
      <c r="U180" s="707"/>
      <c r="V180" s="712"/>
      <c r="W180" s="712"/>
      <c r="X180" s="362"/>
      <c r="Y180" s="364" t="s">
        <v>112</v>
      </c>
      <c r="Z180" s="5"/>
      <c r="AA180" s="5"/>
      <c r="AB180" s="358"/>
      <c r="AC180" s="712"/>
      <c r="AD180" s="712"/>
      <c r="AE180" s="358"/>
      <c r="AF180" s="712" t="str">
        <f t="shared" si="32"/>
        <v/>
      </c>
      <c r="AG180" s="712" t="str">
        <f>IF(K180="","",IF(AND(W180="",AA180="",AA181="",AD180=""),"Missing Info",IF(K180-W180-AA180-AA181+AD180=0,"OK","Review emissions")))</f>
        <v/>
      </c>
      <c r="AH180" s="589"/>
      <c r="AK180" s="348" t="s">
        <v>265</v>
      </c>
      <c r="AL180" s="387">
        <f t="shared" si="26"/>
        <v>0</v>
      </c>
      <c r="AM180" s="387">
        <f t="shared" si="25"/>
        <v>0</v>
      </c>
    </row>
    <row r="181" spans="1:39" s="391" customFormat="1" ht="92" hidden="1" customHeight="1" outlineLevel="3">
      <c r="A181" s="722"/>
      <c r="B181" s="733"/>
      <c r="C181" s="785"/>
      <c r="D181" s="785"/>
      <c r="E181" s="786"/>
      <c r="F181" s="786"/>
      <c r="G181" s="711"/>
      <c r="H181" s="839"/>
      <c r="I181" s="711"/>
      <c r="J181" s="711"/>
      <c r="K181" s="713"/>
      <c r="L181" s="362"/>
      <c r="M181" s="851"/>
      <c r="N181" s="401" t="b">
        <v>0</v>
      </c>
      <c r="O181" s="5"/>
      <c r="P181" s="363"/>
      <c r="Q181" s="708"/>
      <c r="R181" s="708"/>
      <c r="S181" s="708"/>
      <c r="T181" s="708"/>
      <c r="U181" s="708"/>
      <c r="V181" s="713"/>
      <c r="W181" s="713"/>
      <c r="X181" s="362"/>
      <c r="Y181" s="364" t="s">
        <v>114</v>
      </c>
      <c r="Z181" s="5"/>
      <c r="AA181" s="5"/>
      <c r="AB181" s="358"/>
      <c r="AC181" s="713"/>
      <c r="AD181" s="713"/>
      <c r="AE181" s="358"/>
      <c r="AF181" s="713"/>
      <c r="AG181" s="713"/>
      <c r="AH181" s="589"/>
      <c r="AK181" s="348" t="s">
        <v>265</v>
      </c>
      <c r="AL181" s="387">
        <f t="shared" si="26"/>
        <v>0</v>
      </c>
      <c r="AM181" s="387">
        <f t="shared" si="25"/>
        <v>0</v>
      </c>
    </row>
    <row r="182" spans="1:39" s="391" customFormat="1" ht="39" hidden="1" customHeight="1" outlineLevel="3">
      <c r="A182" s="722"/>
      <c r="B182" s="733"/>
      <c r="C182" s="785"/>
      <c r="D182" s="785"/>
      <c r="E182" s="764" t="s">
        <v>278</v>
      </c>
      <c r="F182" s="765"/>
      <c r="G182" s="710"/>
      <c r="H182" s="838" t="str">
        <f>IF(G182="","",G182/$G$253)</f>
        <v/>
      </c>
      <c r="I182" s="710"/>
      <c r="J182" s="710"/>
      <c r="K182" s="712" t="str">
        <f>IF(SUM(I182:J183)=0,"",SUM(I182:J183))</f>
        <v/>
      </c>
      <c r="L182" s="362"/>
      <c r="M182" s="850"/>
      <c r="N182" s="401" t="b">
        <v>0</v>
      </c>
      <c r="O182" s="5"/>
      <c r="P182" s="363"/>
      <c r="Q182" s="707"/>
      <c r="R182" s="707"/>
      <c r="S182" s="707"/>
      <c r="T182" s="707"/>
      <c r="U182" s="707"/>
      <c r="V182" s="712"/>
      <c r="W182" s="712"/>
      <c r="X182" s="362"/>
      <c r="Y182" s="364" t="s">
        <v>112</v>
      </c>
      <c r="Z182" s="5"/>
      <c r="AA182" s="5"/>
      <c r="AB182" s="358"/>
      <c r="AC182" s="712"/>
      <c r="AD182" s="712"/>
      <c r="AE182" s="358"/>
      <c r="AF182" s="712" t="str">
        <f t="shared" si="32"/>
        <v/>
      </c>
      <c r="AG182" s="712" t="str">
        <f>IF(K182="","",IF(AND(W182="",AA182="",AA183="",AD182=""),"Missing Info",IF(K182-W182-AA182-AA183+AD182=0,"OK","Review emissions")))</f>
        <v/>
      </c>
      <c r="AH182" s="589"/>
      <c r="AK182" s="348" t="s">
        <v>265</v>
      </c>
      <c r="AL182" s="387">
        <f t="shared" si="26"/>
        <v>0</v>
      </c>
      <c r="AM182" s="387">
        <f t="shared" si="25"/>
        <v>0</v>
      </c>
    </row>
    <row r="183" spans="1:39" s="391" customFormat="1" ht="39" hidden="1" customHeight="1" outlineLevel="3">
      <c r="A183" s="722"/>
      <c r="B183" s="733"/>
      <c r="C183" s="785"/>
      <c r="D183" s="785"/>
      <c r="E183" s="766"/>
      <c r="F183" s="767"/>
      <c r="G183" s="711"/>
      <c r="H183" s="839"/>
      <c r="I183" s="711"/>
      <c r="J183" s="711"/>
      <c r="K183" s="713"/>
      <c r="L183" s="362"/>
      <c r="M183" s="851"/>
      <c r="N183" s="401" t="b">
        <v>0</v>
      </c>
      <c r="O183" s="5"/>
      <c r="P183" s="363"/>
      <c r="Q183" s="708"/>
      <c r="R183" s="708"/>
      <c r="S183" s="708"/>
      <c r="T183" s="708"/>
      <c r="U183" s="708"/>
      <c r="V183" s="713"/>
      <c r="W183" s="713"/>
      <c r="X183" s="362"/>
      <c r="Y183" s="364" t="s">
        <v>114</v>
      </c>
      <c r="Z183" s="5"/>
      <c r="AA183" s="5"/>
      <c r="AB183" s="358"/>
      <c r="AC183" s="713"/>
      <c r="AD183" s="713"/>
      <c r="AE183" s="358"/>
      <c r="AF183" s="713"/>
      <c r="AG183" s="713"/>
      <c r="AH183" s="589"/>
      <c r="AK183" s="348" t="s">
        <v>265</v>
      </c>
      <c r="AL183" s="387">
        <f t="shared" si="26"/>
        <v>0</v>
      </c>
      <c r="AM183" s="387">
        <f t="shared" si="25"/>
        <v>0</v>
      </c>
    </row>
    <row r="184" spans="1:39" s="391" customFormat="1" ht="39" hidden="1" customHeight="1" outlineLevel="3">
      <c r="A184" s="722"/>
      <c r="B184" s="733"/>
      <c r="C184" s="785"/>
      <c r="D184" s="785"/>
      <c r="E184" s="764" t="s">
        <v>279</v>
      </c>
      <c r="F184" s="765"/>
      <c r="G184" s="710"/>
      <c r="H184" s="838" t="str">
        <f>IF(G184="","",G184/$G$253)</f>
        <v/>
      </c>
      <c r="I184" s="710"/>
      <c r="J184" s="710"/>
      <c r="K184" s="712" t="str">
        <f>IF(SUM(I184:J185)=0,"",SUM(I184:J185))</f>
        <v/>
      </c>
      <c r="L184" s="362"/>
      <c r="M184" s="850"/>
      <c r="N184" s="401" t="b">
        <v>0</v>
      </c>
      <c r="O184" s="5"/>
      <c r="P184" s="363"/>
      <c r="Q184" s="707"/>
      <c r="R184" s="707"/>
      <c r="S184" s="707"/>
      <c r="T184" s="707"/>
      <c r="U184" s="707"/>
      <c r="V184" s="712"/>
      <c r="W184" s="712"/>
      <c r="X184" s="362"/>
      <c r="Y184" s="364" t="s">
        <v>112</v>
      </c>
      <c r="Z184" s="5"/>
      <c r="AA184" s="5"/>
      <c r="AB184" s="358"/>
      <c r="AC184" s="712"/>
      <c r="AD184" s="712"/>
      <c r="AE184" s="358"/>
      <c r="AF184" s="712" t="str">
        <f t="shared" si="32"/>
        <v/>
      </c>
      <c r="AG184" s="712" t="str">
        <f>IF(K184="","",IF(AND(W184="",AA184="",AA185="",AD184=""),"Missing Info",IF(K184-W184-AA184-AA185+AD184=0,"OK","Review emissions")))</f>
        <v/>
      </c>
      <c r="AH184" s="589"/>
      <c r="AK184" s="348" t="s">
        <v>265</v>
      </c>
      <c r="AL184" s="387">
        <f t="shared" si="26"/>
        <v>0</v>
      </c>
      <c r="AM184" s="387">
        <f t="shared" si="25"/>
        <v>0</v>
      </c>
    </row>
    <row r="185" spans="1:39" s="391" customFormat="1" ht="54" hidden="1" customHeight="1" outlineLevel="3">
      <c r="A185" s="722"/>
      <c r="B185" s="733"/>
      <c r="C185" s="785"/>
      <c r="D185" s="786"/>
      <c r="E185" s="766"/>
      <c r="F185" s="767"/>
      <c r="G185" s="711"/>
      <c r="H185" s="839"/>
      <c r="I185" s="711"/>
      <c r="J185" s="711"/>
      <c r="K185" s="713"/>
      <c r="L185" s="362"/>
      <c r="M185" s="851"/>
      <c r="N185" s="401" t="b">
        <v>0</v>
      </c>
      <c r="O185" s="5"/>
      <c r="P185" s="363"/>
      <c r="Q185" s="708"/>
      <c r="R185" s="708"/>
      <c r="S185" s="708"/>
      <c r="T185" s="708"/>
      <c r="U185" s="708"/>
      <c r="V185" s="713"/>
      <c r="W185" s="713"/>
      <c r="X185" s="362"/>
      <c r="Y185" s="364" t="s">
        <v>114</v>
      </c>
      <c r="Z185" s="5"/>
      <c r="AA185" s="5"/>
      <c r="AB185" s="358"/>
      <c r="AC185" s="713"/>
      <c r="AD185" s="713"/>
      <c r="AE185" s="358"/>
      <c r="AF185" s="713"/>
      <c r="AG185" s="713"/>
      <c r="AH185" s="589"/>
      <c r="AK185" s="348" t="s">
        <v>265</v>
      </c>
      <c r="AL185" s="387">
        <f t="shared" si="26"/>
        <v>0</v>
      </c>
      <c r="AM185" s="387">
        <f t="shared" si="25"/>
        <v>0</v>
      </c>
    </row>
    <row r="186" spans="1:39" s="391" customFormat="1" ht="39" hidden="1" customHeight="1" outlineLevel="3">
      <c r="A186" s="722"/>
      <c r="B186" s="733"/>
      <c r="C186" s="785"/>
      <c r="D186" s="737" t="s">
        <v>784</v>
      </c>
      <c r="E186" s="738"/>
      <c r="F186" s="739"/>
      <c r="G186" s="5"/>
      <c r="H186" s="388" t="str">
        <f>IF(G186="","",G186/$G$253)</f>
        <v/>
      </c>
      <c r="I186" s="5"/>
      <c r="J186" s="5"/>
      <c r="K186" s="557" t="str">
        <f t="shared" ref="K186:K193" si="33">IF(SUM(I186:J186)=0,"",SUM(I186:J186))</f>
        <v/>
      </c>
      <c r="L186" s="362"/>
      <c r="M186" s="401" t="b">
        <v>0</v>
      </c>
      <c r="N186" s="401" t="b">
        <v>0</v>
      </c>
      <c r="O186" s="5"/>
      <c r="P186" s="363"/>
      <c r="Q186" s="5"/>
      <c r="R186" s="5"/>
      <c r="S186" s="5"/>
      <c r="T186" s="5"/>
      <c r="U186" s="5"/>
      <c r="V186" s="557">
        <f t="shared" ref="V186:V238" si="34">IF(M186=TRUE,SUM(Q186:U186),0)</f>
        <v>0</v>
      </c>
      <c r="W186" s="5"/>
      <c r="X186" s="362"/>
      <c r="Y186" s="364" t="s">
        <v>112</v>
      </c>
      <c r="Z186" s="5"/>
      <c r="AA186" s="5"/>
      <c r="AB186" s="358"/>
      <c r="AC186" s="5"/>
      <c r="AD186" s="5"/>
      <c r="AE186" s="358"/>
      <c r="AF186" s="557" t="str">
        <f t="shared" ref="AF186:AF193" si="35">IF(G186="","",IF(AND(V186="",Z186="",AC186=""),"Missing Info",IF(G186-V186-Z186+AC186=0,"OK","Review financial exposure")))</f>
        <v/>
      </c>
      <c r="AG186" s="557" t="str">
        <f t="shared" ref="AG186:AG193" si="36">IF(K186="","",IF(AND(W186="",AA186="",AD186=""),"Missing Info",IF(K186-W186-AA186+AD186=0,"OK","Review emissions")))</f>
        <v/>
      </c>
      <c r="AH186" s="589"/>
      <c r="AK186" s="348" t="s">
        <v>265</v>
      </c>
      <c r="AL186" s="387">
        <f t="shared" si="26"/>
        <v>0</v>
      </c>
      <c r="AM186" s="387">
        <f t="shared" si="25"/>
        <v>0</v>
      </c>
    </row>
    <row r="187" spans="1:39" s="391" customFormat="1" ht="159" hidden="1" customHeight="1" outlineLevel="3">
      <c r="A187" s="722"/>
      <c r="B187" s="733"/>
      <c r="C187" s="785"/>
      <c r="D187" s="764" t="s">
        <v>783</v>
      </c>
      <c r="E187" s="545" t="s">
        <v>231</v>
      </c>
      <c r="F187" s="545" t="s">
        <v>782</v>
      </c>
      <c r="G187" s="5"/>
      <c r="H187" s="388" t="str">
        <f t="shared" ref="H187:H193" si="37">IF(G187="","",G187/$G$253)</f>
        <v/>
      </c>
      <c r="I187" s="5"/>
      <c r="J187" s="5"/>
      <c r="K187" s="557" t="str">
        <f t="shared" si="33"/>
        <v/>
      </c>
      <c r="L187" s="362"/>
      <c r="M187" s="401" t="b">
        <v>0</v>
      </c>
      <c r="N187" s="401" t="b">
        <v>0</v>
      </c>
      <c r="O187" s="5"/>
      <c r="P187" s="363"/>
      <c r="Q187" s="5"/>
      <c r="R187" s="5"/>
      <c r="S187" s="5"/>
      <c r="T187" s="5"/>
      <c r="U187" s="5"/>
      <c r="V187" s="557">
        <f t="shared" si="34"/>
        <v>0</v>
      </c>
      <c r="W187" s="5"/>
      <c r="X187" s="362"/>
      <c r="Y187" s="364" t="s">
        <v>112</v>
      </c>
      <c r="Z187" s="5"/>
      <c r="AA187" s="5"/>
      <c r="AB187" s="358"/>
      <c r="AC187" s="5"/>
      <c r="AD187" s="5"/>
      <c r="AE187" s="358"/>
      <c r="AF187" s="557" t="str">
        <f t="shared" si="35"/>
        <v/>
      </c>
      <c r="AG187" s="557" t="str">
        <f t="shared" si="36"/>
        <v/>
      </c>
      <c r="AH187" s="589"/>
      <c r="AK187" s="348" t="s">
        <v>265</v>
      </c>
      <c r="AL187" s="387">
        <f t="shared" si="26"/>
        <v>0</v>
      </c>
      <c r="AM187" s="387">
        <f t="shared" si="25"/>
        <v>0</v>
      </c>
    </row>
    <row r="188" spans="1:39" s="391" customFormat="1" ht="76.25" hidden="1" customHeight="1" outlineLevel="3">
      <c r="A188" s="722"/>
      <c r="B188" s="733"/>
      <c r="C188" s="785"/>
      <c r="D188" s="787"/>
      <c r="E188" s="762" t="s">
        <v>278</v>
      </c>
      <c r="F188" s="763"/>
      <c r="G188" s="5"/>
      <c r="H188" s="388" t="str">
        <f t="shared" si="37"/>
        <v/>
      </c>
      <c r="I188" s="5"/>
      <c r="J188" s="5"/>
      <c r="K188" s="557" t="str">
        <f t="shared" si="33"/>
        <v/>
      </c>
      <c r="L188" s="362"/>
      <c r="M188" s="401" t="b">
        <v>0</v>
      </c>
      <c r="N188" s="401" t="b">
        <v>0</v>
      </c>
      <c r="O188" s="5"/>
      <c r="P188" s="363"/>
      <c r="Q188" s="5"/>
      <c r="R188" s="5"/>
      <c r="S188" s="5"/>
      <c r="T188" s="5"/>
      <c r="U188" s="5"/>
      <c r="V188" s="557">
        <f t="shared" si="34"/>
        <v>0</v>
      </c>
      <c r="W188" s="5"/>
      <c r="X188" s="362"/>
      <c r="Y188" s="364" t="s">
        <v>112</v>
      </c>
      <c r="Z188" s="5"/>
      <c r="AA188" s="5"/>
      <c r="AB188" s="358"/>
      <c r="AC188" s="5"/>
      <c r="AD188" s="5"/>
      <c r="AE188" s="358"/>
      <c r="AF188" s="557" t="str">
        <f t="shared" si="35"/>
        <v/>
      </c>
      <c r="AG188" s="557" t="str">
        <f t="shared" si="36"/>
        <v/>
      </c>
      <c r="AH188" s="589"/>
      <c r="AK188" s="348" t="s">
        <v>265</v>
      </c>
      <c r="AL188" s="387">
        <f t="shared" si="26"/>
        <v>0</v>
      </c>
      <c r="AM188" s="387">
        <f t="shared" si="25"/>
        <v>0</v>
      </c>
    </row>
    <row r="189" spans="1:39" s="391" customFormat="1" ht="85" hidden="1" customHeight="1" outlineLevel="3">
      <c r="A189" s="722"/>
      <c r="B189" s="733"/>
      <c r="C189" s="786"/>
      <c r="D189" s="766"/>
      <c r="E189" s="762" t="s">
        <v>279</v>
      </c>
      <c r="F189" s="763"/>
      <c r="G189" s="5"/>
      <c r="H189" s="388" t="str">
        <f t="shared" si="37"/>
        <v/>
      </c>
      <c r="I189" s="5"/>
      <c r="J189" s="5"/>
      <c r="K189" s="557" t="str">
        <f t="shared" si="33"/>
        <v/>
      </c>
      <c r="L189" s="362"/>
      <c r="M189" s="401" t="b">
        <v>0</v>
      </c>
      <c r="N189" s="401" t="b">
        <v>0</v>
      </c>
      <c r="O189" s="5"/>
      <c r="P189" s="363"/>
      <c r="Q189" s="5"/>
      <c r="R189" s="5"/>
      <c r="S189" s="5"/>
      <c r="T189" s="5"/>
      <c r="U189" s="5"/>
      <c r="V189" s="557">
        <f t="shared" si="34"/>
        <v>0</v>
      </c>
      <c r="W189" s="5"/>
      <c r="X189" s="362"/>
      <c r="Y189" s="364" t="s">
        <v>112</v>
      </c>
      <c r="Z189" s="5"/>
      <c r="AA189" s="5"/>
      <c r="AB189" s="358"/>
      <c r="AC189" s="5"/>
      <c r="AD189" s="5"/>
      <c r="AE189" s="358"/>
      <c r="AF189" s="557" t="str">
        <f t="shared" si="35"/>
        <v/>
      </c>
      <c r="AG189" s="557" t="str">
        <f t="shared" si="36"/>
        <v/>
      </c>
      <c r="AH189" s="589"/>
      <c r="AK189" s="348" t="s">
        <v>265</v>
      </c>
      <c r="AL189" s="387">
        <f t="shared" si="26"/>
        <v>0</v>
      </c>
      <c r="AM189" s="387">
        <f t="shared" si="25"/>
        <v>0</v>
      </c>
    </row>
    <row r="190" spans="1:39" s="391" customFormat="1" ht="39" hidden="1" customHeight="1" outlineLevel="3">
      <c r="A190" s="722"/>
      <c r="B190" s="733"/>
      <c r="C190" s="784" t="s">
        <v>175</v>
      </c>
      <c r="D190" s="737" t="s">
        <v>268</v>
      </c>
      <c r="E190" s="738"/>
      <c r="F190" s="739"/>
      <c r="G190" s="539"/>
      <c r="H190" s="388" t="str">
        <f t="shared" si="37"/>
        <v/>
      </c>
      <c r="I190" s="539"/>
      <c r="J190" s="539"/>
      <c r="K190" s="557" t="str">
        <f t="shared" si="33"/>
        <v/>
      </c>
      <c r="L190" s="362"/>
      <c r="M190" s="401" t="b">
        <v>0</v>
      </c>
      <c r="N190" s="401" t="b">
        <v>0</v>
      </c>
      <c r="O190" s="5"/>
      <c r="P190" s="363"/>
      <c r="Q190" s="5"/>
      <c r="R190" s="5"/>
      <c r="S190" s="5"/>
      <c r="T190" s="5"/>
      <c r="U190" s="5"/>
      <c r="V190" s="557">
        <f t="shared" si="34"/>
        <v>0</v>
      </c>
      <c r="W190" s="5"/>
      <c r="X190" s="362"/>
      <c r="Y190" s="364" t="s">
        <v>177</v>
      </c>
      <c r="Z190" s="5"/>
      <c r="AA190" s="5"/>
      <c r="AB190" s="392"/>
      <c r="AC190" s="5"/>
      <c r="AD190" s="5"/>
      <c r="AE190" s="363"/>
      <c r="AF190" s="557" t="str">
        <f t="shared" si="35"/>
        <v/>
      </c>
      <c r="AG190" s="557" t="str">
        <f t="shared" si="36"/>
        <v/>
      </c>
      <c r="AH190" s="589"/>
      <c r="AK190" s="107" t="s">
        <v>216</v>
      </c>
      <c r="AL190" s="387">
        <f t="shared" si="26"/>
        <v>0</v>
      </c>
      <c r="AM190" s="387">
        <f t="shared" si="25"/>
        <v>0</v>
      </c>
    </row>
    <row r="191" spans="1:39" s="391" customFormat="1" ht="130.25" hidden="1" customHeight="1" outlineLevel="3">
      <c r="A191" s="722"/>
      <c r="B191" s="733"/>
      <c r="C191" s="785"/>
      <c r="D191" s="784" t="s">
        <v>179</v>
      </c>
      <c r="E191" s="545" t="s">
        <v>231</v>
      </c>
      <c r="F191" s="545" t="s">
        <v>242</v>
      </c>
      <c r="G191" s="539"/>
      <c r="H191" s="388" t="str">
        <f t="shared" si="37"/>
        <v/>
      </c>
      <c r="I191" s="539"/>
      <c r="J191" s="539"/>
      <c r="K191" s="557" t="str">
        <f t="shared" si="33"/>
        <v/>
      </c>
      <c r="L191" s="362"/>
      <c r="M191" s="544" t="b">
        <v>0</v>
      </c>
      <c r="N191" s="544" t="b">
        <v>0</v>
      </c>
      <c r="O191" s="5"/>
      <c r="P191" s="363"/>
      <c r="Q191" s="5"/>
      <c r="R191" s="5"/>
      <c r="S191" s="5"/>
      <c r="T191" s="5"/>
      <c r="U191" s="5"/>
      <c r="V191" s="557">
        <f t="shared" si="34"/>
        <v>0</v>
      </c>
      <c r="W191" s="5"/>
      <c r="X191" s="362"/>
      <c r="Y191" s="364" t="s">
        <v>177</v>
      </c>
      <c r="Z191" s="5"/>
      <c r="AA191" s="5"/>
      <c r="AB191" s="392"/>
      <c r="AC191" s="5"/>
      <c r="AD191" s="5"/>
      <c r="AE191" s="363"/>
      <c r="AF191" s="557" t="str">
        <f t="shared" si="35"/>
        <v/>
      </c>
      <c r="AG191" s="557" t="str">
        <f t="shared" si="36"/>
        <v/>
      </c>
      <c r="AH191" s="589"/>
      <c r="AK191" s="107" t="s">
        <v>216</v>
      </c>
      <c r="AL191" s="387">
        <f t="shared" si="26"/>
        <v>0</v>
      </c>
      <c r="AM191" s="387">
        <f t="shared" si="25"/>
        <v>0</v>
      </c>
    </row>
    <row r="192" spans="1:39" s="391" customFormat="1" ht="63" hidden="1" customHeight="1" outlineLevel="3">
      <c r="A192" s="722"/>
      <c r="B192" s="733"/>
      <c r="C192" s="785"/>
      <c r="D192" s="785"/>
      <c r="E192" s="762" t="s">
        <v>278</v>
      </c>
      <c r="F192" s="763"/>
      <c r="G192" s="539"/>
      <c r="H192" s="551" t="str">
        <f t="shared" si="37"/>
        <v/>
      </c>
      <c r="I192" s="539"/>
      <c r="J192" s="539"/>
      <c r="K192" s="540" t="str">
        <f t="shared" si="33"/>
        <v/>
      </c>
      <c r="L192" s="362"/>
      <c r="M192" s="544" t="b">
        <v>0</v>
      </c>
      <c r="N192" s="544" t="b">
        <v>0</v>
      </c>
      <c r="O192" s="5"/>
      <c r="P192" s="363"/>
      <c r="Q192" s="539"/>
      <c r="R192" s="539"/>
      <c r="S192" s="539"/>
      <c r="T192" s="539"/>
      <c r="U192" s="539"/>
      <c r="V192" s="540">
        <f t="shared" si="34"/>
        <v>0</v>
      </c>
      <c r="W192" s="539"/>
      <c r="X192" s="362"/>
      <c r="Y192" s="364" t="s">
        <v>177</v>
      </c>
      <c r="Z192" s="5"/>
      <c r="AA192" s="5"/>
      <c r="AB192" s="392"/>
      <c r="AC192" s="539"/>
      <c r="AD192" s="539"/>
      <c r="AE192" s="363"/>
      <c r="AF192" s="540" t="str">
        <f t="shared" si="35"/>
        <v/>
      </c>
      <c r="AG192" s="540" t="str">
        <f t="shared" si="36"/>
        <v/>
      </c>
      <c r="AH192" s="589"/>
      <c r="AK192" s="107" t="s">
        <v>216</v>
      </c>
      <c r="AL192" s="387">
        <f t="shared" si="26"/>
        <v>0</v>
      </c>
      <c r="AM192" s="387">
        <f t="shared" si="25"/>
        <v>0</v>
      </c>
    </row>
    <row r="193" spans="1:39" s="391" customFormat="1" ht="63" hidden="1" customHeight="1" outlineLevel="3">
      <c r="A193" s="722"/>
      <c r="B193" s="733"/>
      <c r="C193" s="785"/>
      <c r="D193" s="786"/>
      <c r="E193" s="762" t="s">
        <v>279</v>
      </c>
      <c r="F193" s="763"/>
      <c r="G193" s="539"/>
      <c r="H193" s="551" t="str">
        <f t="shared" si="37"/>
        <v/>
      </c>
      <c r="I193" s="539"/>
      <c r="J193" s="539"/>
      <c r="K193" s="540" t="str">
        <f t="shared" si="33"/>
        <v/>
      </c>
      <c r="L193" s="362"/>
      <c r="M193" s="544" t="b">
        <v>0</v>
      </c>
      <c r="N193" s="544" t="b">
        <v>0</v>
      </c>
      <c r="O193" s="5"/>
      <c r="P193" s="363"/>
      <c r="Q193" s="539"/>
      <c r="R193" s="539"/>
      <c r="S193" s="539"/>
      <c r="T193" s="539"/>
      <c r="U193" s="539"/>
      <c r="V193" s="540">
        <f t="shared" si="34"/>
        <v>0</v>
      </c>
      <c r="W193" s="539"/>
      <c r="X193" s="362"/>
      <c r="Y193" s="364" t="s">
        <v>177</v>
      </c>
      <c r="Z193" s="5"/>
      <c r="AA193" s="5"/>
      <c r="AB193" s="392"/>
      <c r="AC193" s="539"/>
      <c r="AD193" s="539"/>
      <c r="AE193" s="363"/>
      <c r="AF193" s="540" t="str">
        <f t="shared" si="35"/>
        <v/>
      </c>
      <c r="AG193" s="540" t="str">
        <f t="shared" si="36"/>
        <v/>
      </c>
      <c r="AH193" s="589"/>
      <c r="AK193" s="107" t="s">
        <v>216</v>
      </c>
      <c r="AL193" s="387">
        <f t="shared" si="26"/>
        <v>0</v>
      </c>
      <c r="AM193" s="387">
        <f t="shared" si="25"/>
        <v>0</v>
      </c>
    </row>
    <row r="194" spans="1:39" s="391" customFormat="1" ht="39" hidden="1" customHeight="1" outlineLevel="3">
      <c r="A194" s="722"/>
      <c r="B194" s="733"/>
      <c r="C194" s="785"/>
      <c r="D194" s="740" t="s">
        <v>269</v>
      </c>
      <c r="E194" s="741"/>
      <c r="F194" s="742"/>
      <c r="G194" s="710"/>
      <c r="H194" s="838" t="str">
        <f>IF(G194="","",G194/$G$253)</f>
        <v/>
      </c>
      <c r="I194" s="710"/>
      <c r="J194" s="710"/>
      <c r="K194" s="712" t="str">
        <f>IF(SUM(I194:J195)=0,"",SUM(I194:J195))</f>
        <v/>
      </c>
      <c r="L194" s="362"/>
      <c r="M194" s="808" t="b">
        <v>0</v>
      </c>
      <c r="N194" s="544" t="b">
        <v>0</v>
      </c>
      <c r="O194" s="5"/>
      <c r="P194" s="363"/>
      <c r="Q194" s="710"/>
      <c r="R194" s="710"/>
      <c r="S194" s="710"/>
      <c r="T194" s="710"/>
      <c r="U194" s="710"/>
      <c r="V194" s="712">
        <f t="shared" si="34"/>
        <v>0</v>
      </c>
      <c r="W194" s="710"/>
      <c r="X194" s="362"/>
      <c r="Y194" s="364" t="s">
        <v>181</v>
      </c>
      <c r="Z194" s="5"/>
      <c r="AA194" s="5"/>
      <c r="AB194" s="392"/>
      <c r="AC194" s="710"/>
      <c r="AD194" s="710"/>
      <c r="AE194" s="363"/>
      <c r="AF194" s="712" t="str">
        <f t="shared" ref="AF194:AF208" si="38">IF(G194="","",IF(AND(V194="",Z194="",Z195="",AC194=""),"Missing Info",IF(G194-V194-Z194-Z195+AC194=0,"OK","Review financial exposure")))</f>
        <v/>
      </c>
      <c r="AG194" s="712" t="str">
        <f>IF(K194="","",IF(AND(W194="",AA194="",AA195="",AD194=""),"Missing Info",IF(K194-W194-AA194-AA195+AD194=0,"OK","Review emissions")))</f>
        <v/>
      </c>
      <c r="AH194" s="589"/>
      <c r="AK194" s="107" t="s">
        <v>218</v>
      </c>
      <c r="AL194" s="387">
        <f t="shared" si="26"/>
        <v>0</v>
      </c>
      <c r="AM194" s="387">
        <f t="shared" si="25"/>
        <v>0</v>
      </c>
    </row>
    <row r="195" spans="1:39" s="391" customFormat="1" ht="39" hidden="1" customHeight="1" outlineLevel="3">
      <c r="A195" s="722"/>
      <c r="B195" s="733"/>
      <c r="C195" s="785"/>
      <c r="D195" s="743"/>
      <c r="E195" s="744"/>
      <c r="F195" s="745"/>
      <c r="G195" s="711"/>
      <c r="H195" s="839"/>
      <c r="I195" s="711"/>
      <c r="J195" s="711"/>
      <c r="K195" s="713"/>
      <c r="L195" s="362"/>
      <c r="M195" s="809"/>
      <c r="N195" s="544" t="b">
        <v>0</v>
      </c>
      <c r="O195" s="5"/>
      <c r="P195" s="363"/>
      <c r="Q195" s="711"/>
      <c r="R195" s="711"/>
      <c r="S195" s="711"/>
      <c r="T195" s="711"/>
      <c r="U195" s="711"/>
      <c r="V195" s="713">
        <f t="shared" si="34"/>
        <v>0</v>
      </c>
      <c r="W195" s="711"/>
      <c r="X195" s="362"/>
      <c r="Y195" s="364" t="s">
        <v>183</v>
      </c>
      <c r="Z195" s="5"/>
      <c r="AA195" s="5"/>
      <c r="AB195" s="392"/>
      <c r="AC195" s="711"/>
      <c r="AD195" s="711"/>
      <c r="AE195" s="363"/>
      <c r="AF195" s="713"/>
      <c r="AG195" s="713"/>
      <c r="AH195" s="589"/>
      <c r="AK195" s="107" t="s">
        <v>218</v>
      </c>
      <c r="AL195" s="387">
        <f t="shared" si="26"/>
        <v>0</v>
      </c>
      <c r="AM195" s="387">
        <f t="shared" si="25"/>
        <v>0</v>
      </c>
    </row>
    <row r="196" spans="1:39" s="391" customFormat="1" ht="70.25" hidden="1" customHeight="1" outlineLevel="3">
      <c r="A196" s="722"/>
      <c r="B196" s="733"/>
      <c r="C196" s="785"/>
      <c r="D196" s="784" t="s">
        <v>184</v>
      </c>
      <c r="E196" s="784" t="s">
        <v>231</v>
      </c>
      <c r="F196" s="784" t="s">
        <v>242</v>
      </c>
      <c r="G196" s="710"/>
      <c r="H196" s="838" t="str">
        <f>IF(G196="","",G196/$G$253)</f>
        <v/>
      </c>
      <c r="I196" s="710"/>
      <c r="J196" s="710"/>
      <c r="K196" s="712" t="str">
        <f>IF(SUM(I196:J197)=0,"",SUM(I196:J197))</f>
        <v/>
      </c>
      <c r="L196" s="362"/>
      <c r="M196" s="808" t="b">
        <v>0</v>
      </c>
      <c r="N196" s="544" t="b">
        <v>0</v>
      </c>
      <c r="O196" s="5"/>
      <c r="P196" s="363"/>
      <c r="Q196" s="710"/>
      <c r="R196" s="710"/>
      <c r="S196" s="710"/>
      <c r="T196" s="710"/>
      <c r="U196" s="710"/>
      <c r="V196" s="712">
        <f t="shared" si="34"/>
        <v>0</v>
      </c>
      <c r="W196" s="710"/>
      <c r="X196" s="362"/>
      <c r="Y196" s="364" t="s">
        <v>181</v>
      </c>
      <c r="Z196" s="5"/>
      <c r="AA196" s="5"/>
      <c r="AB196" s="392"/>
      <c r="AC196" s="710"/>
      <c r="AD196" s="710"/>
      <c r="AE196" s="363"/>
      <c r="AF196" s="712" t="str">
        <f t="shared" si="38"/>
        <v/>
      </c>
      <c r="AG196" s="712" t="str">
        <f>IF(K196="","",IF(AND(W196="",AA196="",AA197="",AD196=""),"Missing Info",IF(K196-W196-AA196-AA197+AD196=0,"OK","Review emissions")))</f>
        <v/>
      </c>
      <c r="AH196" s="589"/>
      <c r="AK196" s="107" t="s">
        <v>218</v>
      </c>
      <c r="AL196" s="387">
        <f t="shared" si="26"/>
        <v>0</v>
      </c>
      <c r="AM196" s="387">
        <f t="shared" si="25"/>
        <v>0</v>
      </c>
    </row>
    <row r="197" spans="1:39" s="391" customFormat="1" ht="70.25" hidden="1" customHeight="1" outlineLevel="3">
      <c r="A197" s="722"/>
      <c r="B197" s="733"/>
      <c r="C197" s="785"/>
      <c r="D197" s="785"/>
      <c r="E197" s="786"/>
      <c r="F197" s="786"/>
      <c r="G197" s="711"/>
      <c r="H197" s="839"/>
      <c r="I197" s="711"/>
      <c r="J197" s="711"/>
      <c r="K197" s="713"/>
      <c r="L197" s="362"/>
      <c r="M197" s="809"/>
      <c r="N197" s="544" t="b">
        <v>0</v>
      </c>
      <c r="O197" s="5"/>
      <c r="P197" s="363"/>
      <c r="Q197" s="711"/>
      <c r="R197" s="711"/>
      <c r="S197" s="711"/>
      <c r="T197" s="711"/>
      <c r="U197" s="711"/>
      <c r="V197" s="713">
        <f t="shared" si="34"/>
        <v>0</v>
      </c>
      <c r="W197" s="711"/>
      <c r="X197" s="362"/>
      <c r="Y197" s="364" t="s">
        <v>183</v>
      </c>
      <c r="Z197" s="5"/>
      <c r="AA197" s="5"/>
      <c r="AB197" s="392"/>
      <c r="AC197" s="711"/>
      <c r="AD197" s="711"/>
      <c r="AE197" s="363"/>
      <c r="AF197" s="713"/>
      <c r="AG197" s="713"/>
      <c r="AH197" s="589"/>
      <c r="AK197" s="107" t="s">
        <v>218</v>
      </c>
      <c r="AL197" s="387">
        <f t="shared" si="26"/>
        <v>0</v>
      </c>
      <c r="AM197" s="387">
        <f t="shared" si="25"/>
        <v>0</v>
      </c>
    </row>
    <row r="198" spans="1:39" s="391" customFormat="1" ht="39" hidden="1" customHeight="1" outlineLevel="3">
      <c r="A198" s="722"/>
      <c r="B198" s="733"/>
      <c r="C198" s="785"/>
      <c r="D198" s="785"/>
      <c r="E198" s="764" t="s">
        <v>278</v>
      </c>
      <c r="F198" s="765"/>
      <c r="G198" s="710"/>
      <c r="H198" s="838" t="str">
        <f>IF(G198="","",G198/$G$253)</f>
        <v/>
      </c>
      <c r="I198" s="710"/>
      <c r="J198" s="710"/>
      <c r="K198" s="712" t="str">
        <f>IF(SUM(I198:J199)=0,"",SUM(I198:J199))</f>
        <v/>
      </c>
      <c r="L198" s="362"/>
      <c r="M198" s="808" t="b">
        <v>0</v>
      </c>
      <c r="N198" s="544" t="b">
        <v>0</v>
      </c>
      <c r="O198" s="5"/>
      <c r="P198" s="363"/>
      <c r="Q198" s="710"/>
      <c r="R198" s="710"/>
      <c r="S198" s="710"/>
      <c r="T198" s="710"/>
      <c r="U198" s="710"/>
      <c r="V198" s="712">
        <f t="shared" si="34"/>
        <v>0</v>
      </c>
      <c r="W198" s="710"/>
      <c r="X198" s="362"/>
      <c r="Y198" s="364" t="s">
        <v>181</v>
      </c>
      <c r="Z198" s="5"/>
      <c r="AA198" s="5"/>
      <c r="AB198" s="392"/>
      <c r="AC198" s="710"/>
      <c r="AD198" s="710"/>
      <c r="AE198" s="363"/>
      <c r="AF198" s="712" t="str">
        <f t="shared" si="38"/>
        <v/>
      </c>
      <c r="AG198" s="712" t="str">
        <f>IF(K198="","",IF(AND(W198="",AA198="",AA199="",AD198=""),"Missing Info",IF(K198-W198-AA198-AA199+AD198=0,"OK","Review emissions")))</f>
        <v/>
      </c>
      <c r="AH198" s="589"/>
      <c r="AK198" s="107" t="s">
        <v>218</v>
      </c>
      <c r="AL198" s="387">
        <f t="shared" si="26"/>
        <v>0</v>
      </c>
      <c r="AM198" s="387">
        <f t="shared" si="25"/>
        <v>0</v>
      </c>
    </row>
    <row r="199" spans="1:39" s="391" customFormat="1" ht="39" hidden="1" customHeight="1" outlineLevel="3">
      <c r="A199" s="722"/>
      <c r="B199" s="733"/>
      <c r="C199" s="785"/>
      <c r="D199" s="785"/>
      <c r="E199" s="766"/>
      <c r="F199" s="767"/>
      <c r="G199" s="711"/>
      <c r="H199" s="839"/>
      <c r="I199" s="711"/>
      <c r="J199" s="711"/>
      <c r="K199" s="713"/>
      <c r="L199" s="362"/>
      <c r="M199" s="809"/>
      <c r="N199" s="544" t="b">
        <v>0</v>
      </c>
      <c r="O199" s="5"/>
      <c r="P199" s="363"/>
      <c r="Q199" s="711"/>
      <c r="R199" s="711"/>
      <c r="S199" s="711"/>
      <c r="T199" s="711"/>
      <c r="U199" s="711"/>
      <c r="V199" s="713">
        <f t="shared" si="34"/>
        <v>0</v>
      </c>
      <c r="W199" s="711"/>
      <c r="X199" s="362"/>
      <c r="Y199" s="364" t="s">
        <v>183</v>
      </c>
      <c r="Z199" s="5"/>
      <c r="AA199" s="5"/>
      <c r="AB199" s="392"/>
      <c r="AC199" s="711"/>
      <c r="AD199" s="711"/>
      <c r="AE199" s="363"/>
      <c r="AF199" s="713"/>
      <c r="AG199" s="713"/>
      <c r="AH199" s="589"/>
      <c r="AK199" s="107" t="s">
        <v>218</v>
      </c>
      <c r="AL199" s="387">
        <f t="shared" si="26"/>
        <v>0</v>
      </c>
      <c r="AM199" s="387">
        <f t="shared" si="25"/>
        <v>0</v>
      </c>
    </row>
    <row r="200" spans="1:39" s="391" customFormat="1" ht="39" hidden="1" customHeight="1" outlineLevel="3">
      <c r="A200" s="722"/>
      <c r="B200" s="733"/>
      <c r="C200" s="785"/>
      <c r="D200" s="785"/>
      <c r="E200" s="764" t="s">
        <v>279</v>
      </c>
      <c r="F200" s="765"/>
      <c r="G200" s="710"/>
      <c r="H200" s="838" t="str">
        <f>IF(G200="","",G200/$G$253)</f>
        <v/>
      </c>
      <c r="I200" s="710"/>
      <c r="J200" s="710"/>
      <c r="K200" s="712" t="str">
        <f>IF(SUM(I200:J201)=0,"",SUM(I200:J201))</f>
        <v/>
      </c>
      <c r="L200" s="362"/>
      <c r="M200" s="808" t="b">
        <v>0</v>
      </c>
      <c r="N200" s="544" t="b">
        <v>0</v>
      </c>
      <c r="O200" s="5"/>
      <c r="P200" s="363"/>
      <c r="Q200" s="710"/>
      <c r="R200" s="710"/>
      <c r="S200" s="710"/>
      <c r="T200" s="710"/>
      <c r="U200" s="710"/>
      <c r="V200" s="712">
        <f t="shared" si="34"/>
        <v>0</v>
      </c>
      <c r="W200" s="710"/>
      <c r="X200" s="362"/>
      <c r="Y200" s="364" t="s">
        <v>181</v>
      </c>
      <c r="Z200" s="5"/>
      <c r="AA200" s="5"/>
      <c r="AB200" s="392"/>
      <c r="AC200" s="710"/>
      <c r="AD200" s="710"/>
      <c r="AE200" s="363"/>
      <c r="AF200" s="712" t="str">
        <f t="shared" si="38"/>
        <v/>
      </c>
      <c r="AG200" s="712" t="str">
        <f>IF(K200="","",IF(AND(W200="",AA200="",AA201="",AD200=""),"Missing Info",IF(K200-W200-AA200-AA201+AD200=0,"OK","Review emissions")))</f>
        <v/>
      </c>
      <c r="AH200" s="589"/>
      <c r="AK200" s="107" t="s">
        <v>218</v>
      </c>
      <c r="AL200" s="387">
        <f t="shared" si="26"/>
        <v>0</v>
      </c>
      <c r="AM200" s="387">
        <f t="shared" si="25"/>
        <v>0</v>
      </c>
    </row>
    <row r="201" spans="1:39" s="391" customFormat="1" ht="39" hidden="1" customHeight="1" outlineLevel="3">
      <c r="A201" s="722"/>
      <c r="B201" s="733"/>
      <c r="C201" s="785"/>
      <c r="D201" s="786"/>
      <c r="E201" s="766"/>
      <c r="F201" s="767"/>
      <c r="G201" s="711"/>
      <c r="H201" s="839"/>
      <c r="I201" s="711"/>
      <c r="J201" s="711"/>
      <c r="K201" s="713"/>
      <c r="L201" s="362"/>
      <c r="M201" s="809"/>
      <c r="N201" s="544" t="b">
        <v>0</v>
      </c>
      <c r="O201" s="5"/>
      <c r="P201" s="363"/>
      <c r="Q201" s="711"/>
      <c r="R201" s="711"/>
      <c r="S201" s="711"/>
      <c r="T201" s="711"/>
      <c r="U201" s="711"/>
      <c r="V201" s="713">
        <f t="shared" si="34"/>
        <v>0</v>
      </c>
      <c r="W201" s="711"/>
      <c r="X201" s="362"/>
      <c r="Y201" s="364" t="s">
        <v>183</v>
      </c>
      <c r="Z201" s="5"/>
      <c r="AA201" s="5"/>
      <c r="AB201" s="392"/>
      <c r="AC201" s="711"/>
      <c r="AD201" s="711"/>
      <c r="AE201" s="363"/>
      <c r="AF201" s="713"/>
      <c r="AG201" s="713"/>
      <c r="AH201" s="589"/>
      <c r="AK201" s="107" t="s">
        <v>218</v>
      </c>
      <c r="AL201" s="387">
        <f t="shared" si="26"/>
        <v>0</v>
      </c>
      <c r="AM201" s="387">
        <f t="shared" si="25"/>
        <v>0</v>
      </c>
    </row>
    <row r="202" spans="1:39" s="391" customFormat="1" ht="39" hidden="1" customHeight="1" outlineLevel="3">
      <c r="A202" s="722"/>
      <c r="B202" s="733"/>
      <c r="C202" s="785"/>
      <c r="D202" s="740" t="s">
        <v>219</v>
      </c>
      <c r="E202" s="741"/>
      <c r="F202" s="742"/>
      <c r="G202" s="710"/>
      <c r="H202" s="838" t="str">
        <f>IF(G202="","",G202/$G$253)</f>
        <v/>
      </c>
      <c r="I202" s="710"/>
      <c r="J202" s="710"/>
      <c r="K202" s="712" t="str">
        <f>IF(SUM(I202:J203)=0,"",SUM(I202:J203))</f>
        <v/>
      </c>
      <c r="L202" s="362"/>
      <c r="M202" s="808" t="b">
        <v>0</v>
      </c>
      <c r="N202" s="544" t="b">
        <v>0</v>
      </c>
      <c r="O202" s="5"/>
      <c r="P202" s="363"/>
      <c r="Q202" s="710"/>
      <c r="R202" s="710"/>
      <c r="S202" s="710"/>
      <c r="T202" s="710"/>
      <c r="U202" s="710"/>
      <c r="V202" s="712">
        <f t="shared" si="34"/>
        <v>0</v>
      </c>
      <c r="W202" s="710"/>
      <c r="X202" s="362"/>
      <c r="Y202" s="364" t="s">
        <v>186</v>
      </c>
      <c r="Z202" s="5"/>
      <c r="AA202" s="5"/>
      <c r="AB202" s="392"/>
      <c r="AC202" s="710"/>
      <c r="AD202" s="710"/>
      <c r="AE202" s="363"/>
      <c r="AF202" s="712" t="str">
        <f t="shared" si="38"/>
        <v/>
      </c>
      <c r="AG202" s="712" t="str">
        <f>IF(K202="","",IF(AND(W202="",AA202="",AA203="",AD202=""),"Missing Info",IF(K202-W202-AA202-AA203+AD202=0,"OK","Review emissions")))</f>
        <v/>
      </c>
      <c r="AH202" s="589"/>
      <c r="AK202" s="107" t="s">
        <v>220</v>
      </c>
      <c r="AL202" s="387">
        <f t="shared" si="26"/>
        <v>0</v>
      </c>
      <c r="AM202" s="387">
        <f t="shared" si="25"/>
        <v>0</v>
      </c>
    </row>
    <row r="203" spans="1:39" s="391" customFormat="1" ht="39" hidden="1" customHeight="1" outlineLevel="3">
      <c r="A203" s="722"/>
      <c r="B203" s="733"/>
      <c r="C203" s="785"/>
      <c r="D203" s="743"/>
      <c r="E203" s="744"/>
      <c r="F203" s="745"/>
      <c r="G203" s="711"/>
      <c r="H203" s="839"/>
      <c r="I203" s="711"/>
      <c r="J203" s="711"/>
      <c r="K203" s="713"/>
      <c r="L203" s="362"/>
      <c r="M203" s="809"/>
      <c r="N203" s="544" t="b">
        <v>0</v>
      </c>
      <c r="O203" s="5"/>
      <c r="P203" s="363"/>
      <c r="Q203" s="711"/>
      <c r="R203" s="711"/>
      <c r="S203" s="711"/>
      <c r="T203" s="711"/>
      <c r="U203" s="711"/>
      <c r="V203" s="713">
        <f t="shared" si="34"/>
        <v>0</v>
      </c>
      <c r="W203" s="711"/>
      <c r="X203" s="362"/>
      <c r="Y203" s="364" t="s">
        <v>188</v>
      </c>
      <c r="Z203" s="5"/>
      <c r="AA203" s="5"/>
      <c r="AB203" s="392"/>
      <c r="AC203" s="711"/>
      <c r="AD203" s="711"/>
      <c r="AE203" s="363"/>
      <c r="AF203" s="713"/>
      <c r="AG203" s="713"/>
      <c r="AH203" s="589"/>
      <c r="AK203" s="107" t="s">
        <v>220</v>
      </c>
      <c r="AL203" s="387">
        <f t="shared" si="26"/>
        <v>0</v>
      </c>
      <c r="AM203" s="387">
        <f t="shared" si="25"/>
        <v>0</v>
      </c>
    </row>
    <row r="204" spans="1:39" s="391" customFormat="1" ht="68" hidden="1" customHeight="1" outlineLevel="3">
      <c r="A204" s="722"/>
      <c r="B204" s="733"/>
      <c r="C204" s="785"/>
      <c r="D204" s="784" t="s">
        <v>189</v>
      </c>
      <c r="E204" s="784" t="s">
        <v>231</v>
      </c>
      <c r="F204" s="784" t="s">
        <v>242</v>
      </c>
      <c r="G204" s="710"/>
      <c r="H204" s="838" t="str">
        <f>IF(G204="","",G204/$G$253)</f>
        <v/>
      </c>
      <c r="I204" s="710"/>
      <c r="J204" s="710"/>
      <c r="K204" s="712" t="str">
        <f>IF(SUM(I204:J205)=0,"",SUM(I204:J205))</f>
        <v/>
      </c>
      <c r="L204" s="362"/>
      <c r="M204" s="808" t="b">
        <v>0</v>
      </c>
      <c r="N204" s="544" t="b">
        <v>0</v>
      </c>
      <c r="O204" s="5"/>
      <c r="P204" s="363"/>
      <c r="Q204" s="710"/>
      <c r="R204" s="710"/>
      <c r="S204" s="710"/>
      <c r="T204" s="710"/>
      <c r="U204" s="710"/>
      <c r="V204" s="712">
        <f t="shared" si="34"/>
        <v>0</v>
      </c>
      <c r="W204" s="710"/>
      <c r="X204" s="362"/>
      <c r="Y204" s="364" t="s">
        <v>186</v>
      </c>
      <c r="Z204" s="5"/>
      <c r="AA204" s="5"/>
      <c r="AB204" s="392"/>
      <c r="AC204" s="710"/>
      <c r="AD204" s="710"/>
      <c r="AE204" s="363"/>
      <c r="AF204" s="712" t="str">
        <f t="shared" si="38"/>
        <v/>
      </c>
      <c r="AG204" s="712" t="str">
        <f>IF(K204="","",IF(AND(W204="",AA204="",AA205="",AD204=""),"Missing Info",IF(K204-W204-AA204-AA205+AD204=0,"OK","Review emissions")))</f>
        <v/>
      </c>
      <c r="AH204" s="589"/>
      <c r="AK204" s="107" t="s">
        <v>220</v>
      </c>
      <c r="AL204" s="387">
        <f t="shared" si="26"/>
        <v>0</v>
      </c>
      <c r="AM204" s="387">
        <f t="shared" si="25"/>
        <v>0</v>
      </c>
    </row>
    <row r="205" spans="1:39" s="391" customFormat="1" ht="68" hidden="1" customHeight="1" outlineLevel="3">
      <c r="A205" s="722"/>
      <c r="B205" s="733"/>
      <c r="C205" s="785"/>
      <c r="D205" s="785"/>
      <c r="E205" s="786"/>
      <c r="F205" s="786"/>
      <c r="G205" s="711"/>
      <c r="H205" s="839"/>
      <c r="I205" s="711"/>
      <c r="J205" s="711"/>
      <c r="K205" s="713"/>
      <c r="L205" s="362"/>
      <c r="M205" s="809"/>
      <c r="N205" s="544" t="b">
        <v>0</v>
      </c>
      <c r="O205" s="5"/>
      <c r="P205" s="363"/>
      <c r="Q205" s="711"/>
      <c r="R205" s="711"/>
      <c r="S205" s="711"/>
      <c r="T205" s="711"/>
      <c r="U205" s="711"/>
      <c r="V205" s="713">
        <f t="shared" si="34"/>
        <v>0</v>
      </c>
      <c r="W205" s="711"/>
      <c r="X205" s="362"/>
      <c r="Y205" s="364" t="s">
        <v>188</v>
      </c>
      <c r="Z205" s="5"/>
      <c r="AA205" s="5"/>
      <c r="AB205" s="392"/>
      <c r="AC205" s="711"/>
      <c r="AD205" s="711"/>
      <c r="AE205" s="363"/>
      <c r="AF205" s="713"/>
      <c r="AG205" s="713"/>
      <c r="AH205" s="589"/>
      <c r="AK205" s="107" t="s">
        <v>220</v>
      </c>
      <c r="AL205" s="387">
        <f t="shared" si="26"/>
        <v>0</v>
      </c>
      <c r="AM205" s="387">
        <f t="shared" si="25"/>
        <v>0</v>
      </c>
    </row>
    <row r="206" spans="1:39" s="391" customFormat="1" ht="39" hidden="1" customHeight="1" outlineLevel="3">
      <c r="A206" s="722"/>
      <c r="B206" s="733"/>
      <c r="C206" s="785"/>
      <c r="D206" s="785"/>
      <c r="E206" s="764" t="s">
        <v>278</v>
      </c>
      <c r="F206" s="765"/>
      <c r="G206" s="710"/>
      <c r="H206" s="838" t="str">
        <f>IF(G206="","",G206/$G$253)</f>
        <v/>
      </c>
      <c r="I206" s="710"/>
      <c r="J206" s="710"/>
      <c r="K206" s="712" t="str">
        <f>IF(SUM(I206:J207)=0,"",SUM(I206:J207))</f>
        <v/>
      </c>
      <c r="L206" s="362"/>
      <c r="M206" s="808" t="b">
        <v>0</v>
      </c>
      <c r="N206" s="544" t="b">
        <v>0</v>
      </c>
      <c r="O206" s="5"/>
      <c r="P206" s="363"/>
      <c r="Q206" s="710"/>
      <c r="R206" s="710"/>
      <c r="S206" s="710"/>
      <c r="T206" s="710"/>
      <c r="U206" s="710"/>
      <c r="V206" s="712">
        <f t="shared" si="34"/>
        <v>0</v>
      </c>
      <c r="W206" s="710"/>
      <c r="X206" s="362"/>
      <c r="Y206" s="364" t="s">
        <v>186</v>
      </c>
      <c r="Z206" s="5"/>
      <c r="AA206" s="5"/>
      <c r="AB206" s="392"/>
      <c r="AC206" s="710"/>
      <c r="AD206" s="710"/>
      <c r="AE206" s="363"/>
      <c r="AF206" s="712" t="str">
        <f t="shared" si="38"/>
        <v/>
      </c>
      <c r="AG206" s="712" t="str">
        <f>IF(K206="","",IF(AND(W206="",AA206="",AA207="",AD206=""),"Missing Info",IF(K206-W206-AA206-AA207+AD206=0,"OK","Review emissions")))</f>
        <v/>
      </c>
      <c r="AH206" s="589"/>
      <c r="AK206" s="107" t="s">
        <v>220</v>
      </c>
      <c r="AL206" s="387">
        <f t="shared" si="26"/>
        <v>0</v>
      </c>
      <c r="AM206" s="387">
        <f t="shared" si="25"/>
        <v>0</v>
      </c>
    </row>
    <row r="207" spans="1:39" s="391" customFormat="1" ht="39" hidden="1" customHeight="1" outlineLevel="3">
      <c r="A207" s="722"/>
      <c r="B207" s="733"/>
      <c r="C207" s="785"/>
      <c r="D207" s="785"/>
      <c r="E207" s="766"/>
      <c r="F207" s="767"/>
      <c r="G207" s="711"/>
      <c r="H207" s="839"/>
      <c r="I207" s="711"/>
      <c r="J207" s="711"/>
      <c r="K207" s="713"/>
      <c r="L207" s="362"/>
      <c r="M207" s="809"/>
      <c r="N207" s="544" t="b">
        <v>0</v>
      </c>
      <c r="O207" s="5"/>
      <c r="P207" s="363"/>
      <c r="Q207" s="711"/>
      <c r="R207" s="711"/>
      <c r="S207" s="711"/>
      <c r="T207" s="711"/>
      <c r="U207" s="711"/>
      <c r="V207" s="713">
        <f t="shared" si="34"/>
        <v>0</v>
      </c>
      <c r="W207" s="711"/>
      <c r="X207" s="362"/>
      <c r="Y207" s="364" t="s">
        <v>188</v>
      </c>
      <c r="Z207" s="5"/>
      <c r="AA207" s="5"/>
      <c r="AB207" s="392"/>
      <c r="AC207" s="711"/>
      <c r="AD207" s="711"/>
      <c r="AE207" s="363"/>
      <c r="AF207" s="713"/>
      <c r="AG207" s="713"/>
      <c r="AH207" s="589"/>
      <c r="AK207" s="107" t="s">
        <v>220</v>
      </c>
      <c r="AL207" s="387">
        <f t="shared" si="26"/>
        <v>0</v>
      </c>
      <c r="AM207" s="387">
        <f t="shared" si="25"/>
        <v>0</v>
      </c>
    </row>
    <row r="208" spans="1:39" s="391" customFormat="1" ht="39" hidden="1" customHeight="1" outlineLevel="3">
      <c r="A208" s="722"/>
      <c r="B208" s="733"/>
      <c r="C208" s="785"/>
      <c r="D208" s="785"/>
      <c r="E208" s="764" t="s">
        <v>279</v>
      </c>
      <c r="F208" s="765"/>
      <c r="G208" s="710"/>
      <c r="H208" s="838" t="str">
        <f>IF(G208="","",G208/$G$253)</f>
        <v/>
      </c>
      <c r="I208" s="710"/>
      <c r="J208" s="710"/>
      <c r="K208" s="712" t="str">
        <f>IF(SUM(I208:J209)=0,"",SUM(I208:J209))</f>
        <v/>
      </c>
      <c r="L208" s="362"/>
      <c r="M208" s="808" t="b">
        <v>0</v>
      </c>
      <c r="N208" s="544" t="b">
        <v>0</v>
      </c>
      <c r="O208" s="5"/>
      <c r="P208" s="363"/>
      <c r="Q208" s="710"/>
      <c r="R208" s="710"/>
      <c r="S208" s="710"/>
      <c r="T208" s="710"/>
      <c r="U208" s="710"/>
      <c r="V208" s="712">
        <f t="shared" si="34"/>
        <v>0</v>
      </c>
      <c r="W208" s="710"/>
      <c r="X208" s="362"/>
      <c r="Y208" s="364" t="s">
        <v>186</v>
      </c>
      <c r="Z208" s="5"/>
      <c r="AA208" s="5"/>
      <c r="AB208" s="392"/>
      <c r="AC208" s="710"/>
      <c r="AD208" s="710"/>
      <c r="AE208" s="363"/>
      <c r="AF208" s="712" t="str">
        <f t="shared" si="38"/>
        <v/>
      </c>
      <c r="AG208" s="712" t="str">
        <f>IF(K208="","",IF(AND(W208="",AA208="",AA209="",AD208=""),"Missing Info",IF(K208-W208-AA208-AA209+AD208=0,"OK","Review emissions")))</f>
        <v/>
      </c>
      <c r="AH208" s="589"/>
      <c r="AK208" s="107" t="s">
        <v>220</v>
      </c>
      <c r="AL208" s="387">
        <f t="shared" si="26"/>
        <v>0</v>
      </c>
      <c r="AM208" s="387">
        <f t="shared" si="25"/>
        <v>0</v>
      </c>
    </row>
    <row r="209" spans="1:39" s="391" customFormat="1" ht="39" hidden="1" customHeight="1" outlineLevel="3">
      <c r="A209" s="722"/>
      <c r="B209" s="733"/>
      <c r="C209" s="786"/>
      <c r="D209" s="786"/>
      <c r="E209" s="766"/>
      <c r="F209" s="767"/>
      <c r="G209" s="711"/>
      <c r="H209" s="839"/>
      <c r="I209" s="711"/>
      <c r="J209" s="711"/>
      <c r="K209" s="713"/>
      <c r="L209" s="362"/>
      <c r="M209" s="809"/>
      <c r="N209" s="544" t="b">
        <v>0</v>
      </c>
      <c r="O209" s="5"/>
      <c r="P209" s="363"/>
      <c r="Q209" s="711"/>
      <c r="R209" s="711"/>
      <c r="S209" s="711"/>
      <c r="T209" s="711"/>
      <c r="U209" s="711"/>
      <c r="V209" s="713">
        <f t="shared" si="34"/>
        <v>0</v>
      </c>
      <c r="W209" s="711"/>
      <c r="X209" s="362"/>
      <c r="Y209" s="364" t="s">
        <v>188</v>
      </c>
      <c r="Z209" s="5"/>
      <c r="AA209" s="5"/>
      <c r="AB209" s="392"/>
      <c r="AC209" s="711"/>
      <c r="AD209" s="711"/>
      <c r="AE209" s="363"/>
      <c r="AF209" s="713"/>
      <c r="AG209" s="713"/>
      <c r="AH209" s="589"/>
      <c r="AK209" s="107" t="s">
        <v>220</v>
      </c>
      <c r="AL209" s="387">
        <f t="shared" si="26"/>
        <v>0</v>
      </c>
      <c r="AM209" s="387">
        <f t="shared" si="25"/>
        <v>0</v>
      </c>
    </row>
    <row r="210" spans="1:39" s="391" customFormat="1" ht="39" hidden="1" customHeight="1" outlineLevel="3">
      <c r="A210" s="722"/>
      <c r="B210" s="733"/>
      <c r="C210" s="784" t="s">
        <v>190</v>
      </c>
      <c r="D210" s="737" t="s">
        <v>270</v>
      </c>
      <c r="E210" s="738"/>
      <c r="F210" s="739"/>
      <c r="G210" s="539"/>
      <c r="H210" s="388" t="str">
        <f>IF(G210="","",G210/$G$253)</f>
        <v/>
      </c>
      <c r="I210" s="539"/>
      <c r="J210" s="539"/>
      <c r="K210" s="557" t="str">
        <f t="shared" ref="K210:K216" si="39">IF(SUM(I210:J210)=0,"",SUM(I210:J210))</f>
        <v/>
      </c>
      <c r="L210" s="362"/>
      <c r="M210" s="544" t="b">
        <v>0</v>
      </c>
      <c r="N210" s="544" t="b">
        <v>0</v>
      </c>
      <c r="O210" s="5"/>
      <c r="P210" s="363"/>
      <c r="Q210" s="5"/>
      <c r="R210" s="5"/>
      <c r="S210" s="5"/>
      <c r="T210" s="5"/>
      <c r="U210" s="5"/>
      <c r="V210" s="557">
        <f t="shared" si="34"/>
        <v>0</v>
      </c>
      <c r="W210" s="5"/>
      <c r="X210" s="362"/>
      <c r="Y210" s="364" t="s">
        <v>192</v>
      </c>
      <c r="Z210" s="5"/>
      <c r="AA210" s="5"/>
      <c r="AB210" s="392"/>
      <c r="AC210" s="5"/>
      <c r="AD210" s="5"/>
      <c r="AE210" s="363"/>
      <c r="AF210" s="557" t="str">
        <f t="shared" ref="AF210:AF216" si="40">IF(G210="","",IF(AND(V210="",Z210="",AC210=""),"Missing Info",IF(G210-V210-Z210+AC210=0,"OK","Review financial exposure")))</f>
        <v/>
      </c>
      <c r="AG210" s="557" t="str">
        <f t="shared" ref="AG210:AG216" si="41">IF(K210="","",IF(AND(W210="",AA210="",AD210=""),"Missing Info",IF(K210-W210-AA210+AD210=0,"OK","Review emissions")))</f>
        <v/>
      </c>
      <c r="AH210" s="589"/>
      <c r="AK210" s="107" t="s">
        <v>221</v>
      </c>
      <c r="AL210" s="387">
        <f t="shared" si="26"/>
        <v>0</v>
      </c>
      <c r="AM210" s="387">
        <f t="shared" si="25"/>
        <v>0</v>
      </c>
    </row>
    <row r="211" spans="1:39" s="391" customFormat="1" ht="129" hidden="1" customHeight="1" outlineLevel="3">
      <c r="A211" s="722"/>
      <c r="B211" s="733"/>
      <c r="C211" s="785"/>
      <c r="D211" s="784" t="s">
        <v>194</v>
      </c>
      <c r="E211" s="545" t="s">
        <v>231</v>
      </c>
      <c r="F211" s="545" t="s">
        <v>242</v>
      </c>
      <c r="G211" s="539"/>
      <c r="H211" s="388" t="str">
        <f t="shared" ref="H211:H216" si="42">IF(G211="","",G211/$G$253)</f>
        <v/>
      </c>
      <c r="I211" s="539"/>
      <c r="J211" s="539"/>
      <c r="K211" s="557" t="str">
        <f t="shared" si="39"/>
        <v/>
      </c>
      <c r="L211" s="362"/>
      <c r="M211" s="544" t="b">
        <v>0</v>
      </c>
      <c r="N211" s="544" t="b">
        <v>0</v>
      </c>
      <c r="O211" s="5"/>
      <c r="P211" s="363"/>
      <c r="Q211" s="5"/>
      <c r="R211" s="5"/>
      <c r="S211" s="5"/>
      <c r="T211" s="5"/>
      <c r="U211" s="5"/>
      <c r="V211" s="557">
        <f t="shared" si="34"/>
        <v>0</v>
      </c>
      <c r="W211" s="5"/>
      <c r="X211" s="362"/>
      <c r="Y211" s="364" t="s">
        <v>192</v>
      </c>
      <c r="Z211" s="5"/>
      <c r="AA211" s="5"/>
      <c r="AB211" s="392"/>
      <c r="AC211" s="5"/>
      <c r="AD211" s="5"/>
      <c r="AE211" s="363"/>
      <c r="AF211" s="557" t="str">
        <f t="shared" si="40"/>
        <v/>
      </c>
      <c r="AG211" s="557" t="str">
        <f t="shared" si="41"/>
        <v/>
      </c>
      <c r="AH211" s="589"/>
      <c r="AK211" s="107" t="s">
        <v>221</v>
      </c>
      <c r="AL211" s="387">
        <f t="shared" si="26"/>
        <v>0</v>
      </c>
      <c r="AM211" s="387">
        <f t="shared" si="25"/>
        <v>0</v>
      </c>
    </row>
    <row r="212" spans="1:39" s="391" customFormat="1" ht="39" hidden="1" customHeight="1" outlineLevel="3">
      <c r="A212" s="722"/>
      <c r="B212" s="733"/>
      <c r="C212" s="785"/>
      <c r="D212" s="786"/>
      <c r="E212" s="762" t="s">
        <v>244</v>
      </c>
      <c r="F212" s="763"/>
      <c r="G212" s="539"/>
      <c r="H212" s="388" t="str">
        <f t="shared" si="42"/>
        <v/>
      </c>
      <c r="I212" s="539"/>
      <c r="J212" s="539"/>
      <c r="K212" s="557" t="str">
        <f t="shared" si="39"/>
        <v/>
      </c>
      <c r="L212" s="362"/>
      <c r="M212" s="544" t="b">
        <v>0</v>
      </c>
      <c r="N212" s="544" t="b">
        <v>0</v>
      </c>
      <c r="O212" s="5"/>
      <c r="P212" s="363"/>
      <c r="Q212" s="5"/>
      <c r="R212" s="5"/>
      <c r="S212" s="5"/>
      <c r="T212" s="5"/>
      <c r="U212" s="5"/>
      <c r="V212" s="557">
        <f t="shared" si="34"/>
        <v>0</v>
      </c>
      <c r="W212" s="5"/>
      <c r="X212" s="362"/>
      <c r="Y212" s="364" t="s">
        <v>192</v>
      </c>
      <c r="Z212" s="5"/>
      <c r="AA212" s="5"/>
      <c r="AB212" s="392"/>
      <c r="AC212" s="5"/>
      <c r="AD212" s="5"/>
      <c r="AE212" s="363"/>
      <c r="AF212" s="557" t="str">
        <f t="shared" si="40"/>
        <v/>
      </c>
      <c r="AG212" s="557" t="str">
        <f t="shared" si="41"/>
        <v/>
      </c>
      <c r="AH212" s="589"/>
      <c r="AK212" s="107" t="s">
        <v>221</v>
      </c>
      <c r="AL212" s="387">
        <f t="shared" si="26"/>
        <v>0</v>
      </c>
      <c r="AM212" s="387">
        <f t="shared" si="25"/>
        <v>0</v>
      </c>
    </row>
    <row r="213" spans="1:39" s="391" customFormat="1" ht="39" hidden="1" customHeight="1" outlineLevel="3">
      <c r="A213" s="722"/>
      <c r="B213" s="733"/>
      <c r="C213" s="785"/>
      <c r="D213" s="737" t="s">
        <v>271</v>
      </c>
      <c r="E213" s="738"/>
      <c r="F213" s="739"/>
      <c r="G213" s="539"/>
      <c r="H213" s="388" t="str">
        <f t="shared" si="42"/>
        <v/>
      </c>
      <c r="I213" s="539"/>
      <c r="J213" s="539"/>
      <c r="K213" s="557" t="str">
        <f t="shared" si="39"/>
        <v/>
      </c>
      <c r="L213" s="362"/>
      <c r="M213" s="544" t="b">
        <v>0</v>
      </c>
      <c r="N213" s="544" t="b">
        <v>0</v>
      </c>
      <c r="O213" s="5"/>
      <c r="P213" s="363"/>
      <c r="Q213" s="5"/>
      <c r="R213" s="5"/>
      <c r="S213" s="5"/>
      <c r="T213" s="5"/>
      <c r="U213" s="5"/>
      <c r="V213" s="557">
        <f t="shared" si="34"/>
        <v>0</v>
      </c>
      <c r="W213" s="5"/>
      <c r="X213" s="362"/>
      <c r="Y213" s="364" t="s">
        <v>196</v>
      </c>
      <c r="Z213" s="5"/>
      <c r="AA213" s="5"/>
      <c r="AB213" s="392"/>
      <c r="AC213" s="5"/>
      <c r="AD213" s="5"/>
      <c r="AE213" s="363"/>
      <c r="AF213" s="557" t="str">
        <f t="shared" si="40"/>
        <v/>
      </c>
      <c r="AG213" s="557" t="str">
        <f t="shared" si="41"/>
        <v/>
      </c>
      <c r="AH213" s="589"/>
      <c r="AK213" s="107" t="s">
        <v>222</v>
      </c>
      <c r="AL213" s="387">
        <f t="shared" si="26"/>
        <v>0</v>
      </c>
      <c r="AM213" s="387">
        <f t="shared" si="25"/>
        <v>0</v>
      </c>
    </row>
    <row r="214" spans="1:39" s="391" customFormat="1" ht="137" hidden="1" customHeight="1" outlineLevel="3">
      <c r="A214" s="722"/>
      <c r="B214" s="733"/>
      <c r="C214" s="785"/>
      <c r="D214" s="784" t="s">
        <v>198</v>
      </c>
      <c r="E214" s="545" t="s">
        <v>231</v>
      </c>
      <c r="F214" s="545" t="s">
        <v>242</v>
      </c>
      <c r="G214" s="539"/>
      <c r="H214" s="388" t="str">
        <f t="shared" si="42"/>
        <v/>
      </c>
      <c r="I214" s="539"/>
      <c r="J214" s="539"/>
      <c r="K214" s="557" t="str">
        <f t="shared" si="39"/>
        <v/>
      </c>
      <c r="L214" s="362"/>
      <c r="M214" s="544" t="b">
        <v>0</v>
      </c>
      <c r="N214" s="544" t="b">
        <v>0</v>
      </c>
      <c r="O214" s="5"/>
      <c r="P214" s="363"/>
      <c r="Q214" s="5"/>
      <c r="R214" s="5"/>
      <c r="S214" s="5"/>
      <c r="T214" s="5"/>
      <c r="U214" s="5"/>
      <c r="V214" s="557">
        <f t="shared" si="34"/>
        <v>0</v>
      </c>
      <c r="W214" s="5"/>
      <c r="X214" s="362"/>
      <c r="Y214" s="364" t="s">
        <v>196</v>
      </c>
      <c r="Z214" s="5"/>
      <c r="AA214" s="5"/>
      <c r="AB214" s="392"/>
      <c r="AC214" s="5"/>
      <c r="AD214" s="5"/>
      <c r="AE214" s="363"/>
      <c r="AF214" s="557" t="str">
        <f t="shared" si="40"/>
        <v/>
      </c>
      <c r="AG214" s="557" t="str">
        <f t="shared" si="41"/>
        <v/>
      </c>
      <c r="AH214" s="589"/>
      <c r="AK214" s="107" t="s">
        <v>222</v>
      </c>
      <c r="AL214" s="387">
        <f t="shared" si="26"/>
        <v>0</v>
      </c>
      <c r="AM214" s="387">
        <f t="shared" si="25"/>
        <v>0</v>
      </c>
    </row>
    <row r="215" spans="1:39" s="391" customFormat="1" ht="78" hidden="1" customHeight="1" outlineLevel="3">
      <c r="A215" s="722"/>
      <c r="B215" s="733"/>
      <c r="C215" s="785"/>
      <c r="D215" s="785"/>
      <c r="E215" s="762" t="s">
        <v>278</v>
      </c>
      <c r="F215" s="763"/>
      <c r="G215" s="539"/>
      <c r="H215" s="388" t="str">
        <f t="shared" si="42"/>
        <v/>
      </c>
      <c r="I215" s="539"/>
      <c r="J215" s="539"/>
      <c r="K215" s="557" t="str">
        <f t="shared" si="39"/>
        <v/>
      </c>
      <c r="L215" s="362"/>
      <c r="M215" s="544" t="b">
        <v>0</v>
      </c>
      <c r="N215" s="544" t="b">
        <v>0</v>
      </c>
      <c r="O215" s="5"/>
      <c r="P215" s="363"/>
      <c r="Q215" s="5"/>
      <c r="R215" s="5"/>
      <c r="S215" s="5"/>
      <c r="T215" s="5"/>
      <c r="U215" s="5"/>
      <c r="V215" s="557">
        <f t="shared" si="34"/>
        <v>0</v>
      </c>
      <c r="W215" s="5"/>
      <c r="X215" s="362"/>
      <c r="Y215" s="364" t="s">
        <v>196</v>
      </c>
      <c r="Z215" s="5"/>
      <c r="AA215" s="5"/>
      <c r="AB215" s="392"/>
      <c r="AC215" s="5"/>
      <c r="AD215" s="5"/>
      <c r="AE215" s="363"/>
      <c r="AF215" s="557" t="str">
        <f t="shared" si="40"/>
        <v/>
      </c>
      <c r="AG215" s="557" t="str">
        <f t="shared" si="41"/>
        <v/>
      </c>
      <c r="AH215" s="589"/>
      <c r="AK215" s="107" t="s">
        <v>222</v>
      </c>
      <c r="AL215" s="387">
        <f t="shared" si="26"/>
        <v>0</v>
      </c>
      <c r="AM215" s="387">
        <f t="shared" si="25"/>
        <v>0</v>
      </c>
    </row>
    <row r="216" spans="1:39" s="391" customFormat="1" ht="78" hidden="1" customHeight="1" outlineLevel="3">
      <c r="A216" s="722"/>
      <c r="B216" s="733"/>
      <c r="C216" s="785"/>
      <c r="D216" s="786"/>
      <c r="E216" s="762" t="s">
        <v>279</v>
      </c>
      <c r="F216" s="763"/>
      <c r="G216" s="539"/>
      <c r="H216" s="388" t="str">
        <f t="shared" si="42"/>
        <v/>
      </c>
      <c r="I216" s="539"/>
      <c r="J216" s="539"/>
      <c r="K216" s="557" t="str">
        <f t="shared" si="39"/>
        <v/>
      </c>
      <c r="L216" s="362"/>
      <c r="M216" s="544" t="b">
        <v>0</v>
      </c>
      <c r="N216" s="544" t="b">
        <v>0</v>
      </c>
      <c r="O216" s="5"/>
      <c r="P216" s="363"/>
      <c r="Q216" s="5"/>
      <c r="R216" s="5"/>
      <c r="S216" s="5"/>
      <c r="T216" s="5"/>
      <c r="U216" s="5"/>
      <c r="V216" s="557">
        <f t="shared" si="34"/>
        <v>0</v>
      </c>
      <c r="W216" s="5"/>
      <c r="X216" s="362"/>
      <c r="Y216" s="364" t="s">
        <v>196</v>
      </c>
      <c r="Z216" s="5"/>
      <c r="AA216" s="5"/>
      <c r="AB216" s="392"/>
      <c r="AC216" s="5"/>
      <c r="AD216" s="5"/>
      <c r="AE216" s="363"/>
      <c r="AF216" s="557" t="str">
        <f t="shared" si="40"/>
        <v/>
      </c>
      <c r="AG216" s="557" t="str">
        <f t="shared" si="41"/>
        <v/>
      </c>
      <c r="AH216" s="589"/>
      <c r="AK216" s="107" t="s">
        <v>222</v>
      </c>
      <c r="AL216" s="387">
        <f t="shared" si="26"/>
        <v>0</v>
      </c>
      <c r="AM216" s="387">
        <f t="shared" si="25"/>
        <v>0</v>
      </c>
    </row>
    <row r="217" spans="1:39" s="391" customFormat="1" ht="39" hidden="1" customHeight="1" outlineLevel="3">
      <c r="A217" s="722"/>
      <c r="B217" s="733"/>
      <c r="C217" s="784" t="s">
        <v>199</v>
      </c>
      <c r="D217" s="740" t="s">
        <v>272</v>
      </c>
      <c r="E217" s="741"/>
      <c r="F217" s="742"/>
      <c r="G217" s="710"/>
      <c r="H217" s="838" t="str">
        <f>IF(G217="","",G217/$G$253)</f>
        <v/>
      </c>
      <c r="I217" s="710"/>
      <c r="J217" s="710"/>
      <c r="K217" s="712" t="str">
        <f>IF(SUM(I217:J218)=0,"",SUM(I217:J218))</f>
        <v/>
      </c>
      <c r="L217" s="362"/>
      <c r="M217" s="808" t="b">
        <v>0</v>
      </c>
      <c r="N217" s="544" t="b">
        <v>0</v>
      </c>
      <c r="O217" s="5"/>
      <c r="P217" s="363"/>
      <c r="Q217" s="710"/>
      <c r="R217" s="710"/>
      <c r="S217" s="710"/>
      <c r="T217" s="710"/>
      <c r="U217" s="710"/>
      <c r="V217" s="712">
        <f t="shared" si="34"/>
        <v>0</v>
      </c>
      <c r="W217" s="710"/>
      <c r="X217" s="362"/>
      <c r="Y217" s="364" t="s">
        <v>201</v>
      </c>
      <c r="Z217" s="5"/>
      <c r="AA217" s="5"/>
      <c r="AB217" s="392"/>
      <c r="AC217" s="710"/>
      <c r="AD217" s="710"/>
      <c r="AE217" s="363"/>
      <c r="AF217" s="712" t="str">
        <f t="shared" ref="AF217:AF223" si="43">IF(G217="","",IF(AND(V217="",Z217="",Z218="",AC217=""),"Missing Info",IF(G217-V217-Z217-Z218+AC217=0,"OK","Review financial exposure")))</f>
        <v/>
      </c>
      <c r="AG217" s="712" t="str">
        <f>IF(K217="","",IF(AND(W217="",AA217="",AA218="",AD217=""),"Missing Info",IF(K217-W217-AA217-AA218+AD217=0,"OK","Review emissions")))</f>
        <v/>
      </c>
      <c r="AH217" s="589"/>
      <c r="AK217" s="107" t="s">
        <v>223</v>
      </c>
      <c r="AL217" s="387">
        <f t="shared" si="26"/>
        <v>0</v>
      </c>
      <c r="AM217" s="387">
        <f t="shared" ref="AM217:AM238" si="44">COUNTIFS($AK$89:$AK$238,$AK217,N$89:N$238,TRUE)</f>
        <v>0</v>
      </c>
    </row>
    <row r="218" spans="1:39" s="391" customFormat="1" ht="39" hidden="1" customHeight="1" outlineLevel="3">
      <c r="A218" s="722"/>
      <c r="B218" s="733"/>
      <c r="C218" s="785"/>
      <c r="D218" s="743"/>
      <c r="E218" s="744"/>
      <c r="F218" s="745"/>
      <c r="G218" s="711"/>
      <c r="H218" s="839"/>
      <c r="I218" s="711"/>
      <c r="J218" s="711"/>
      <c r="K218" s="713"/>
      <c r="L218" s="362"/>
      <c r="M218" s="809"/>
      <c r="N218" s="544" t="b">
        <v>0</v>
      </c>
      <c r="O218" s="5"/>
      <c r="P218" s="363"/>
      <c r="Q218" s="711"/>
      <c r="R218" s="711"/>
      <c r="S218" s="711"/>
      <c r="T218" s="711"/>
      <c r="U218" s="711"/>
      <c r="V218" s="713">
        <f t="shared" si="34"/>
        <v>0</v>
      </c>
      <c r="W218" s="711"/>
      <c r="X218" s="362"/>
      <c r="Y218" s="364" t="s">
        <v>203</v>
      </c>
      <c r="Z218" s="5"/>
      <c r="AA218" s="5"/>
      <c r="AB218" s="392"/>
      <c r="AC218" s="711"/>
      <c r="AD218" s="711"/>
      <c r="AE218" s="363"/>
      <c r="AF218" s="713"/>
      <c r="AG218" s="713"/>
      <c r="AH218" s="589"/>
      <c r="AK218" s="107" t="s">
        <v>223</v>
      </c>
      <c r="AL218" s="387">
        <f t="shared" ref="AL218:AL238" si="45">COUNTIFS($AK$89:$AK$238,$AK218,M$89:M$238,TRUE)</f>
        <v>0</v>
      </c>
      <c r="AM218" s="387">
        <f t="shared" si="44"/>
        <v>0</v>
      </c>
    </row>
    <row r="219" spans="1:39" s="391" customFormat="1" ht="90" hidden="1" customHeight="1" outlineLevel="3">
      <c r="A219" s="722"/>
      <c r="B219" s="733"/>
      <c r="C219" s="785"/>
      <c r="D219" s="784" t="s">
        <v>204</v>
      </c>
      <c r="E219" s="784" t="s">
        <v>231</v>
      </c>
      <c r="F219" s="784" t="s">
        <v>242</v>
      </c>
      <c r="G219" s="710"/>
      <c r="H219" s="838" t="str">
        <f>IF(G219="","",G219/$G$253)</f>
        <v/>
      </c>
      <c r="I219" s="710"/>
      <c r="J219" s="710"/>
      <c r="K219" s="712" t="str">
        <f>IF(SUM(I219:J220)=0,"",SUM(I219:J220))</f>
        <v/>
      </c>
      <c r="L219" s="362"/>
      <c r="M219" s="808" t="b">
        <v>0</v>
      </c>
      <c r="N219" s="544" t="b">
        <v>0</v>
      </c>
      <c r="O219" s="5"/>
      <c r="P219" s="363"/>
      <c r="Q219" s="710"/>
      <c r="R219" s="710"/>
      <c r="S219" s="710"/>
      <c r="T219" s="710"/>
      <c r="U219" s="710"/>
      <c r="V219" s="712">
        <f t="shared" si="34"/>
        <v>0</v>
      </c>
      <c r="W219" s="710"/>
      <c r="X219" s="362"/>
      <c r="Y219" s="364" t="s">
        <v>201</v>
      </c>
      <c r="Z219" s="5"/>
      <c r="AA219" s="5"/>
      <c r="AB219" s="392"/>
      <c r="AC219" s="710"/>
      <c r="AD219" s="710"/>
      <c r="AE219" s="363"/>
      <c r="AF219" s="712" t="str">
        <f t="shared" si="43"/>
        <v/>
      </c>
      <c r="AG219" s="712" t="str">
        <f>IF(K219="","",IF(AND(W219="",AA219="",AA220="",AD219=""),"Missing Info",IF(K219-W219-AA219-AA220+AD219=0,"OK","Review emissions")))</f>
        <v/>
      </c>
      <c r="AH219" s="589"/>
      <c r="AK219" s="107" t="s">
        <v>223</v>
      </c>
      <c r="AL219" s="387">
        <f t="shared" si="45"/>
        <v>0</v>
      </c>
      <c r="AM219" s="387">
        <f t="shared" si="44"/>
        <v>0</v>
      </c>
    </row>
    <row r="220" spans="1:39" s="391" customFormat="1" ht="90" hidden="1" customHeight="1" outlineLevel="3">
      <c r="A220" s="722"/>
      <c r="B220" s="733"/>
      <c r="C220" s="785"/>
      <c r="D220" s="785"/>
      <c r="E220" s="786"/>
      <c r="F220" s="786"/>
      <c r="G220" s="711"/>
      <c r="H220" s="839"/>
      <c r="I220" s="711"/>
      <c r="J220" s="711"/>
      <c r="K220" s="713"/>
      <c r="L220" s="362"/>
      <c r="M220" s="809"/>
      <c r="N220" s="544" t="b">
        <v>0</v>
      </c>
      <c r="O220" s="5"/>
      <c r="P220" s="363"/>
      <c r="Q220" s="711"/>
      <c r="R220" s="711"/>
      <c r="S220" s="711"/>
      <c r="T220" s="711"/>
      <c r="U220" s="711"/>
      <c r="V220" s="713">
        <f t="shared" si="34"/>
        <v>0</v>
      </c>
      <c r="W220" s="711"/>
      <c r="X220" s="362"/>
      <c r="Y220" s="364" t="s">
        <v>203</v>
      </c>
      <c r="Z220" s="5"/>
      <c r="AA220" s="5"/>
      <c r="AB220" s="392"/>
      <c r="AC220" s="711"/>
      <c r="AD220" s="711"/>
      <c r="AE220" s="363"/>
      <c r="AF220" s="713"/>
      <c r="AG220" s="713"/>
      <c r="AH220" s="589"/>
      <c r="AK220" s="107" t="s">
        <v>223</v>
      </c>
      <c r="AL220" s="387">
        <f t="shared" si="45"/>
        <v>0</v>
      </c>
      <c r="AM220" s="387">
        <f t="shared" si="44"/>
        <v>0</v>
      </c>
    </row>
    <row r="221" spans="1:39" s="391" customFormat="1" ht="39" hidden="1" customHeight="1" outlineLevel="3">
      <c r="A221" s="722"/>
      <c r="B221" s="733"/>
      <c r="C221" s="785"/>
      <c r="D221" s="785"/>
      <c r="E221" s="764" t="s">
        <v>278</v>
      </c>
      <c r="F221" s="765"/>
      <c r="G221" s="710"/>
      <c r="H221" s="838" t="str">
        <f>IF(G221="","",G221/$G$253)</f>
        <v/>
      </c>
      <c r="I221" s="710"/>
      <c r="J221" s="710"/>
      <c r="K221" s="712" t="str">
        <f>IF(SUM(I221:J222)=0,"",SUM(I221:J222))</f>
        <v/>
      </c>
      <c r="L221" s="362"/>
      <c r="M221" s="808" t="b">
        <v>0</v>
      </c>
      <c r="N221" s="544" t="b">
        <v>0</v>
      </c>
      <c r="O221" s="5"/>
      <c r="P221" s="363"/>
      <c r="Q221" s="710"/>
      <c r="R221" s="710"/>
      <c r="S221" s="710"/>
      <c r="T221" s="710"/>
      <c r="U221" s="710"/>
      <c r="V221" s="712">
        <f t="shared" si="34"/>
        <v>0</v>
      </c>
      <c r="W221" s="710"/>
      <c r="X221" s="362"/>
      <c r="Y221" s="364" t="s">
        <v>201</v>
      </c>
      <c r="Z221" s="5"/>
      <c r="AA221" s="5"/>
      <c r="AB221" s="392"/>
      <c r="AC221" s="710"/>
      <c r="AD221" s="710"/>
      <c r="AE221" s="363"/>
      <c r="AF221" s="712" t="str">
        <f t="shared" si="43"/>
        <v/>
      </c>
      <c r="AG221" s="712" t="str">
        <f>IF(K221="","",IF(AND(W221="",AA221="",AA222="",AD221=""),"Missing Info",IF(K221-W221-AA221-AA222+AD221=0,"OK","Review emissions")))</f>
        <v/>
      </c>
      <c r="AH221" s="589"/>
      <c r="AK221" s="107" t="s">
        <v>223</v>
      </c>
      <c r="AL221" s="387">
        <f t="shared" si="45"/>
        <v>0</v>
      </c>
      <c r="AM221" s="387">
        <f t="shared" si="44"/>
        <v>0</v>
      </c>
    </row>
    <row r="222" spans="1:39" s="391" customFormat="1" ht="39" hidden="1" customHeight="1" outlineLevel="3">
      <c r="A222" s="722"/>
      <c r="B222" s="733"/>
      <c r="C222" s="785"/>
      <c r="D222" s="785"/>
      <c r="E222" s="766"/>
      <c r="F222" s="767"/>
      <c r="G222" s="711"/>
      <c r="H222" s="839"/>
      <c r="I222" s="711"/>
      <c r="J222" s="711"/>
      <c r="K222" s="713"/>
      <c r="L222" s="362"/>
      <c r="M222" s="809"/>
      <c r="N222" s="544" t="b">
        <v>0</v>
      </c>
      <c r="O222" s="5"/>
      <c r="P222" s="363"/>
      <c r="Q222" s="711"/>
      <c r="R222" s="711"/>
      <c r="S222" s="711"/>
      <c r="T222" s="711"/>
      <c r="U222" s="711"/>
      <c r="V222" s="713">
        <f t="shared" si="34"/>
        <v>0</v>
      </c>
      <c r="W222" s="711"/>
      <c r="X222" s="362"/>
      <c r="Y222" s="364" t="s">
        <v>203</v>
      </c>
      <c r="Z222" s="5"/>
      <c r="AA222" s="5"/>
      <c r="AB222" s="392"/>
      <c r="AC222" s="711"/>
      <c r="AD222" s="711"/>
      <c r="AE222" s="363"/>
      <c r="AF222" s="713"/>
      <c r="AG222" s="713"/>
      <c r="AH222" s="589"/>
      <c r="AK222" s="107" t="s">
        <v>223</v>
      </c>
      <c r="AL222" s="387">
        <f t="shared" si="45"/>
        <v>0</v>
      </c>
      <c r="AM222" s="387">
        <f t="shared" si="44"/>
        <v>0</v>
      </c>
    </row>
    <row r="223" spans="1:39" s="391" customFormat="1" ht="39" hidden="1" customHeight="1" outlineLevel="3">
      <c r="A223" s="722"/>
      <c r="B223" s="733"/>
      <c r="C223" s="785"/>
      <c r="D223" s="785"/>
      <c r="E223" s="764" t="s">
        <v>279</v>
      </c>
      <c r="F223" s="765"/>
      <c r="G223" s="710"/>
      <c r="H223" s="838" t="str">
        <f>IF(G223="","",G223/$G$253)</f>
        <v/>
      </c>
      <c r="I223" s="710"/>
      <c r="J223" s="710"/>
      <c r="K223" s="712" t="str">
        <f>IF(SUM(I223:J224)=0,"",SUM(I223:J224))</f>
        <v/>
      </c>
      <c r="L223" s="362"/>
      <c r="M223" s="808" t="b">
        <v>0</v>
      </c>
      <c r="N223" s="544" t="b">
        <v>0</v>
      </c>
      <c r="O223" s="5"/>
      <c r="P223" s="363"/>
      <c r="Q223" s="710"/>
      <c r="R223" s="710"/>
      <c r="S223" s="710"/>
      <c r="T223" s="710"/>
      <c r="U223" s="710"/>
      <c r="V223" s="712">
        <f t="shared" si="34"/>
        <v>0</v>
      </c>
      <c r="W223" s="710"/>
      <c r="X223" s="362"/>
      <c r="Y223" s="364" t="s">
        <v>201</v>
      </c>
      <c r="Z223" s="5"/>
      <c r="AA223" s="5"/>
      <c r="AB223" s="392"/>
      <c r="AC223" s="710"/>
      <c r="AD223" s="710"/>
      <c r="AE223" s="363"/>
      <c r="AF223" s="712" t="str">
        <f t="shared" si="43"/>
        <v/>
      </c>
      <c r="AG223" s="712" t="str">
        <f>IF(K223="","",IF(AND(W223="",AA223="",AA224="",AD223=""),"Missing Info",IF(K223-W223-AA223-AA224+AD223=0,"OK","Review emissions")))</f>
        <v/>
      </c>
      <c r="AH223" s="589"/>
      <c r="AK223" s="107" t="s">
        <v>223</v>
      </c>
      <c r="AL223" s="387">
        <f t="shared" si="45"/>
        <v>0</v>
      </c>
      <c r="AM223" s="387">
        <f t="shared" si="44"/>
        <v>0</v>
      </c>
    </row>
    <row r="224" spans="1:39" s="391" customFormat="1" ht="39" hidden="1" customHeight="1" outlineLevel="3">
      <c r="A224" s="722"/>
      <c r="B224" s="733"/>
      <c r="C224" s="786"/>
      <c r="D224" s="786"/>
      <c r="E224" s="766"/>
      <c r="F224" s="767"/>
      <c r="G224" s="711"/>
      <c r="H224" s="839"/>
      <c r="I224" s="711"/>
      <c r="J224" s="711"/>
      <c r="K224" s="713"/>
      <c r="L224" s="362"/>
      <c r="M224" s="809"/>
      <c r="N224" s="544" t="b">
        <v>0</v>
      </c>
      <c r="O224" s="5"/>
      <c r="P224" s="363"/>
      <c r="Q224" s="711"/>
      <c r="R224" s="711"/>
      <c r="S224" s="711"/>
      <c r="T224" s="711"/>
      <c r="U224" s="711"/>
      <c r="V224" s="713">
        <f t="shared" si="34"/>
        <v>0</v>
      </c>
      <c r="W224" s="711"/>
      <c r="X224" s="362"/>
      <c r="Y224" s="364" t="s">
        <v>203</v>
      </c>
      <c r="Z224" s="5"/>
      <c r="AA224" s="5"/>
      <c r="AB224" s="392"/>
      <c r="AC224" s="711"/>
      <c r="AD224" s="711"/>
      <c r="AE224" s="363"/>
      <c r="AF224" s="713"/>
      <c r="AG224" s="713"/>
      <c r="AH224" s="589"/>
      <c r="AK224" s="107" t="s">
        <v>223</v>
      </c>
      <c r="AL224" s="387">
        <f t="shared" si="45"/>
        <v>0</v>
      </c>
      <c r="AM224" s="387">
        <f t="shared" si="44"/>
        <v>0</v>
      </c>
    </row>
    <row r="225" spans="1:39" s="391" customFormat="1" ht="39" hidden="1" customHeight="1" outlineLevel="3">
      <c r="A225" s="722"/>
      <c r="B225" s="733"/>
      <c r="C225" s="764" t="s">
        <v>16</v>
      </c>
      <c r="D225" s="737" t="s">
        <v>273</v>
      </c>
      <c r="E225" s="738"/>
      <c r="F225" s="739"/>
      <c r="G225" s="539"/>
      <c r="H225" s="388" t="str">
        <f>IF(G225="","",G225/$G$253)</f>
        <v/>
      </c>
      <c r="I225" s="539"/>
      <c r="J225" s="539"/>
      <c r="K225" s="557" t="str">
        <f t="shared" ref="K225:K238" si="46">IF(SUM(I225:J225)=0,"",SUM(I225:J225))</f>
        <v/>
      </c>
      <c r="L225" s="362"/>
      <c r="M225" s="544" t="b">
        <v>0</v>
      </c>
      <c r="N225" s="544" t="b">
        <v>0</v>
      </c>
      <c r="O225" s="5"/>
      <c r="P225" s="363"/>
      <c r="Q225" s="5"/>
      <c r="R225" s="5"/>
      <c r="S225" s="5"/>
      <c r="T225" s="5"/>
      <c r="U225" s="5"/>
      <c r="V225" s="557">
        <f t="shared" si="34"/>
        <v>0</v>
      </c>
      <c r="W225" s="5"/>
      <c r="X225" s="362"/>
      <c r="Y225" s="364" t="s">
        <v>206</v>
      </c>
      <c r="Z225" s="5"/>
      <c r="AA225" s="5"/>
      <c r="AB225" s="392"/>
      <c r="AC225" s="5"/>
      <c r="AD225" s="5"/>
      <c r="AE225" s="363"/>
      <c r="AF225" s="557" t="str">
        <f t="shared" ref="AF225:AF238" si="47">IF(G225="","",IF(AND(V225="",Z225="",AC225=""),"Missing Info",IF(G225-V225-Z225+AC225=0,"OK","Review financial exposure")))</f>
        <v/>
      </c>
      <c r="AG225" s="557" t="str">
        <f t="shared" ref="AG225:AG238" si="48">IF(K225="","",IF(AND(W225="",AA225="",AD225=""),"Missing Info",IF(K225-W225-AA225+AD225=0,"OK","Review emissions")))</f>
        <v/>
      </c>
      <c r="AH225" s="589"/>
      <c r="AK225" s="107" t="s">
        <v>224</v>
      </c>
      <c r="AL225" s="387">
        <f t="shared" si="45"/>
        <v>0</v>
      </c>
      <c r="AM225" s="387">
        <f t="shared" si="44"/>
        <v>0</v>
      </c>
    </row>
    <row r="226" spans="1:39" s="391" customFormat="1" ht="135" hidden="1" customHeight="1" outlineLevel="3">
      <c r="A226" s="722"/>
      <c r="B226" s="733"/>
      <c r="C226" s="787"/>
      <c r="D226" s="784" t="s">
        <v>16</v>
      </c>
      <c r="E226" s="545" t="s">
        <v>231</v>
      </c>
      <c r="F226" s="545" t="s">
        <v>242</v>
      </c>
      <c r="G226" s="539"/>
      <c r="H226" s="388" t="str">
        <f t="shared" ref="H226:H248" si="49">IF(G226="","",G226/$G$253)</f>
        <v/>
      </c>
      <c r="I226" s="539"/>
      <c r="J226" s="539"/>
      <c r="K226" s="557" t="str">
        <f t="shared" si="46"/>
        <v/>
      </c>
      <c r="L226" s="362"/>
      <c r="M226" s="544" t="b">
        <v>0</v>
      </c>
      <c r="N226" s="544" t="b">
        <v>0</v>
      </c>
      <c r="O226" s="5"/>
      <c r="P226" s="363"/>
      <c r="Q226" s="5"/>
      <c r="R226" s="5"/>
      <c r="S226" s="5"/>
      <c r="T226" s="5"/>
      <c r="U226" s="5"/>
      <c r="V226" s="557">
        <f t="shared" si="34"/>
        <v>0</v>
      </c>
      <c r="W226" s="5"/>
      <c r="X226" s="362"/>
      <c r="Y226" s="364" t="s">
        <v>206</v>
      </c>
      <c r="Z226" s="5"/>
      <c r="AA226" s="5"/>
      <c r="AB226" s="392"/>
      <c r="AC226" s="5"/>
      <c r="AD226" s="5"/>
      <c r="AE226" s="363"/>
      <c r="AF226" s="557" t="str">
        <f t="shared" si="47"/>
        <v/>
      </c>
      <c r="AG226" s="557" t="str">
        <f t="shared" si="48"/>
        <v/>
      </c>
      <c r="AH226" s="589"/>
      <c r="AK226" s="107" t="s">
        <v>224</v>
      </c>
      <c r="AL226" s="387">
        <f t="shared" si="45"/>
        <v>0</v>
      </c>
      <c r="AM226" s="387">
        <f t="shared" si="44"/>
        <v>0</v>
      </c>
    </row>
    <row r="227" spans="1:39" s="391" customFormat="1" ht="86" hidden="1" customHeight="1" outlineLevel="3">
      <c r="A227" s="722"/>
      <c r="B227" s="733"/>
      <c r="C227" s="787"/>
      <c r="D227" s="785"/>
      <c r="E227" s="762" t="s">
        <v>278</v>
      </c>
      <c r="F227" s="763"/>
      <c r="G227" s="539"/>
      <c r="H227" s="388" t="str">
        <f t="shared" si="49"/>
        <v/>
      </c>
      <c r="I227" s="539"/>
      <c r="J227" s="539"/>
      <c r="K227" s="557" t="str">
        <f t="shared" si="46"/>
        <v/>
      </c>
      <c r="L227" s="362"/>
      <c r="M227" s="544" t="b">
        <v>0</v>
      </c>
      <c r="N227" s="544" t="b">
        <v>0</v>
      </c>
      <c r="O227" s="5"/>
      <c r="P227" s="363"/>
      <c r="Q227" s="5"/>
      <c r="R227" s="5"/>
      <c r="S227" s="5"/>
      <c r="T227" s="5"/>
      <c r="U227" s="5"/>
      <c r="V227" s="557">
        <f t="shared" si="34"/>
        <v>0</v>
      </c>
      <c r="W227" s="5"/>
      <c r="X227" s="362"/>
      <c r="Y227" s="364" t="s">
        <v>206</v>
      </c>
      <c r="Z227" s="5"/>
      <c r="AA227" s="5"/>
      <c r="AB227" s="392"/>
      <c r="AC227" s="5"/>
      <c r="AD227" s="5"/>
      <c r="AE227" s="363"/>
      <c r="AF227" s="557" t="str">
        <f t="shared" si="47"/>
        <v/>
      </c>
      <c r="AG227" s="557" t="str">
        <f t="shared" si="48"/>
        <v/>
      </c>
      <c r="AH227" s="589"/>
      <c r="AK227" s="107" t="s">
        <v>224</v>
      </c>
      <c r="AL227" s="387">
        <f t="shared" si="45"/>
        <v>0</v>
      </c>
      <c r="AM227" s="387">
        <f t="shared" si="44"/>
        <v>0</v>
      </c>
    </row>
    <row r="228" spans="1:39" s="391" customFormat="1" ht="86" hidden="1" customHeight="1" outlineLevel="3">
      <c r="A228" s="722"/>
      <c r="B228" s="733"/>
      <c r="C228" s="766"/>
      <c r="D228" s="786"/>
      <c r="E228" s="762" t="s">
        <v>279</v>
      </c>
      <c r="F228" s="763"/>
      <c r="G228" s="539"/>
      <c r="H228" s="388" t="str">
        <f t="shared" si="49"/>
        <v/>
      </c>
      <c r="I228" s="539"/>
      <c r="J228" s="539"/>
      <c r="K228" s="557" t="str">
        <f t="shared" si="46"/>
        <v/>
      </c>
      <c r="L228" s="362"/>
      <c r="M228" s="544" t="b">
        <v>0</v>
      </c>
      <c r="N228" s="544" t="b">
        <v>0</v>
      </c>
      <c r="O228" s="5"/>
      <c r="P228" s="363"/>
      <c r="Q228" s="5"/>
      <c r="R228" s="5"/>
      <c r="S228" s="5"/>
      <c r="T228" s="5"/>
      <c r="U228" s="5"/>
      <c r="V228" s="557">
        <f t="shared" si="34"/>
        <v>0</v>
      </c>
      <c r="W228" s="5"/>
      <c r="X228" s="362"/>
      <c r="Y228" s="364" t="s">
        <v>206</v>
      </c>
      <c r="Z228" s="5"/>
      <c r="AA228" s="5"/>
      <c r="AB228" s="392"/>
      <c r="AC228" s="5"/>
      <c r="AD228" s="5"/>
      <c r="AE228" s="363"/>
      <c r="AF228" s="557" t="str">
        <f t="shared" si="47"/>
        <v/>
      </c>
      <c r="AG228" s="557" t="str">
        <f t="shared" si="48"/>
        <v/>
      </c>
      <c r="AH228" s="589"/>
      <c r="AK228" s="107" t="s">
        <v>224</v>
      </c>
      <c r="AL228" s="387">
        <f t="shared" si="45"/>
        <v>0</v>
      </c>
      <c r="AM228" s="387">
        <f t="shared" si="44"/>
        <v>0</v>
      </c>
    </row>
    <row r="229" spans="1:39" s="391" customFormat="1" ht="39" hidden="1" customHeight="1" outlineLevel="3">
      <c r="A229" s="722"/>
      <c r="B229" s="733"/>
      <c r="C229" s="764" t="s">
        <v>208</v>
      </c>
      <c r="D229" s="737" t="s">
        <v>225</v>
      </c>
      <c r="E229" s="738"/>
      <c r="F229" s="739"/>
      <c r="G229" s="539"/>
      <c r="H229" s="388" t="str">
        <f t="shared" si="49"/>
        <v/>
      </c>
      <c r="I229" s="539"/>
      <c r="J229" s="539"/>
      <c r="K229" s="557" t="str">
        <f t="shared" si="46"/>
        <v/>
      </c>
      <c r="L229" s="362"/>
      <c r="M229" s="544" t="b">
        <v>0</v>
      </c>
      <c r="N229" s="544" t="b">
        <v>0</v>
      </c>
      <c r="O229" s="5"/>
      <c r="P229" s="363"/>
      <c r="Q229" s="5"/>
      <c r="R229" s="5"/>
      <c r="S229" s="5"/>
      <c r="T229" s="5"/>
      <c r="U229" s="5"/>
      <c r="V229" s="557">
        <f t="shared" si="34"/>
        <v>0</v>
      </c>
      <c r="W229" s="5"/>
      <c r="X229" s="362"/>
      <c r="Y229" s="394" t="s">
        <v>210</v>
      </c>
      <c r="Z229" s="5"/>
      <c r="AA229" s="5"/>
      <c r="AB229" s="392"/>
      <c r="AC229" s="5"/>
      <c r="AD229" s="5"/>
      <c r="AE229" s="363"/>
      <c r="AF229" s="557" t="str">
        <f t="shared" si="47"/>
        <v/>
      </c>
      <c r="AG229" s="557" t="str">
        <f t="shared" si="48"/>
        <v/>
      </c>
      <c r="AH229" s="589"/>
      <c r="AK229" s="107" t="s">
        <v>226</v>
      </c>
      <c r="AL229" s="387">
        <f t="shared" si="45"/>
        <v>0</v>
      </c>
      <c r="AM229" s="387">
        <f t="shared" si="44"/>
        <v>0</v>
      </c>
    </row>
    <row r="230" spans="1:39" s="391" customFormat="1" ht="148.25" hidden="1" customHeight="1" outlineLevel="3">
      <c r="A230" s="722"/>
      <c r="B230" s="733"/>
      <c r="C230" s="787"/>
      <c r="D230" s="784" t="s">
        <v>212</v>
      </c>
      <c r="E230" s="784" t="s">
        <v>231</v>
      </c>
      <c r="F230" s="545" t="s">
        <v>242</v>
      </c>
      <c r="G230" s="539"/>
      <c r="H230" s="388" t="str">
        <f t="shared" si="49"/>
        <v/>
      </c>
      <c r="I230" s="539"/>
      <c r="J230" s="539"/>
      <c r="K230" s="557" t="str">
        <f t="shared" si="46"/>
        <v/>
      </c>
      <c r="L230" s="362"/>
      <c r="M230" s="544" t="b">
        <v>0</v>
      </c>
      <c r="N230" s="544" t="b">
        <v>0</v>
      </c>
      <c r="O230" s="5"/>
      <c r="P230" s="363"/>
      <c r="Q230" s="5"/>
      <c r="R230" s="5"/>
      <c r="S230" s="5"/>
      <c r="T230" s="5"/>
      <c r="U230" s="5"/>
      <c r="V230" s="557">
        <f t="shared" si="34"/>
        <v>0</v>
      </c>
      <c r="W230" s="5"/>
      <c r="X230" s="362"/>
      <c r="Y230" s="394" t="s">
        <v>210</v>
      </c>
      <c r="Z230" s="5"/>
      <c r="AA230" s="5"/>
      <c r="AB230" s="392"/>
      <c r="AC230" s="5"/>
      <c r="AD230" s="5"/>
      <c r="AE230" s="363"/>
      <c r="AF230" s="557" t="str">
        <f t="shared" si="47"/>
        <v/>
      </c>
      <c r="AG230" s="557" t="str">
        <f t="shared" si="48"/>
        <v/>
      </c>
      <c r="AH230" s="589"/>
      <c r="AK230" s="107" t="s">
        <v>226</v>
      </c>
      <c r="AL230" s="387">
        <f t="shared" si="45"/>
        <v>0</v>
      </c>
      <c r="AM230" s="387">
        <f t="shared" si="44"/>
        <v>0</v>
      </c>
    </row>
    <row r="231" spans="1:39" s="391" customFormat="1" ht="110" hidden="1" customHeight="1" outlineLevel="3">
      <c r="A231" s="722"/>
      <c r="B231" s="733"/>
      <c r="C231" s="787"/>
      <c r="D231" s="785"/>
      <c r="E231" s="785"/>
      <c r="F231" s="545" t="s">
        <v>243</v>
      </c>
      <c r="G231" s="539"/>
      <c r="H231" s="388" t="str">
        <f t="shared" si="49"/>
        <v/>
      </c>
      <c r="I231" s="539"/>
      <c r="J231" s="539"/>
      <c r="K231" s="557" t="str">
        <f t="shared" si="46"/>
        <v/>
      </c>
      <c r="L231" s="362"/>
      <c r="M231" s="544" t="b">
        <v>0</v>
      </c>
      <c r="N231" s="544" t="b">
        <v>0</v>
      </c>
      <c r="O231" s="5"/>
      <c r="P231" s="363"/>
      <c r="Q231" s="5"/>
      <c r="R231" s="5"/>
      <c r="S231" s="5"/>
      <c r="T231" s="5"/>
      <c r="U231" s="5"/>
      <c r="V231" s="557">
        <f t="shared" si="34"/>
        <v>0</v>
      </c>
      <c r="W231" s="5"/>
      <c r="X231" s="362"/>
      <c r="Y231" s="394" t="s">
        <v>210</v>
      </c>
      <c r="Z231" s="5"/>
      <c r="AA231" s="5"/>
      <c r="AB231" s="392"/>
      <c r="AC231" s="5"/>
      <c r="AD231" s="5"/>
      <c r="AE231" s="363"/>
      <c r="AF231" s="557" t="str">
        <f t="shared" si="47"/>
        <v/>
      </c>
      <c r="AG231" s="557" t="str">
        <f t="shared" si="48"/>
        <v/>
      </c>
      <c r="AH231" s="589"/>
      <c r="AK231" s="107" t="s">
        <v>226</v>
      </c>
      <c r="AL231" s="387">
        <f t="shared" si="45"/>
        <v>0</v>
      </c>
      <c r="AM231" s="387">
        <f t="shared" si="44"/>
        <v>0</v>
      </c>
    </row>
    <row r="232" spans="1:39" s="391" customFormat="1" ht="110" hidden="1" customHeight="1" outlineLevel="3">
      <c r="A232" s="722"/>
      <c r="B232" s="733"/>
      <c r="C232" s="787"/>
      <c r="D232" s="785"/>
      <c r="E232" s="786"/>
      <c r="F232" s="545" t="s">
        <v>140</v>
      </c>
      <c r="G232" s="539"/>
      <c r="H232" s="388" t="str">
        <f t="shared" si="49"/>
        <v/>
      </c>
      <c r="I232" s="539"/>
      <c r="J232" s="539"/>
      <c r="K232" s="557" t="str">
        <f t="shared" si="46"/>
        <v/>
      </c>
      <c r="L232" s="362"/>
      <c r="M232" s="544" t="b">
        <v>0</v>
      </c>
      <c r="N232" s="544" t="b">
        <v>0</v>
      </c>
      <c r="O232" s="5"/>
      <c r="P232" s="363"/>
      <c r="Q232" s="5"/>
      <c r="R232" s="5"/>
      <c r="S232" s="5"/>
      <c r="T232" s="5"/>
      <c r="U232" s="5"/>
      <c r="V232" s="557">
        <f t="shared" si="34"/>
        <v>0</v>
      </c>
      <c r="W232" s="5"/>
      <c r="X232" s="362"/>
      <c r="Y232" s="394" t="s">
        <v>210</v>
      </c>
      <c r="Z232" s="5"/>
      <c r="AA232" s="5"/>
      <c r="AB232" s="392"/>
      <c r="AC232" s="5"/>
      <c r="AD232" s="5"/>
      <c r="AE232" s="363"/>
      <c r="AF232" s="557" t="str">
        <f t="shared" si="47"/>
        <v/>
      </c>
      <c r="AG232" s="557" t="str">
        <f t="shared" si="48"/>
        <v/>
      </c>
      <c r="AH232" s="589"/>
      <c r="AK232" s="107" t="s">
        <v>226</v>
      </c>
      <c r="AL232" s="387">
        <f t="shared" si="45"/>
        <v>0</v>
      </c>
      <c r="AM232" s="387">
        <f t="shared" si="44"/>
        <v>0</v>
      </c>
    </row>
    <row r="233" spans="1:39" s="391" customFormat="1" ht="110" hidden="1" customHeight="1" outlineLevel="3">
      <c r="A233" s="722"/>
      <c r="B233" s="733"/>
      <c r="C233" s="787"/>
      <c r="D233" s="785"/>
      <c r="E233" s="762" t="s">
        <v>278</v>
      </c>
      <c r="F233" s="763"/>
      <c r="G233" s="539"/>
      <c r="H233" s="388" t="str">
        <f t="shared" si="49"/>
        <v/>
      </c>
      <c r="I233" s="539"/>
      <c r="J233" s="539"/>
      <c r="K233" s="557" t="str">
        <f t="shared" si="46"/>
        <v/>
      </c>
      <c r="L233" s="362"/>
      <c r="M233" s="544" t="b">
        <v>0</v>
      </c>
      <c r="N233" s="544" t="b">
        <v>0</v>
      </c>
      <c r="O233" s="5"/>
      <c r="P233" s="363"/>
      <c r="Q233" s="5"/>
      <c r="R233" s="5"/>
      <c r="S233" s="5"/>
      <c r="T233" s="5"/>
      <c r="U233" s="5"/>
      <c r="V233" s="557">
        <f t="shared" si="34"/>
        <v>0</v>
      </c>
      <c r="W233" s="5"/>
      <c r="X233" s="362"/>
      <c r="Y233" s="394" t="s">
        <v>210</v>
      </c>
      <c r="Z233" s="5"/>
      <c r="AA233" s="5"/>
      <c r="AB233" s="392"/>
      <c r="AC233" s="5"/>
      <c r="AD233" s="5"/>
      <c r="AE233" s="363"/>
      <c r="AF233" s="557" t="str">
        <f t="shared" si="47"/>
        <v/>
      </c>
      <c r="AG233" s="557" t="str">
        <f t="shared" si="48"/>
        <v/>
      </c>
      <c r="AH233" s="589"/>
      <c r="AK233" s="107" t="s">
        <v>226</v>
      </c>
      <c r="AL233" s="387">
        <f t="shared" si="45"/>
        <v>0</v>
      </c>
      <c r="AM233" s="387">
        <f t="shared" si="44"/>
        <v>0</v>
      </c>
    </row>
    <row r="234" spans="1:39" s="391" customFormat="1" ht="110" hidden="1" customHeight="1" outlineLevel="3">
      <c r="A234" s="722"/>
      <c r="B234" s="733"/>
      <c r="C234" s="766"/>
      <c r="D234" s="785"/>
      <c r="E234" s="762" t="s">
        <v>279</v>
      </c>
      <c r="F234" s="763"/>
      <c r="G234" s="539"/>
      <c r="H234" s="388" t="str">
        <f t="shared" si="49"/>
        <v/>
      </c>
      <c r="I234" s="539"/>
      <c r="J234" s="539"/>
      <c r="K234" s="557" t="str">
        <f t="shared" si="46"/>
        <v/>
      </c>
      <c r="L234" s="362"/>
      <c r="M234" s="544" t="b">
        <v>0</v>
      </c>
      <c r="N234" s="544" t="b">
        <v>0</v>
      </c>
      <c r="O234" s="5"/>
      <c r="P234" s="363"/>
      <c r="Q234" s="5"/>
      <c r="R234" s="5"/>
      <c r="S234" s="5"/>
      <c r="T234" s="5"/>
      <c r="U234" s="5"/>
      <c r="V234" s="557">
        <f t="shared" si="34"/>
        <v>0</v>
      </c>
      <c r="W234" s="5"/>
      <c r="X234" s="362"/>
      <c r="Y234" s="394" t="s">
        <v>210</v>
      </c>
      <c r="Z234" s="5"/>
      <c r="AA234" s="5"/>
      <c r="AB234" s="392"/>
      <c r="AC234" s="5"/>
      <c r="AD234" s="5"/>
      <c r="AE234" s="363"/>
      <c r="AF234" s="557" t="str">
        <f t="shared" si="47"/>
        <v/>
      </c>
      <c r="AG234" s="557" t="str">
        <f t="shared" si="48"/>
        <v/>
      </c>
      <c r="AH234" s="589"/>
      <c r="AK234" s="107" t="s">
        <v>226</v>
      </c>
      <c r="AL234" s="387">
        <f t="shared" si="45"/>
        <v>0</v>
      </c>
      <c r="AM234" s="387">
        <f t="shared" si="44"/>
        <v>0</v>
      </c>
    </row>
    <row r="235" spans="1:39" s="391" customFormat="1" ht="39" hidden="1" customHeight="1" outlineLevel="3">
      <c r="A235" s="722"/>
      <c r="B235" s="733"/>
      <c r="C235" s="801" t="s">
        <v>227</v>
      </c>
      <c r="D235" s="737" t="s">
        <v>274</v>
      </c>
      <c r="E235" s="738"/>
      <c r="F235" s="739"/>
      <c r="G235" s="539"/>
      <c r="H235" s="388" t="str">
        <f t="shared" si="49"/>
        <v/>
      </c>
      <c r="I235" s="539"/>
      <c r="J235" s="539"/>
      <c r="K235" s="557" t="str">
        <f t="shared" si="46"/>
        <v/>
      </c>
      <c r="L235" s="362"/>
      <c r="M235" s="544" t="b">
        <v>0</v>
      </c>
      <c r="N235" s="389"/>
      <c r="O235" s="5"/>
      <c r="P235" s="363"/>
      <c r="Q235" s="5"/>
      <c r="R235" s="5"/>
      <c r="S235" s="5"/>
      <c r="T235" s="5"/>
      <c r="U235" s="5"/>
      <c r="V235" s="557">
        <f t="shared" si="34"/>
        <v>0</v>
      </c>
      <c r="W235" s="5"/>
      <c r="X235" s="362"/>
      <c r="Y235" s="364"/>
      <c r="Z235" s="557"/>
      <c r="AA235" s="557"/>
      <c r="AB235" s="390"/>
      <c r="AC235" s="557"/>
      <c r="AD235" s="557"/>
      <c r="AE235" s="363"/>
      <c r="AF235" s="557" t="str">
        <f t="shared" si="47"/>
        <v/>
      </c>
      <c r="AG235" s="557" t="str">
        <f t="shared" si="48"/>
        <v/>
      </c>
      <c r="AH235" s="589"/>
      <c r="AK235" s="107" t="s">
        <v>228</v>
      </c>
      <c r="AL235" s="387">
        <f t="shared" si="45"/>
        <v>0</v>
      </c>
      <c r="AM235" s="387">
        <f t="shared" si="44"/>
        <v>0</v>
      </c>
    </row>
    <row r="236" spans="1:39" s="391" customFormat="1" ht="155" hidden="1" customHeight="1" outlineLevel="3">
      <c r="A236" s="722"/>
      <c r="B236" s="733"/>
      <c r="C236" s="846"/>
      <c r="D236" s="784" t="s">
        <v>227</v>
      </c>
      <c r="E236" s="545" t="s">
        <v>231</v>
      </c>
      <c r="F236" s="545" t="s">
        <v>242</v>
      </c>
      <c r="G236" s="539"/>
      <c r="H236" s="388" t="str">
        <f t="shared" si="49"/>
        <v/>
      </c>
      <c r="I236" s="539"/>
      <c r="J236" s="539"/>
      <c r="K236" s="557" t="str">
        <f t="shared" si="46"/>
        <v/>
      </c>
      <c r="L236" s="362"/>
      <c r="M236" s="544" t="b">
        <v>0</v>
      </c>
      <c r="N236" s="389"/>
      <c r="O236" s="5"/>
      <c r="P236" s="363"/>
      <c r="Q236" s="5"/>
      <c r="R236" s="5"/>
      <c r="S236" s="5"/>
      <c r="T236" s="5"/>
      <c r="U236" s="5"/>
      <c r="V236" s="557">
        <f t="shared" si="34"/>
        <v>0</v>
      </c>
      <c r="W236" s="5"/>
      <c r="X236" s="362"/>
      <c r="Y236" s="364"/>
      <c r="Z236" s="557"/>
      <c r="AA236" s="557"/>
      <c r="AB236" s="390"/>
      <c r="AC236" s="557"/>
      <c r="AD236" s="557"/>
      <c r="AE236" s="363"/>
      <c r="AF236" s="557" t="str">
        <f t="shared" si="47"/>
        <v/>
      </c>
      <c r="AG236" s="557" t="str">
        <f t="shared" si="48"/>
        <v/>
      </c>
      <c r="AH236" s="589"/>
      <c r="AK236" s="107" t="s">
        <v>228</v>
      </c>
      <c r="AL236" s="387">
        <f t="shared" si="45"/>
        <v>0</v>
      </c>
      <c r="AM236" s="387">
        <f t="shared" si="44"/>
        <v>0</v>
      </c>
    </row>
    <row r="237" spans="1:39" s="391" customFormat="1" ht="105" hidden="1" customHeight="1" outlineLevel="3">
      <c r="A237" s="722"/>
      <c r="B237" s="733"/>
      <c r="C237" s="846"/>
      <c r="D237" s="785"/>
      <c r="E237" s="762" t="s">
        <v>278</v>
      </c>
      <c r="F237" s="763"/>
      <c r="G237" s="539"/>
      <c r="H237" s="388" t="str">
        <f t="shared" si="49"/>
        <v/>
      </c>
      <c r="I237" s="539"/>
      <c r="J237" s="539"/>
      <c r="K237" s="557" t="str">
        <f t="shared" si="46"/>
        <v/>
      </c>
      <c r="L237" s="362"/>
      <c r="M237" s="544" t="b">
        <v>0</v>
      </c>
      <c r="N237" s="389"/>
      <c r="O237" s="5"/>
      <c r="P237" s="363"/>
      <c r="Q237" s="5"/>
      <c r="R237" s="5"/>
      <c r="S237" s="5"/>
      <c r="T237" s="5"/>
      <c r="U237" s="5"/>
      <c r="V237" s="557">
        <f t="shared" si="34"/>
        <v>0</v>
      </c>
      <c r="W237" s="5"/>
      <c r="X237" s="362"/>
      <c r="Y237" s="364"/>
      <c r="Z237" s="557"/>
      <c r="AA237" s="557"/>
      <c r="AB237" s="390"/>
      <c r="AC237" s="557"/>
      <c r="AD237" s="557"/>
      <c r="AE237" s="363"/>
      <c r="AF237" s="557" t="str">
        <f t="shared" si="47"/>
        <v/>
      </c>
      <c r="AG237" s="557" t="str">
        <f t="shared" si="48"/>
        <v/>
      </c>
      <c r="AH237" s="589"/>
      <c r="AK237" s="107" t="s">
        <v>228</v>
      </c>
      <c r="AL237" s="387">
        <f t="shared" si="45"/>
        <v>0</v>
      </c>
      <c r="AM237" s="387">
        <f t="shared" si="44"/>
        <v>0</v>
      </c>
    </row>
    <row r="238" spans="1:39" s="391" customFormat="1" ht="105" hidden="1" customHeight="1" outlineLevel="3">
      <c r="A238" s="723"/>
      <c r="B238" s="788"/>
      <c r="C238" s="847"/>
      <c r="D238" s="786"/>
      <c r="E238" s="762" t="s">
        <v>279</v>
      </c>
      <c r="F238" s="763"/>
      <c r="G238" s="539"/>
      <c r="H238" s="388" t="str">
        <f t="shared" si="49"/>
        <v/>
      </c>
      <c r="I238" s="539"/>
      <c r="J238" s="539"/>
      <c r="K238" s="557" t="str">
        <f t="shared" si="46"/>
        <v/>
      </c>
      <c r="L238" s="362"/>
      <c r="M238" s="544" t="b">
        <v>0</v>
      </c>
      <c r="N238" s="389"/>
      <c r="O238" s="5"/>
      <c r="P238" s="363"/>
      <c r="Q238" s="5"/>
      <c r="R238" s="5"/>
      <c r="S238" s="5"/>
      <c r="T238" s="5"/>
      <c r="U238" s="5"/>
      <c r="V238" s="557">
        <f t="shared" si="34"/>
        <v>0</v>
      </c>
      <c r="W238" s="5"/>
      <c r="X238" s="362"/>
      <c r="Y238" s="364"/>
      <c r="Z238" s="557"/>
      <c r="AA238" s="557"/>
      <c r="AB238" s="390"/>
      <c r="AC238" s="557"/>
      <c r="AD238" s="557"/>
      <c r="AE238" s="363"/>
      <c r="AF238" s="557" t="str">
        <f t="shared" si="47"/>
        <v/>
      </c>
      <c r="AG238" s="557" t="str">
        <f t="shared" si="48"/>
        <v/>
      </c>
      <c r="AH238" s="589"/>
      <c r="AK238" s="107" t="s">
        <v>228</v>
      </c>
      <c r="AL238" s="387">
        <f t="shared" si="45"/>
        <v>0</v>
      </c>
      <c r="AM238" s="387">
        <f t="shared" si="44"/>
        <v>0</v>
      </c>
    </row>
    <row r="239" spans="1:39" s="391" customFormat="1" ht="30" hidden="1" customHeight="1" outlineLevel="2">
      <c r="A239" s="752"/>
      <c r="B239" s="814" t="s">
        <v>142</v>
      </c>
      <c r="C239" s="762" t="s">
        <v>245</v>
      </c>
      <c r="D239" s="832"/>
      <c r="E239" s="832"/>
      <c r="F239" s="832"/>
      <c r="G239" s="4"/>
      <c r="H239" s="365" t="str">
        <f t="shared" si="49"/>
        <v/>
      </c>
      <c r="I239" s="557"/>
      <c r="J239" s="557"/>
      <c r="K239" s="557"/>
      <c r="L239" s="367"/>
      <c r="M239" s="557"/>
      <c r="N239" s="557"/>
      <c r="O239" s="557"/>
      <c r="P239" s="368"/>
      <c r="Q239" s="557"/>
      <c r="R239" s="557"/>
      <c r="S239" s="557"/>
      <c r="T239" s="557"/>
      <c r="U239" s="557"/>
      <c r="V239" s="557"/>
      <c r="W239" s="557"/>
      <c r="X239" s="574"/>
      <c r="Y239" s="364"/>
      <c r="Z239" s="557"/>
      <c r="AA239" s="557"/>
      <c r="AB239" s="390"/>
      <c r="AC239" s="557"/>
      <c r="AD239" s="557"/>
      <c r="AE239" s="395"/>
      <c r="AF239" s="557"/>
      <c r="AG239" s="557"/>
      <c r="AH239" s="589"/>
      <c r="AK239" s="348"/>
    </row>
    <row r="240" spans="1:39" s="391" customFormat="1" ht="30" hidden="1" customHeight="1" outlineLevel="2">
      <c r="A240" s="753"/>
      <c r="B240" s="815"/>
      <c r="C240" s="762" t="s">
        <v>246</v>
      </c>
      <c r="D240" s="832"/>
      <c r="E240" s="832"/>
      <c r="F240" s="832"/>
      <c r="G240" s="4"/>
      <c r="H240" s="365" t="str">
        <f t="shared" si="49"/>
        <v/>
      </c>
      <c r="I240" s="557"/>
      <c r="J240" s="557"/>
      <c r="K240" s="557"/>
      <c r="L240" s="367"/>
      <c r="M240" s="557"/>
      <c r="N240" s="557"/>
      <c r="O240" s="557"/>
      <c r="P240" s="368"/>
      <c r="Q240" s="557"/>
      <c r="R240" s="557"/>
      <c r="S240" s="557"/>
      <c r="T240" s="557"/>
      <c r="U240" s="557"/>
      <c r="V240" s="557"/>
      <c r="W240" s="557"/>
      <c r="X240" s="574"/>
      <c r="Y240" s="364"/>
      <c r="Z240" s="557"/>
      <c r="AA240" s="557"/>
      <c r="AB240" s="390"/>
      <c r="AC240" s="557"/>
      <c r="AD240" s="557"/>
      <c r="AE240" s="395"/>
      <c r="AF240" s="557"/>
      <c r="AG240" s="557"/>
      <c r="AH240" s="589"/>
      <c r="AK240" s="348"/>
    </row>
    <row r="241" spans="1:37" s="391" customFormat="1" ht="30" hidden="1" customHeight="1" outlineLevel="2">
      <c r="A241" s="753"/>
      <c r="B241" s="815"/>
      <c r="C241" s="762" t="s">
        <v>247</v>
      </c>
      <c r="D241" s="832"/>
      <c r="E241" s="832"/>
      <c r="F241" s="832"/>
      <c r="G241" s="4"/>
      <c r="H241" s="365" t="str">
        <f t="shared" si="49"/>
        <v/>
      </c>
      <c r="I241" s="557"/>
      <c r="J241" s="557"/>
      <c r="K241" s="557"/>
      <c r="L241" s="367"/>
      <c r="M241" s="557"/>
      <c r="N241" s="557"/>
      <c r="O241" s="557"/>
      <c r="P241" s="368"/>
      <c r="Q241" s="557"/>
      <c r="R241" s="557"/>
      <c r="S241" s="557"/>
      <c r="T241" s="557"/>
      <c r="U241" s="557"/>
      <c r="V241" s="557"/>
      <c r="W241" s="557"/>
      <c r="X241" s="574"/>
      <c r="Y241" s="364"/>
      <c r="Z241" s="557"/>
      <c r="AA241" s="557"/>
      <c r="AB241" s="390"/>
      <c r="AC241" s="557"/>
      <c r="AD241" s="557"/>
      <c r="AE241" s="395"/>
      <c r="AF241" s="557"/>
      <c r="AG241" s="557"/>
      <c r="AH241" s="589"/>
      <c r="AK241" s="348"/>
    </row>
    <row r="242" spans="1:37" s="391" customFormat="1" ht="30" hidden="1" customHeight="1" outlineLevel="2">
      <c r="A242" s="753"/>
      <c r="B242" s="815"/>
      <c r="C242" s="762" t="s">
        <v>248</v>
      </c>
      <c r="D242" s="832"/>
      <c r="E242" s="832"/>
      <c r="F242" s="763"/>
      <c r="G242" s="4"/>
      <c r="H242" s="365" t="str">
        <f t="shared" si="49"/>
        <v/>
      </c>
      <c r="I242" s="557"/>
      <c r="J242" s="557"/>
      <c r="K242" s="557"/>
      <c r="L242" s="367"/>
      <c r="M242" s="557"/>
      <c r="N242" s="557"/>
      <c r="O242" s="557"/>
      <c r="P242" s="368"/>
      <c r="Q242" s="557"/>
      <c r="R242" s="557"/>
      <c r="S242" s="557"/>
      <c r="T242" s="557"/>
      <c r="U242" s="557"/>
      <c r="V242" s="557"/>
      <c r="W242" s="557"/>
      <c r="X242" s="574"/>
      <c r="Y242" s="364"/>
      <c r="Z242" s="557"/>
      <c r="AA242" s="557"/>
      <c r="AB242" s="390"/>
      <c r="AC242" s="557"/>
      <c r="AD242" s="557"/>
      <c r="AE242" s="395"/>
      <c r="AF242" s="557"/>
      <c r="AG242" s="557"/>
      <c r="AH242" s="589"/>
      <c r="AK242" s="348"/>
    </row>
    <row r="243" spans="1:37" s="391" customFormat="1" ht="30" hidden="1" customHeight="1" outlineLevel="2">
      <c r="A243" s="753"/>
      <c r="B243" s="815"/>
      <c r="C243" s="762" t="s">
        <v>249</v>
      </c>
      <c r="D243" s="832"/>
      <c r="E243" s="832"/>
      <c r="F243" s="763"/>
      <c r="G243" s="4"/>
      <c r="H243" s="365" t="str">
        <f t="shared" si="49"/>
        <v/>
      </c>
      <c r="I243" s="557"/>
      <c r="J243" s="557"/>
      <c r="K243" s="557"/>
      <c r="L243" s="367"/>
      <c r="M243" s="557"/>
      <c r="N243" s="557"/>
      <c r="O243" s="557"/>
      <c r="P243" s="368"/>
      <c r="Q243" s="557"/>
      <c r="R243" s="557"/>
      <c r="S243" s="557"/>
      <c r="T243" s="557"/>
      <c r="U243" s="557"/>
      <c r="V243" s="557"/>
      <c r="W243" s="557"/>
      <c r="X243" s="574"/>
      <c r="Y243" s="364"/>
      <c r="Z243" s="557"/>
      <c r="AA243" s="557"/>
      <c r="AB243" s="390"/>
      <c r="AC243" s="557"/>
      <c r="AD243" s="557"/>
      <c r="AE243" s="395"/>
      <c r="AF243" s="557"/>
      <c r="AG243" s="557"/>
      <c r="AH243" s="589"/>
      <c r="AK243" s="348"/>
    </row>
    <row r="244" spans="1:37" s="391" customFormat="1" ht="30" hidden="1" customHeight="1" outlineLevel="2">
      <c r="A244" s="753"/>
      <c r="B244" s="815"/>
      <c r="C244" s="762" t="s">
        <v>250</v>
      </c>
      <c r="D244" s="832"/>
      <c r="E244" s="832"/>
      <c r="F244" s="763"/>
      <c r="G244" s="4"/>
      <c r="H244" s="365" t="str">
        <f t="shared" si="49"/>
        <v/>
      </c>
      <c r="I244" s="557"/>
      <c r="J244" s="557"/>
      <c r="K244" s="557"/>
      <c r="L244" s="367"/>
      <c r="M244" s="557"/>
      <c r="N244" s="557"/>
      <c r="O244" s="557"/>
      <c r="P244" s="368"/>
      <c r="Q244" s="557"/>
      <c r="R244" s="557"/>
      <c r="S244" s="557"/>
      <c r="T244" s="557"/>
      <c r="U244" s="557"/>
      <c r="V244" s="557"/>
      <c r="W244" s="557"/>
      <c r="X244" s="574"/>
      <c r="Y244" s="364"/>
      <c r="Z244" s="557"/>
      <c r="AA244" s="557"/>
      <c r="AB244" s="390"/>
      <c r="AC244" s="557"/>
      <c r="AD244" s="557"/>
      <c r="AE244" s="395"/>
      <c r="AF244" s="557"/>
      <c r="AG244" s="557"/>
      <c r="AH244" s="589"/>
      <c r="AK244" s="348"/>
    </row>
    <row r="245" spans="1:37" s="391" customFormat="1" ht="30" hidden="1" customHeight="1" outlineLevel="2">
      <c r="A245" s="753"/>
      <c r="B245" s="815"/>
      <c r="C245" s="762" t="s">
        <v>251</v>
      </c>
      <c r="D245" s="832"/>
      <c r="E245" s="832"/>
      <c r="F245" s="763"/>
      <c r="G245" s="4"/>
      <c r="H245" s="365" t="str">
        <f t="shared" si="49"/>
        <v/>
      </c>
      <c r="I245" s="557"/>
      <c r="J245" s="557"/>
      <c r="K245" s="557"/>
      <c r="L245" s="367"/>
      <c r="M245" s="557"/>
      <c r="N245" s="557"/>
      <c r="O245" s="557"/>
      <c r="P245" s="368"/>
      <c r="Q245" s="557"/>
      <c r="R245" s="557"/>
      <c r="S245" s="557"/>
      <c r="T245" s="557"/>
      <c r="U245" s="557"/>
      <c r="V245" s="557"/>
      <c r="W245" s="557"/>
      <c r="X245" s="574"/>
      <c r="Y245" s="364"/>
      <c r="Z245" s="557"/>
      <c r="AA245" s="557"/>
      <c r="AB245" s="390"/>
      <c r="AC245" s="557"/>
      <c r="AD245" s="557"/>
      <c r="AE245" s="395"/>
      <c r="AF245" s="557"/>
      <c r="AG245" s="557"/>
      <c r="AH245" s="589"/>
      <c r="AK245" s="348"/>
    </row>
    <row r="246" spans="1:37" s="391" customFormat="1" ht="30" hidden="1" customHeight="1" outlineLevel="2">
      <c r="A246" s="753"/>
      <c r="B246" s="815"/>
      <c r="C246" s="762" t="s">
        <v>252</v>
      </c>
      <c r="D246" s="832"/>
      <c r="E246" s="832"/>
      <c r="F246" s="763"/>
      <c r="G246" s="4"/>
      <c r="H246" s="365" t="str">
        <f t="shared" si="49"/>
        <v/>
      </c>
      <c r="I246" s="557"/>
      <c r="J246" s="557"/>
      <c r="K246" s="557"/>
      <c r="L246" s="367"/>
      <c r="M246" s="557"/>
      <c r="N246" s="557"/>
      <c r="O246" s="557"/>
      <c r="P246" s="368"/>
      <c r="Q246" s="557"/>
      <c r="R246" s="557"/>
      <c r="S246" s="557"/>
      <c r="T246" s="557"/>
      <c r="U246" s="557"/>
      <c r="V246" s="557"/>
      <c r="W246" s="557"/>
      <c r="X246" s="574"/>
      <c r="Y246" s="364"/>
      <c r="Z246" s="557"/>
      <c r="AA246" s="557"/>
      <c r="AB246" s="390"/>
      <c r="AC246" s="557"/>
      <c r="AD246" s="557"/>
      <c r="AE246" s="395"/>
      <c r="AF246" s="557"/>
      <c r="AG246" s="557"/>
      <c r="AH246" s="589"/>
      <c r="AK246" s="348"/>
    </row>
    <row r="247" spans="1:37" s="391" customFormat="1" ht="30" hidden="1" customHeight="1" outlineLevel="2">
      <c r="A247" s="753"/>
      <c r="B247" s="815"/>
      <c r="C247" s="762" t="s">
        <v>253</v>
      </c>
      <c r="D247" s="832"/>
      <c r="E247" s="832"/>
      <c r="F247" s="832"/>
      <c r="G247" s="4"/>
      <c r="H247" s="365"/>
      <c r="I247" s="557"/>
      <c r="J247" s="557"/>
      <c r="K247" s="557"/>
      <c r="L247" s="367"/>
      <c r="M247" s="557"/>
      <c r="N247" s="557"/>
      <c r="O247" s="557"/>
      <c r="P247" s="368"/>
      <c r="Q247" s="557"/>
      <c r="R247" s="557"/>
      <c r="S247" s="557"/>
      <c r="T247" s="557"/>
      <c r="U247" s="557"/>
      <c r="V247" s="557"/>
      <c r="W247" s="557"/>
      <c r="X247" s="574"/>
      <c r="Y247" s="364"/>
      <c r="Z247" s="557"/>
      <c r="AA247" s="557"/>
      <c r="AB247" s="390"/>
      <c r="AC247" s="557"/>
      <c r="AD247" s="557"/>
      <c r="AE247" s="395"/>
      <c r="AF247" s="557"/>
      <c r="AG247" s="557"/>
      <c r="AH247" s="589"/>
      <c r="AK247" s="348"/>
    </row>
    <row r="248" spans="1:37" s="391" customFormat="1" ht="30" hidden="1" customHeight="1" outlineLevel="2">
      <c r="A248" s="753"/>
      <c r="B248" s="816"/>
      <c r="C248" s="818" t="s">
        <v>147</v>
      </c>
      <c r="D248" s="819"/>
      <c r="E248" s="819"/>
      <c r="F248" s="819"/>
      <c r="G248" s="4"/>
      <c r="H248" s="365" t="str">
        <f t="shared" si="49"/>
        <v/>
      </c>
      <c r="I248" s="557"/>
      <c r="J248" s="557"/>
      <c r="K248" s="557"/>
      <c r="L248" s="367"/>
      <c r="M248" s="557"/>
      <c r="N248" s="557"/>
      <c r="O248" s="557"/>
      <c r="P248" s="368"/>
      <c r="Q248" s="557"/>
      <c r="R248" s="557"/>
      <c r="S248" s="557"/>
      <c r="T248" s="557"/>
      <c r="U248" s="557"/>
      <c r="V248" s="557"/>
      <c r="W248" s="557"/>
      <c r="X248" s="574"/>
      <c r="Y248" s="364"/>
      <c r="Z248" s="557"/>
      <c r="AA248" s="557"/>
      <c r="AB248" s="390"/>
      <c r="AC248" s="557"/>
      <c r="AD248" s="557"/>
      <c r="AE248" s="395"/>
      <c r="AF248" s="557"/>
      <c r="AG248" s="557"/>
      <c r="AH248" s="589"/>
      <c r="AK248" s="348"/>
    </row>
    <row r="249" spans="1:37" hidden="1" outlineLevel="1"/>
    <row r="250" spans="1:37" s="391" customFormat="1" ht="34" hidden="1" outlineLevel="1">
      <c r="A250" s="605"/>
      <c r="B250" s="370" t="s">
        <v>148</v>
      </c>
      <c r="C250" s="370"/>
      <c r="D250" s="370"/>
      <c r="E250" s="370"/>
      <c r="F250" s="370"/>
      <c r="G250" s="370" t="s">
        <v>149</v>
      </c>
      <c r="H250" s="370" t="s">
        <v>150</v>
      </c>
      <c r="I250" s="371"/>
      <c r="J250" s="371"/>
      <c r="K250" s="371"/>
      <c r="L250" s="583"/>
      <c r="M250" s="14"/>
      <c r="N250" s="589"/>
      <c r="O250" s="589"/>
      <c r="P250" s="589"/>
      <c r="Q250" s="589"/>
      <c r="R250" s="589"/>
      <c r="S250" s="589"/>
      <c r="T250" s="589"/>
      <c r="U250" s="589"/>
      <c r="V250" s="589"/>
      <c r="W250" s="589"/>
      <c r="X250" s="589"/>
      <c r="Y250" s="589"/>
      <c r="Z250" s="589"/>
      <c r="AA250" s="589"/>
      <c r="AB250" s="589"/>
      <c r="AC250" s="589"/>
      <c r="AD250" s="589"/>
      <c r="AE250" s="589"/>
      <c r="AF250" s="589"/>
      <c r="AG250" s="589"/>
      <c r="AH250" s="589"/>
      <c r="AK250" s="348"/>
    </row>
    <row r="251" spans="1:37" s="391" customFormat="1" ht="34.25" hidden="1" customHeight="1" outlineLevel="1">
      <c r="A251" s="589"/>
      <c r="B251" s="812" t="s">
        <v>280</v>
      </c>
      <c r="C251" s="813"/>
      <c r="D251" s="813"/>
      <c r="E251" s="813"/>
      <c r="F251" s="813"/>
      <c r="G251" s="557">
        <f>IF(SUM(G89:G238)="","",SUM(G89:G238))</f>
        <v>0</v>
      </c>
      <c r="H251" s="365" t="str">
        <f>IF(G253=0,"",G251/$G$253)</f>
        <v/>
      </c>
      <c r="I251" s="374"/>
      <c r="J251" s="374"/>
      <c r="K251" s="374"/>
      <c r="L251" s="374"/>
      <c r="M251" s="14"/>
      <c r="N251" s="589"/>
      <c r="O251" s="589"/>
      <c r="P251" s="589"/>
      <c r="Q251" s="589"/>
      <c r="R251" s="589"/>
      <c r="S251" s="589"/>
      <c r="T251" s="589"/>
      <c r="U251" s="589"/>
      <c r="V251" s="589"/>
      <c r="W251" s="589"/>
      <c r="X251" s="589"/>
      <c r="Y251" s="589"/>
      <c r="Z251" s="589"/>
      <c r="AA251" s="589"/>
      <c r="AB251" s="589"/>
      <c r="AC251" s="589"/>
      <c r="AD251" s="589"/>
      <c r="AE251" s="589"/>
      <c r="AF251" s="589"/>
      <c r="AG251" s="589"/>
      <c r="AH251" s="589"/>
      <c r="AK251" s="348"/>
    </row>
    <row r="252" spans="1:37" s="391" customFormat="1" ht="34.25" hidden="1" customHeight="1" outlineLevel="1">
      <c r="A252" s="589"/>
      <c r="B252" s="812" t="s">
        <v>281</v>
      </c>
      <c r="C252" s="813"/>
      <c r="D252" s="813"/>
      <c r="E252" s="813"/>
      <c r="F252" s="813"/>
      <c r="G252" s="557">
        <f>+SUM(G239:G248)</f>
        <v>0</v>
      </c>
      <c r="H252" s="365" t="str">
        <f>IF(G253=0,"",G252/$G$253)</f>
        <v/>
      </c>
      <c r="I252" s="374"/>
      <c r="J252" s="374"/>
      <c r="K252" s="374"/>
      <c r="L252" s="374"/>
      <c r="M252" s="14"/>
      <c r="N252" s="589"/>
      <c r="O252" s="589"/>
      <c r="P252" s="589"/>
      <c r="Q252" s="589"/>
      <c r="R252" s="589"/>
      <c r="S252" s="589"/>
      <c r="T252" s="589"/>
      <c r="U252" s="589"/>
      <c r="V252" s="589"/>
      <c r="W252" s="589"/>
      <c r="X252" s="589"/>
      <c r="Y252" s="589"/>
      <c r="Z252" s="589"/>
      <c r="AA252" s="589"/>
      <c r="AB252" s="589"/>
      <c r="AC252" s="589"/>
      <c r="AD252" s="589"/>
      <c r="AE252" s="589"/>
      <c r="AF252" s="589"/>
      <c r="AG252" s="589"/>
      <c r="AH252" s="589"/>
      <c r="AK252" s="348"/>
    </row>
    <row r="253" spans="1:37" s="391" customFormat="1" ht="34.25" hidden="1" customHeight="1" outlineLevel="1">
      <c r="A253" s="589"/>
      <c r="B253" s="789" t="s">
        <v>282</v>
      </c>
      <c r="C253" s="790"/>
      <c r="D253" s="790"/>
      <c r="E253" s="790"/>
      <c r="F253" s="790"/>
      <c r="G253" s="376">
        <f>+G251+G252</f>
        <v>0</v>
      </c>
      <c r="H253" s="377"/>
      <c r="I253" s="848" t="str">
        <f>IF(G253="","",IF(G253&lt;&gt;'Financial activity types '!E12,"Error: The total must match the total in the Financial activity types tab","Exposure OK"))</f>
        <v>Exposure OK</v>
      </c>
      <c r="J253" s="848"/>
      <c r="K253" s="848"/>
      <c r="L253" s="374"/>
      <c r="M253" s="706" t="s">
        <v>154</v>
      </c>
      <c r="N253" s="706"/>
      <c r="O253" s="706"/>
      <c r="P253" s="589"/>
      <c r="Q253" s="589"/>
      <c r="R253" s="589"/>
      <c r="S253" s="589"/>
      <c r="T253" s="589"/>
      <c r="U253" s="589"/>
      <c r="V253" s="589"/>
      <c r="W253" s="589"/>
      <c r="X253" s="589"/>
      <c r="Y253" s="589"/>
      <c r="Z253" s="589"/>
      <c r="AA253" s="589"/>
      <c r="AB253" s="589"/>
      <c r="AC253" s="589"/>
      <c r="AD253" s="589"/>
      <c r="AE253" s="589"/>
      <c r="AF253" s="589"/>
      <c r="AG253" s="589"/>
      <c r="AH253" s="589"/>
      <c r="AK253" s="348"/>
    </row>
    <row r="254" spans="1:37" s="411" customFormat="1" ht="34.25" hidden="1" customHeight="1" outlineLevel="1">
      <c r="A254" s="595"/>
      <c r="B254" s="789" t="s">
        <v>283</v>
      </c>
      <c r="C254" s="790"/>
      <c r="D254" s="790"/>
      <c r="E254" s="790"/>
      <c r="F254" s="790"/>
      <c r="G254" s="376">
        <f>(SUMIF(M89:M171,TRUE,V89:V171)+SUMIF(N89:N171,TRUE,Z89:Z171)-SUMIFS(AC89:AC171,M89:M171,TRUE,N89:N171,TRUE)-SUMIFS(AC116,M116,TRUE,N117,TRUE)-SUMIFS(AC118,M118,TRUE,N119,TRUE)-SUMIFS(AC120,M120,TRUE,N121,TRUE)-SUMIFS(AC122,M122,TRUE,N123,TRUE)-SUMIFS(AC124,M124,TRUE,N125,TRUE)-SUMIFS(AC126,M126,TRUE,N127,TRUE)-SUMIFS(AC128,M128,TRUE,N129,TRUE)-SUMIFS(AC130,M130,TRUE,N131,TRUE)-SUMIFS(AC132,M132,TRUE,N133,TRUE)-SUMIFS(AC134,M134,TRUE,N135,TRUE)-SUMIFS(AC146,M146,TRUE,N147,TRUE)-SUMIFS(AC148,M148,TRUE,N149,TRUE)-SUMIFS(AC150,M150,TRUE,N151,TRUE)-SUMIFS(AC152,M152,TRUE,N153,TRUE)-SUMIFS(AC154,M154,TRUE,N155,TRUE))</f>
        <v>0</v>
      </c>
      <c r="H254" s="377" t="e">
        <f>G254/SUM(G89:G171)</f>
        <v>#DIV/0!</v>
      </c>
      <c r="I254" s="849" t="e">
        <f>IF(G253="","",IF(H254&lt;&gt;100%,"Error: The FI must cover 100% of segments A, B, and C","Coverage OK"))</f>
        <v>#DIV/0!</v>
      </c>
      <c r="J254" s="849"/>
      <c r="K254" s="849"/>
      <c r="L254" s="590"/>
      <c r="M254" s="706"/>
      <c r="N254" s="706"/>
      <c r="O254" s="706"/>
      <c r="P254" s="595"/>
      <c r="Q254" s="595"/>
      <c r="R254" s="595"/>
      <c r="S254" s="595"/>
      <c r="T254" s="595"/>
      <c r="U254" s="595"/>
      <c r="V254" s="595"/>
      <c r="W254" s="595"/>
      <c r="X254" s="595"/>
      <c r="Y254" s="595"/>
      <c r="Z254" s="595"/>
      <c r="AA254" s="595"/>
      <c r="AB254" s="595"/>
      <c r="AC254" s="595"/>
      <c r="AD254" s="595"/>
      <c r="AE254" s="595"/>
      <c r="AF254" s="595"/>
      <c r="AG254" s="595"/>
      <c r="AH254" s="595"/>
      <c r="AK254" s="348"/>
    </row>
    <row r="255" spans="1:37" s="408" customFormat="1" ht="49.5" hidden="1" customHeight="1" outlineLevel="1">
      <c r="A255" s="599"/>
      <c r="B255" s="789" t="s">
        <v>284</v>
      </c>
      <c r="C255" s="790"/>
      <c r="D255" s="790"/>
      <c r="E255" s="790"/>
      <c r="F255" s="790"/>
      <c r="G255" s="376">
        <f>(SUMIF(M89:M238,TRUE,V89:V238)+SUMIF(N89:N238,TRUE,Z89:Z238)-SUMIFS(AC89:AC238,M89:M238,TRUE,N89:N238,TRUE)-SUMIFS(AC116,M116,TRUE,N117,TRUE)-SUMIFS(AC118,M118,TRUE,N119,TRUE)-SUMIFS(AC120,M120,TRUE,N121,TRUE)-SUMIFS(AC122,M122,TRUE,N123,TRUE)-SUMIFS(AC124,M124,TRUE,N125,TRUE)-SUMIFS(AC126,M126,TRUE,N127,TRUE)-SUMIFS(AC128,M128,TRUE,N129,TRUE)-SUMIFS(AC130,M130,TRUE,N131,TRUE)-SUMIFS(AC132,M132,TRUE,N133,TRUE)-SUMIFS(AC134,M134,TRUE,N135,TRUE)-SUMIFS(AC146,M146,TRUE,N147,TRUE)-SUMIFS(AC148,M148,TRUE,N149,TRUE)-SUMIFS(AC150,M150,TRUE,N151,TRUE)-SUMIFS(AC152,M152,TRUE,N153,TRUE)-SUMIFS(AC154,M154,TRUE,N155,TRUE)-SUMIFS(AC194,M194,TRUE,N195,TRUE)-SUMIFS(AC196,M196,TRUE,N197,TRUE)-SUMIFS(AC198,M198,TRUE,N199,TRUE)-SUMIFS(AC200,M200,TRUE,N201,TRUE)-SUMIFS(AC202,M202,TRUE,N203,TRUE)-SUMIFS(AC204,M204,TRUE,N205,TRUE)-SUMIFS(AC206,M206,TRUE,N207,TRUE)-SUMIFS(AC208,M208,TRUE,N209,TRUE)-SUMIFS(AC217,M217,TRUE,N218,TRUE)-SUMIFS(AC219,M219,TRUE,N220,TRUE)-SUMIFS(AC221,M221,TRUE,N222,TRUE)-SUMIFS(AC223,M223,TRUE,N224,TRUE))</f>
        <v>0</v>
      </c>
      <c r="H255" s="377" t="e">
        <f>G255/SUM(G89:G238)</f>
        <v>#DIV/0!</v>
      </c>
      <c r="I255" s="849" t="e">
        <f>IF(G253="","",IF(H255&lt;67%,"Error: The FI must cover 67% or more of segments A, B, C, and D","Coverage OK"))</f>
        <v>#DIV/0!</v>
      </c>
      <c r="J255" s="849"/>
      <c r="K255" s="849"/>
      <c r="L255" s="586"/>
      <c r="M255" s="706"/>
      <c r="N255" s="706"/>
      <c r="O255" s="706"/>
      <c r="P255" s="599"/>
      <c r="Q255" s="599"/>
      <c r="R255" s="599"/>
      <c r="S255" s="599"/>
      <c r="T255" s="599"/>
      <c r="U255" s="599"/>
      <c r="V255" s="599"/>
      <c r="W255" s="599"/>
      <c r="X255" s="599"/>
      <c r="Y255" s="599"/>
      <c r="Z255" s="599"/>
      <c r="AA255" s="599"/>
      <c r="AB255" s="599"/>
      <c r="AC255" s="599"/>
      <c r="AD255" s="599"/>
      <c r="AE255" s="599"/>
      <c r="AF255" s="599"/>
      <c r="AG255" s="599"/>
      <c r="AH255" s="599"/>
      <c r="AK255" s="348"/>
    </row>
    <row r="256" spans="1:37" s="408" customFormat="1" ht="34.25" hidden="1" customHeight="1" outlineLevel="1">
      <c r="A256" s="599"/>
      <c r="B256" s="812" t="s">
        <v>157</v>
      </c>
      <c r="C256" s="813"/>
      <c r="D256" s="813"/>
      <c r="E256" s="813"/>
      <c r="F256" s="813"/>
      <c r="G256" s="557">
        <f>SUMIF(M89:M238,TRUE,V89:V238)</f>
        <v>0</v>
      </c>
      <c r="H256" s="365" t="e">
        <f>G256/SUM(G89:G238)</f>
        <v>#DIV/0!</v>
      </c>
      <c r="I256" s="396"/>
      <c r="J256" s="397"/>
      <c r="K256" s="398"/>
      <c r="L256" s="599"/>
      <c r="M256" s="706"/>
      <c r="N256" s="706"/>
      <c r="O256" s="706"/>
      <c r="P256" s="599"/>
      <c r="Q256" s="599"/>
      <c r="R256" s="599"/>
      <c r="S256" s="599"/>
      <c r="T256" s="599"/>
      <c r="U256" s="599"/>
      <c r="V256" s="599"/>
      <c r="W256" s="599"/>
      <c r="X256" s="599"/>
      <c r="Y256" s="599"/>
      <c r="Z256" s="599"/>
      <c r="AA256" s="599"/>
      <c r="AB256" s="599"/>
      <c r="AC256" s="599"/>
      <c r="AD256" s="599"/>
      <c r="AE256" s="599"/>
      <c r="AF256" s="599"/>
      <c r="AG256" s="599"/>
      <c r="AH256" s="599"/>
      <c r="AK256" s="348"/>
    </row>
    <row r="257" spans="1:37" s="386" customFormat="1" ht="34.25" hidden="1" customHeight="1" outlineLevel="1">
      <c r="A257" s="600"/>
      <c r="B257" s="812" t="s">
        <v>158</v>
      </c>
      <c r="C257" s="813"/>
      <c r="D257" s="813"/>
      <c r="E257" s="813"/>
      <c r="F257" s="813"/>
      <c r="G257" s="557">
        <f>SUMIF(N89:N238,TRUE,Z89:Z238)</f>
        <v>0</v>
      </c>
      <c r="H257" s="365" t="e">
        <f>G257/SUM(G89:G238)</f>
        <v>#DIV/0!</v>
      </c>
      <c r="I257" s="585"/>
      <c r="J257" s="585"/>
      <c r="K257" s="585"/>
      <c r="L257" s="600"/>
      <c r="M257" s="706"/>
      <c r="N257" s="706"/>
      <c r="O257" s="706"/>
      <c r="P257" s="600"/>
      <c r="Q257" s="600"/>
      <c r="R257" s="600"/>
      <c r="S257" s="600"/>
      <c r="T257" s="600"/>
      <c r="U257" s="600"/>
      <c r="V257" s="600"/>
      <c r="W257" s="600"/>
      <c r="X257" s="600"/>
      <c r="Y257" s="600"/>
      <c r="Z257" s="600"/>
      <c r="AA257" s="600"/>
      <c r="AB257" s="600"/>
      <c r="AC257" s="600"/>
      <c r="AD257" s="600"/>
      <c r="AE257" s="600"/>
      <c r="AF257" s="600"/>
      <c r="AG257" s="600"/>
      <c r="AH257" s="600"/>
      <c r="AK257" s="348"/>
    </row>
    <row r="258" spans="1:37" s="386" customFormat="1" ht="34.25" hidden="1" customHeight="1" outlineLevel="1">
      <c r="A258" s="600"/>
      <c r="B258" s="812" t="s">
        <v>159</v>
      </c>
      <c r="C258" s="813"/>
      <c r="D258" s="813"/>
      <c r="E258" s="813"/>
      <c r="F258" s="813"/>
      <c r="G258" s="557">
        <f>SUMIFS(AC89:AC238,M89:M238,TRUE,N89:N238,TRUE)</f>
        <v>0</v>
      </c>
      <c r="H258" s="365" t="e">
        <f>G258/SUM(G89:G238)</f>
        <v>#DIV/0!</v>
      </c>
      <c r="I258" s="374"/>
      <c r="J258" s="374"/>
      <c r="K258" s="374"/>
      <c r="L258" s="601"/>
      <c r="M258" s="706"/>
      <c r="N258" s="706"/>
      <c r="O258" s="706"/>
      <c r="P258" s="600"/>
      <c r="Q258" s="600"/>
      <c r="R258" s="600"/>
      <c r="S258" s="600"/>
      <c r="T258" s="600"/>
      <c r="U258" s="600"/>
      <c r="V258" s="600"/>
      <c r="W258" s="600"/>
      <c r="X258" s="600"/>
      <c r="Y258" s="600"/>
      <c r="Z258" s="600"/>
      <c r="AA258" s="600"/>
      <c r="AB258" s="600"/>
      <c r="AC258" s="600"/>
      <c r="AD258" s="600"/>
      <c r="AE258" s="600"/>
      <c r="AF258" s="600"/>
      <c r="AG258" s="600"/>
      <c r="AH258" s="600"/>
      <c r="AK258" s="348"/>
    </row>
    <row r="259" spans="1:37" ht="48" hidden="1" customHeight="1" outlineLevel="1">
      <c r="B259" s="791" t="s">
        <v>285</v>
      </c>
      <c r="C259" s="792"/>
      <c r="D259" s="792"/>
      <c r="E259" s="792"/>
      <c r="F259" s="792"/>
      <c r="G259" s="376">
        <f>(SUMIF(M89:M238,TRUE,W89:W238)+SUMIF(N89:N238,TRUE,AA89:AA238)-SUMIFS(AD89:AD238,M89:M238,TRUE,N89:N238,TRUE)-SUMIFS(AD116,M116,TRUE,N117,TRUE)-SUMIFS(AD118,M118,TRUE,N119,TRUE)-SUMIFS(AD120,M120,TRUE,N121,TRUE)-SUMIFS(AD122,M122,TRUE,N123,TRUE)-SUMIFS(AD124,M124,TRUE,N125,TRUE)-SUMIFS(AD126,M126,TRUE,N127,TRUE)-SUMIFS(AD128,M128,TRUE,N129,TRUE)-SUMIFS(AD130,M130,TRUE,N131,TRUE)-SUMIFS(AD132,M132,TRUE,N133,TRUE)-SUMIFS(AD134,M134,TRUE,N135,TRUE)-SUMIFS(AD146,M146,TRUE,N147,TRUE)-SUMIFS(AD148,M148,TRUE,N149,TRUE)-SUMIFS(AD150,M150,TRUE,N151,TRUE)-SUMIFS(AD152,M152,TRUE,N153,TRUE)-SUMIFS(AD154,M154,TRUE,N155,TRUE)-SUMIFS(AD194,M194,TRUE,N195,TRUE)-SUMIFS(AD196,M196,TRUE,N197,TRUE)-SUMIFS(AD198,M198,TRUE,N199,TRUE)-SUMIFS(AD200,M200,TRUE,N201,TRUE)-SUMIFS(AD202,M202,TRUE,N203,TRUE)-SUMIFS(AD204,M204,TRUE,N205,TRUE)-SUMIFS(AD206,M206,TRUE,N207,TRUE)-SUMIFS(AD208,M208,TRUE,N209,TRUE)-SUMIFS(AD217,M217,TRUE,N218,TRUE)-SUMIFS(AD219,M219,TRUE,N220,TRUE)-SUMIFS(AD221,M221,TRUE,N222,TRUE)-SUMIFS(AD223,M223,TRUE,N224,TRUE))</f>
        <v>0</v>
      </c>
      <c r="H259" s="377" t="e">
        <f>G259/SUM(K89:K238)</f>
        <v>#DIV/0!</v>
      </c>
      <c r="I259" s="849" t="e">
        <f>IF(G253="","",IF(H259&lt;67%,"Error: The FI must cover 67% or more of segments A, B, C, and D","Coverage OK"))</f>
        <v>#DIV/0!</v>
      </c>
      <c r="J259" s="849"/>
      <c r="K259" s="849"/>
      <c r="M259" s="706"/>
      <c r="N259" s="706"/>
      <c r="O259" s="706"/>
    </row>
  </sheetData>
  <sheetProtection algorithmName="SHA-512" hashValue="WicKIO4xOGsFHdC/uDJefbzcvG/D+RsnR9CSI7vY3EZqY00w8OGwMN7MUXGLxhGgycLOELfop4OR1CN2+XlTHg==" saltValue="8WHxKP7KDa2AzBdVgHkeDQ==" spinCount="100000" sheet="1" objects="1" scenarios="1" formatCells="0" formatColumns="0" formatRows="0" selectLockedCells="1"/>
  <mergeCells count="966">
    <mergeCell ref="B259:F259"/>
    <mergeCell ref="C85:K85"/>
    <mergeCell ref="M85:O85"/>
    <mergeCell ref="I67:K67"/>
    <mergeCell ref="I68:K68"/>
    <mergeCell ref="I69:K69"/>
    <mergeCell ref="I73:K73"/>
    <mergeCell ref="I253:K253"/>
    <mergeCell ref="I254:K254"/>
    <mergeCell ref="I255:K255"/>
    <mergeCell ref="I259:K259"/>
    <mergeCell ref="B73:F73"/>
    <mergeCell ref="C89:C103"/>
    <mergeCell ref="K122:K123"/>
    <mergeCell ref="J178:J179"/>
    <mergeCell ref="I146:I147"/>
    <mergeCell ref="I148:I149"/>
    <mergeCell ref="I150:I151"/>
    <mergeCell ref="I178:I179"/>
    <mergeCell ref="I180:I181"/>
    <mergeCell ref="G132:G133"/>
    <mergeCell ref="K91:K92"/>
    <mergeCell ref="G89:G90"/>
    <mergeCell ref="H89:H90"/>
    <mergeCell ref="U91:U92"/>
    <mergeCell ref="U97:U98"/>
    <mergeCell ref="R120:R121"/>
    <mergeCell ref="S122:S123"/>
    <mergeCell ref="T91:T92"/>
    <mergeCell ref="K116:K117"/>
    <mergeCell ref="M97:M98"/>
    <mergeCell ref="Q97:Q98"/>
    <mergeCell ref="R97:R98"/>
    <mergeCell ref="S97:S98"/>
    <mergeCell ref="K118:K119"/>
    <mergeCell ref="K120:K121"/>
    <mergeCell ref="K24:K25"/>
    <mergeCell ref="K26:K27"/>
    <mergeCell ref="I182:I183"/>
    <mergeCell ref="K178:K179"/>
    <mergeCell ref="K180:K181"/>
    <mergeCell ref="K182:K183"/>
    <mergeCell ref="G78:M81"/>
    <mergeCell ref="A87:K87"/>
    <mergeCell ref="K124:K125"/>
    <mergeCell ref="J132:J133"/>
    <mergeCell ref="F132:F133"/>
    <mergeCell ref="K28:K29"/>
    <mergeCell ref="J24:J25"/>
    <mergeCell ref="I128:I129"/>
    <mergeCell ref="I130:I131"/>
    <mergeCell ref="I132:I133"/>
    <mergeCell ref="J93:J94"/>
    <mergeCell ref="J95:J96"/>
    <mergeCell ref="C55:F55"/>
    <mergeCell ref="I89:I90"/>
    <mergeCell ref="I91:I92"/>
    <mergeCell ref="J89:J90"/>
    <mergeCell ref="H130:H131"/>
    <mergeCell ref="M130:M131"/>
    <mergeCell ref="R132:R133"/>
    <mergeCell ref="I194:I195"/>
    <mergeCell ref="I116:I117"/>
    <mergeCell ref="K184:K185"/>
    <mergeCell ref="K194:K195"/>
    <mergeCell ref="J97:J98"/>
    <mergeCell ref="J116:J117"/>
    <mergeCell ref="J118:J119"/>
    <mergeCell ref="J120:J121"/>
    <mergeCell ref="Q130:Q131"/>
    <mergeCell ref="R130:R131"/>
    <mergeCell ref="Q128:Q129"/>
    <mergeCell ref="R128:R129"/>
    <mergeCell ref="I134:I135"/>
    <mergeCell ref="J184:J185"/>
    <mergeCell ref="I97:I98"/>
    <mergeCell ref="K97:K98"/>
    <mergeCell ref="M150:M151"/>
    <mergeCell ref="Q150:Q151"/>
    <mergeCell ref="M89:M90"/>
    <mergeCell ref="D89:F90"/>
    <mergeCell ref="D91:D98"/>
    <mergeCell ref="D99:F99"/>
    <mergeCell ref="D100:D103"/>
    <mergeCell ref="C61:F61"/>
    <mergeCell ref="F124:F125"/>
    <mergeCell ref="G124:G125"/>
    <mergeCell ref="H124:H125"/>
    <mergeCell ref="M124:M125"/>
    <mergeCell ref="K89:K90"/>
    <mergeCell ref="J122:J123"/>
    <mergeCell ref="J124:J125"/>
    <mergeCell ref="C30:F30"/>
    <mergeCell ref="C31:D34"/>
    <mergeCell ref="E31:E34"/>
    <mergeCell ref="F28:F29"/>
    <mergeCell ref="J91:J92"/>
    <mergeCell ref="A1:L1"/>
    <mergeCell ref="A2:AF2"/>
    <mergeCell ref="A3:H3"/>
    <mergeCell ref="A4:L4"/>
    <mergeCell ref="A6:AF6"/>
    <mergeCell ref="A7:AF7"/>
    <mergeCell ref="B12:C12"/>
    <mergeCell ref="D12:E12"/>
    <mergeCell ref="M18:O18"/>
    <mergeCell ref="B9:C9"/>
    <mergeCell ref="D9:E9"/>
    <mergeCell ref="B10:C10"/>
    <mergeCell ref="D10:E10"/>
    <mergeCell ref="B11:C11"/>
    <mergeCell ref="D11:E11"/>
    <mergeCell ref="AF18:AF19"/>
    <mergeCell ref="A19:B19"/>
    <mergeCell ref="C19:F19"/>
    <mergeCell ref="A14:AF14"/>
    <mergeCell ref="G9:M12"/>
    <mergeCell ref="A18:K18"/>
    <mergeCell ref="Q16:W16"/>
    <mergeCell ref="C16:K16"/>
    <mergeCell ref="M16:O16"/>
    <mergeCell ref="AF22:AF23"/>
    <mergeCell ref="S22:S23"/>
    <mergeCell ref="T22:T23"/>
    <mergeCell ref="V22:V23"/>
    <mergeCell ref="AC22:AC23"/>
    <mergeCell ref="A20:A29"/>
    <mergeCell ref="B20:B34"/>
    <mergeCell ref="C20:F21"/>
    <mergeCell ref="G20:G21"/>
    <mergeCell ref="F26:F27"/>
    <mergeCell ref="G26:G27"/>
    <mergeCell ref="U28:U29"/>
    <mergeCell ref="AC28:AC29"/>
    <mergeCell ref="C22:D29"/>
    <mergeCell ref="E22:E29"/>
    <mergeCell ref="F22:F23"/>
    <mergeCell ref="G22:G23"/>
    <mergeCell ref="H22:H23"/>
    <mergeCell ref="M22:M23"/>
    <mergeCell ref="Y16:AA16"/>
    <mergeCell ref="AC16:AD16"/>
    <mergeCell ref="AF16:AG16"/>
    <mergeCell ref="Q18:W18"/>
    <mergeCell ref="Y18:AA18"/>
    <mergeCell ref="AC18:AD18"/>
    <mergeCell ref="AG18:AG19"/>
    <mergeCell ref="AC20:AC21"/>
    <mergeCell ref="AF20:AF21"/>
    <mergeCell ref="U20:U21"/>
    <mergeCell ref="V20:V21"/>
    <mergeCell ref="Q20:Q21"/>
    <mergeCell ref="R20:R21"/>
    <mergeCell ref="H20:H21"/>
    <mergeCell ref="I20:I21"/>
    <mergeCell ref="I22:I23"/>
    <mergeCell ref="M26:M27"/>
    <mergeCell ref="K20:K21"/>
    <mergeCell ref="M28:M29"/>
    <mergeCell ref="Q28:Q29"/>
    <mergeCell ref="U24:U25"/>
    <mergeCell ref="U26:U27"/>
    <mergeCell ref="I26:I27"/>
    <mergeCell ref="I28:I29"/>
    <mergeCell ref="J20:J21"/>
    <mergeCell ref="J22:J23"/>
    <mergeCell ref="R28:R29"/>
    <mergeCell ref="S28:S29"/>
    <mergeCell ref="T28:T29"/>
    <mergeCell ref="R26:R27"/>
    <mergeCell ref="S26:S27"/>
    <mergeCell ref="T26:T27"/>
    <mergeCell ref="K22:K23"/>
    <mergeCell ref="Q26:Q27"/>
    <mergeCell ref="S20:S21"/>
    <mergeCell ref="T20:T21"/>
    <mergeCell ref="M20:M21"/>
    <mergeCell ref="M24:M25"/>
    <mergeCell ref="AC91:AC92"/>
    <mergeCell ref="C56:F56"/>
    <mergeCell ref="C57:F57"/>
    <mergeCell ref="C58:F58"/>
    <mergeCell ref="C59:F59"/>
    <mergeCell ref="C60:F60"/>
    <mergeCell ref="B81:C81"/>
    <mergeCell ref="D81:E81"/>
    <mergeCell ref="M87:O87"/>
    <mergeCell ref="A76:AF76"/>
    <mergeCell ref="B78:C78"/>
    <mergeCell ref="D78:E78"/>
    <mergeCell ref="B79:C79"/>
    <mergeCell ref="D79:E79"/>
    <mergeCell ref="B80:C80"/>
    <mergeCell ref="D80:E80"/>
    <mergeCell ref="AF87:AF88"/>
    <mergeCell ref="A88:B88"/>
    <mergeCell ref="A83:AF83"/>
    <mergeCell ref="Q87:W87"/>
    <mergeCell ref="Y87:AA87"/>
    <mergeCell ref="AC87:AD87"/>
    <mergeCell ref="S91:S92"/>
    <mergeCell ref="A89:A98"/>
    <mergeCell ref="A30:A34"/>
    <mergeCell ref="A47:A52"/>
    <mergeCell ref="B47:B52"/>
    <mergeCell ref="C47:F47"/>
    <mergeCell ref="C48:D52"/>
    <mergeCell ref="E48:E50"/>
    <mergeCell ref="E52:F52"/>
    <mergeCell ref="A35:A41"/>
    <mergeCell ref="B35:B41"/>
    <mergeCell ref="C35:F35"/>
    <mergeCell ref="C36:D41"/>
    <mergeCell ref="E36:E41"/>
    <mergeCell ref="A42:A46"/>
    <mergeCell ref="B42:B46"/>
    <mergeCell ref="C42:F42"/>
    <mergeCell ref="C43:D46"/>
    <mergeCell ref="E43:E46"/>
    <mergeCell ref="B89:B103"/>
    <mergeCell ref="F93:F94"/>
    <mergeCell ref="A53:A62"/>
    <mergeCell ref="B53:B62"/>
    <mergeCell ref="C53:F53"/>
    <mergeCell ref="C54:F54"/>
    <mergeCell ref="AC89:AC90"/>
    <mergeCell ref="G93:G94"/>
    <mergeCell ref="H93:H94"/>
    <mergeCell ref="M93:M94"/>
    <mergeCell ref="Q93:Q94"/>
    <mergeCell ref="I95:I96"/>
    <mergeCell ref="K95:K96"/>
    <mergeCell ref="I93:I94"/>
    <mergeCell ref="K93:K94"/>
    <mergeCell ref="T95:T96"/>
    <mergeCell ref="U95:U96"/>
    <mergeCell ref="U93:U94"/>
    <mergeCell ref="V93:V94"/>
    <mergeCell ref="AC93:AC94"/>
    <mergeCell ref="R93:R94"/>
    <mergeCell ref="S93:S94"/>
    <mergeCell ref="T93:T94"/>
    <mergeCell ref="R95:R96"/>
    <mergeCell ref="S95:S96"/>
    <mergeCell ref="W89:W90"/>
    <mergeCell ref="W91:W92"/>
    <mergeCell ref="W93:W94"/>
    <mergeCell ref="W95:W96"/>
    <mergeCell ref="V91:V92"/>
    <mergeCell ref="V97:V98"/>
    <mergeCell ref="AF89:AF90"/>
    <mergeCell ref="E91:E98"/>
    <mergeCell ref="F91:F92"/>
    <mergeCell ref="G91:G92"/>
    <mergeCell ref="H91:H92"/>
    <mergeCell ref="M91:M92"/>
    <mergeCell ref="Q91:Q92"/>
    <mergeCell ref="Q89:Q90"/>
    <mergeCell ref="R89:R90"/>
    <mergeCell ref="S89:S90"/>
    <mergeCell ref="T89:T90"/>
    <mergeCell ref="U89:U90"/>
    <mergeCell ref="V89:V90"/>
    <mergeCell ref="AF91:AF92"/>
    <mergeCell ref="R91:R92"/>
    <mergeCell ref="AF93:AF94"/>
    <mergeCell ref="F95:F96"/>
    <mergeCell ref="G95:G96"/>
    <mergeCell ref="H95:H96"/>
    <mergeCell ref="M95:M96"/>
    <mergeCell ref="V95:V96"/>
    <mergeCell ref="AC95:AC96"/>
    <mergeCell ref="AF95:AF96"/>
    <mergeCell ref="AC97:AC98"/>
    <mergeCell ref="AF97:AF98"/>
    <mergeCell ref="A99:A103"/>
    <mergeCell ref="E100:E103"/>
    <mergeCell ref="H116:H117"/>
    <mergeCell ref="M116:M117"/>
    <mergeCell ref="Q116:Q117"/>
    <mergeCell ref="A104:A110"/>
    <mergeCell ref="B104:B166"/>
    <mergeCell ref="C104:F104"/>
    <mergeCell ref="C105:D110"/>
    <mergeCell ref="E105:E110"/>
    <mergeCell ref="A111:A166"/>
    <mergeCell ref="C111:C135"/>
    <mergeCell ref="D111:F111"/>
    <mergeCell ref="D112:D115"/>
    <mergeCell ref="E112:E115"/>
    <mergeCell ref="S118:S119"/>
    <mergeCell ref="T118:T119"/>
    <mergeCell ref="U118:U119"/>
    <mergeCell ref="V118:V119"/>
    <mergeCell ref="F97:F98"/>
    <mergeCell ref="G97:G98"/>
    <mergeCell ref="H97:H98"/>
    <mergeCell ref="AC118:AC119"/>
    <mergeCell ref="I118:I119"/>
    <mergeCell ref="T97:T98"/>
    <mergeCell ref="AF118:AF119"/>
    <mergeCell ref="AF116:AF117"/>
    <mergeCell ref="D118:D125"/>
    <mergeCell ref="E118:E125"/>
    <mergeCell ref="F118:F119"/>
    <mergeCell ref="G118:G119"/>
    <mergeCell ref="H118:H119"/>
    <mergeCell ref="M118:M119"/>
    <mergeCell ref="Q118:Q119"/>
    <mergeCell ref="R118:R119"/>
    <mergeCell ref="R116:R117"/>
    <mergeCell ref="S116:S117"/>
    <mergeCell ref="T116:T117"/>
    <mergeCell ref="U116:U117"/>
    <mergeCell ref="V116:V117"/>
    <mergeCell ref="AC116:AC117"/>
    <mergeCell ref="D116:F117"/>
    <mergeCell ref="G116:G117"/>
    <mergeCell ref="S120:S121"/>
    <mergeCell ref="T120:T121"/>
    <mergeCell ref="U120:U121"/>
    <mergeCell ref="AC120:AC121"/>
    <mergeCell ref="AF120:AF121"/>
    <mergeCell ref="F120:F121"/>
    <mergeCell ref="G120:G121"/>
    <mergeCell ref="H120:H121"/>
    <mergeCell ref="M120:M121"/>
    <mergeCell ref="T122:T123"/>
    <mergeCell ref="U122:U123"/>
    <mergeCell ref="V122:V123"/>
    <mergeCell ref="AC122:AC123"/>
    <mergeCell ref="AF122:AF123"/>
    <mergeCell ref="F122:F123"/>
    <mergeCell ref="G122:G123"/>
    <mergeCell ref="H122:H123"/>
    <mergeCell ref="M122:M123"/>
    <mergeCell ref="R122:R123"/>
    <mergeCell ref="I120:I121"/>
    <mergeCell ref="I122:I123"/>
    <mergeCell ref="AF124:AF125"/>
    <mergeCell ref="U124:U125"/>
    <mergeCell ref="V124:V125"/>
    <mergeCell ref="Q124:Q125"/>
    <mergeCell ref="U126:U127"/>
    <mergeCell ref="V126:V127"/>
    <mergeCell ref="J126:J127"/>
    <mergeCell ref="K126:K127"/>
    <mergeCell ref="D126:F127"/>
    <mergeCell ref="G126:G127"/>
    <mergeCell ref="H126:H127"/>
    <mergeCell ref="M126:M127"/>
    <mergeCell ref="Q126:Q127"/>
    <mergeCell ref="R126:R127"/>
    <mergeCell ref="S126:S127"/>
    <mergeCell ref="T126:T127"/>
    <mergeCell ref="R124:R125"/>
    <mergeCell ref="S124:S125"/>
    <mergeCell ref="T124:T125"/>
    <mergeCell ref="I124:I125"/>
    <mergeCell ref="I126:I127"/>
    <mergeCell ref="AF126:AF127"/>
    <mergeCell ref="AC126:AC127"/>
    <mergeCell ref="S130:S131"/>
    <mergeCell ref="T130:T131"/>
    <mergeCell ref="U130:U131"/>
    <mergeCell ref="V130:V131"/>
    <mergeCell ref="AC130:AC131"/>
    <mergeCell ref="AF130:AF131"/>
    <mergeCell ref="J128:J129"/>
    <mergeCell ref="J130:J131"/>
    <mergeCell ref="J134:J135"/>
    <mergeCell ref="K128:K129"/>
    <mergeCell ref="K130:K131"/>
    <mergeCell ref="K132:K133"/>
    <mergeCell ref="V128:V129"/>
    <mergeCell ref="AC128:AC129"/>
    <mergeCell ref="AF128:AF129"/>
    <mergeCell ref="S128:S129"/>
    <mergeCell ref="T128:T129"/>
    <mergeCell ref="U128:U129"/>
    <mergeCell ref="Q134:Q135"/>
    <mergeCell ref="S132:S133"/>
    <mergeCell ref="T132:T133"/>
    <mergeCell ref="U132:U133"/>
    <mergeCell ref="V132:V133"/>
    <mergeCell ref="AC132:AC133"/>
    <mergeCell ref="AF132:AF133"/>
    <mergeCell ref="AF134:AF135"/>
    <mergeCell ref="S134:S135"/>
    <mergeCell ref="T134:T135"/>
    <mergeCell ref="U134:U135"/>
    <mergeCell ref="V134:V135"/>
    <mergeCell ref="AC134:AC135"/>
    <mergeCell ref="M132:M133"/>
    <mergeCell ref="C136:C145"/>
    <mergeCell ref="D136:F136"/>
    <mergeCell ref="D137:D140"/>
    <mergeCell ref="E137:E140"/>
    <mergeCell ref="D141:F141"/>
    <mergeCell ref="D142:D145"/>
    <mergeCell ref="E142:E145"/>
    <mergeCell ref="H132:H133"/>
    <mergeCell ref="D128:D135"/>
    <mergeCell ref="E128:E135"/>
    <mergeCell ref="F128:F129"/>
    <mergeCell ref="G128:G129"/>
    <mergeCell ref="H128:H129"/>
    <mergeCell ref="M128:M129"/>
    <mergeCell ref="F130:F131"/>
    <mergeCell ref="G130:G131"/>
    <mergeCell ref="E148:E155"/>
    <mergeCell ref="F152:F153"/>
    <mergeCell ref="C146:C155"/>
    <mergeCell ref="D146:F147"/>
    <mergeCell ref="R134:R135"/>
    <mergeCell ref="F134:F135"/>
    <mergeCell ref="G134:G135"/>
    <mergeCell ref="H134:H135"/>
    <mergeCell ref="M134:M135"/>
    <mergeCell ref="J146:J147"/>
    <mergeCell ref="J148:J149"/>
    <mergeCell ref="J150:J151"/>
    <mergeCell ref="J152:J153"/>
    <mergeCell ref="K134:K135"/>
    <mergeCell ref="K146:K147"/>
    <mergeCell ref="R148:R149"/>
    <mergeCell ref="F148:F149"/>
    <mergeCell ref="G148:G149"/>
    <mergeCell ref="H148:H149"/>
    <mergeCell ref="M148:M149"/>
    <mergeCell ref="Q148:Q149"/>
    <mergeCell ref="Q146:Q147"/>
    <mergeCell ref="R146:R147"/>
    <mergeCell ref="F150:F151"/>
    <mergeCell ref="AC148:AC149"/>
    <mergeCell ref="U150:U151"/>
    <mergeCell ref="V150:V151"/>
    <mergeCell ref="AC150:AC151"/>
    <mergeCell ref="AF146:AF147"/>
    <mergeCell ref="S146:S147"/>
    <mergeCell ref="T146:T147"/>
    <mergeCell ref="U146:U147"/>
    <mergeCell ref="V146:V147"/>
    <mergeCell ref="AF148:AF149"/>
    <mergeCell ref="AC146:AC147"/>
    <mergeCell ref="AF150:AF151"/>
    <mergeCell ref="S148:S149"/>
    <mergeCell ref="T148:T149"/>
    <mergeCell ref="U148:U149"/>
    <mergeCell ref="V148:V149"/>
    <mergeCell ref="A167:A171"/>
    <mergeCell ref="B167:B171"/>
    <mergeCell ref="C167:F167"/>
    <mergeCell ref="C168:D171"/>
    <mergeCell ref="E168:E171"/>
    <mergeCell ref="AF154:AF155"/>
    <mergeCell ref="S150:S151"/>
    <mergeCell ref="T150:T151"/>
    <mergeCell ref="I152:I153"/>
    <mergeCell ref="I154:I155"/>
    <mergeCell ref="J154:J155"/>
    <mergeCell ref="K154:K155"/>
    <mergeCell ref="K152:K153"/>
    <mergeCell ref="AD150:AD151"/>
    <mergeCell ref="R150:R151"/>
    <mergeCell ref="K150:K151"/>
    <mergeCell ref="W150:W151"/>
    <mergeCell ref="M152:M153"/>
    <mergeCell ref="AF152:AF153"/>
    <mergeCell ref="Q154:Q155"/>
    <mergeCell ref="R154:R155"/>
    <mergeCell ref="S154:S155"/>
    <mergeCell ref="T154:T155"/>
    <mergeCell ref="R152:R153"/>
    <mergeCell ref="C225:C228"/>
    <mergeCell ref="C156:C160"/>
    <mergeCell ref="D156:F156"/>
    <mergeCell ref="D157:D160"/>
    <mergeCell ref="E157:E160"/>
    <mergeCell ref="F154:F155"/>
    <mergeCell ref="G154:G155"/>
    <mergeCell ref="H154:H155"/>
    <mergeCell ref="M154:M155"/>
    <mergeCell ref="I219:I220"/>
    <mergeCell ref="K208:K209"/>
    <mergeCell ref="K217:K218"/>
    <mergeCell ref="J208:J209"/>
    <mergeCell ref="J217:J218"/>
    <mergeCell ref="J219:J220"/>
    <mergeCell ref="J194:J195"/>
    <mergeCell ref="J196:J197"/>
    <mergeCell ref="J198:J199"/>
    <mergeCell ref="J200:J201"/>
    <mergeCell ref="C161:C166"/>
    <mergeCell ref="D161:F161"/>
    <mergeCell ref="D162:D166"/>
    <mergeCell ref="E162:E166"/>
    <mergeCell ref="D148:D155"/>
    <mergeCell ref="AD152:AD153"/>
    <mergeCell ref="H152:H153"/>
    <mergeCell ref="J182:J183"/>
    <mergeCell ref="U178:U179"/>
    <mergeCell ref="Q152:Q153"/>
    <mergeCell ref="U154:U155"/>
    <mergeCell ref="V154:V155"/>
    <mergeCell ref="AC154:AC155"/>
    <mergeCell ref="G146:G147"/>
    <mergeCell ref="H146:H147"/>
    <mergeCell ref="M146:M147"/>
    <mergeCell ref="K148:K149"/>
    <mergeCell ref="G152:G153"/>
    <mergeCell ref="S152:S153"/>
    <mergeCell ref="T152:T153"/>
    <mergeCell ref="U152:U153"/>
    <mergeCell ref="V152:V153"/>
    <mergeCell ref="AC152:AC153"/>
    <mergeCell ref="H180:H181"/>
    <mergeCell ref="M180:M181"/>
    <mergeCell ref="S178:S179"/>
    <mergeCell ref="T178:T179"/>
    <mergeCell ref="G150:G151"/>
    <mergeCell ref="H150:H151"/>
    <mergeCell ref="A172:A177"/>
    <mergeCell ref="B172:B238"/>
    <mergeCell ref="C172:F172"/>
    <mergeCell ref="C173:D177"/>
    <mergeCell ref="E173:E175"/>
    <mergeCell ref="E177:F177"/>
    <mergeCell ref="A178:A238"/>
    <mergeCell ref="C178:C189"/>
    <mergeCell ref="D178:F179"/>
    <mergeCell ref="D180:D185"/>
    <mergeCell ref="D187:D189"/>
    <mergeCell ref="E189:F189"/>
    <mergeCell ref="C190:C209"/>
    <mergeCell ref="D190:F190"/>
    <mergeCell ref="D191:D193"/>
    <mergeCell ref="E193:F193"/>
    <mergeCell ref="D194:F195"/>
    <mergeCell ref="D196:D201"/>
    <mergeCell ref="E196:E197"/>
    <mergeCell ref="F196:F197"/>
    <mergeCell ref="E198:F199"/>
    <mergeCell ref="D186:F186"/>
    <mergeCell ref="E221:F222"/>
    <mergeCell ref="D236:D238"/>
    <mergeCell ref="S194:S195"/>
    <mergeCell ref="U198:U199"/>
    <mergeCell ref="T194:T195"/>
    <mergeCell ref="U194:U195"/>
    <mergeCell ref="U217:U218"/>
    <mergeCell ref="K196:K197"/>
    <mergeCell ref="K198:K199"/>
    <mergeCell ref="K200:K201"/>
    <mergeCell ref="K202:K203"/>
    <mergeCell ref="T200:T201"/>
    <mergeCell ref="U200:U201"/>
    <mergeCell ref="T196:T197"/>
    <mergeCell ref="U196:U197"/>
    <mergeCell ref="S206:S207"/>
    <mergeCell ref="T206:T207"/>
    <mergeCell ref="U206:U207"/>
    <mergeCell ref="U208:U209"/>
    <mergeCell ref="S204:S205"/>
    <mergeCell ref="Q200:Q201"/>
    <mergeCell ref="T204:T205"/>
    <mergeCell ref="U204:U205"/>
    <mergeCell ref="S200:S201"/>
    <mergeCell ref="AF180:AF181"/>
    <mergeCell ref="E184:F185"/>
    <mergeCell ref="G184:G185"/>
    <mergeCell ref="H184:H185"/>
    <mergeCell ref="M184:M185"/>
    <mergeCell ref="Q184:Q185"/>
    <mergeCell ref="R184:R185"/>
    <mergeCell ref="S184:S185"/>
    <mergeCell ref="Q180:Q181"/>
    <mergeCell ref="R180:R181"/>
    <mergeCell ref="S180:S181"/>
    <mergeCell ref="T180:T181"/>
    <mergeCell ref="U180:U181"/>
    <mergeCell ref="V180:V181"/>
    <mergeCell ref="Q182:Q183"/>
    <mergeCell ref="R182:R183"/>
    <mergeCell ref="S182:S183"/>
    <mergeCell ref="AF184:AF185"/>
    <mergeCell ref="J180:J181"/>
    <mergeCell ref="AF178:AF179"/>
    <mergeCell ref="G178:G179"/>
    <mergeCell ref="H178:H179"/>
    <mergeCell ref="M178:M179"/>
    <mergeCell ref="Q178:Q179"/>
    <mergeCell ref="R178:R179"/>
    <mergeCell ref="E180:E181"/>
    <mergeCell ref="F180:F181"/>
    <mergeCell ref="I184:I185"/>
    <mergeCell ref="V178:V179"/>
    <mergeCell ref="AC178:AC179"/>
    <mergeCell ref="T184:T185"/>
    <mergeCell ref="U184:U185"/>
    <mergeCell ref="V184:V185"/>
    <mergeCell ref="AC184:AC185"/>
    <mergeCell ref="AC180:AC181"/>
    <mergeCell ref="T182:T183"/>
    <mergeCell ref="U182:U183"/>
    <mergeCell ref="V182:V183"/>
    <mergeCell ref="AC182:AC183"/>
    <mergeCell ref="AF182:AF183"/>
    <mergeCell ref="G182:G183"/>
    <mergeCell ref="AD182:AD183"/>
    <mergeCell ref="G180:G181"/>
    <mergeCell ref="G198:G199"/>
    <mergeCell ref="H198:H199"/>
    <mergeCell ref="M198:M199"/>
    <mergeCell ref="Q198:Q199"/>
    <mergeCell ref="R198:R199"/>
    <mergeCell ref="V208:V209"/>
    <mergeCell ref="H206:H207"/>
    <mergeCell ref="D204:D209"/>
    <mergeCell ref="E204:E205"/>
    <mergeCell ref="F204:F205"/>
    <mergeCell ref="G204:G205"/>
    <mergeCell ref="H204:H205"/>
    <mergeCell ref="M204:M205"/>
    <mergeCell ref="D202:F203"/>
    <mergeCell ref="E200:F201"/>
    <mergeCell ref="G200:G201"/>
    <mergeCell ref="H200:H201"/>
    <mergeCell ref="M200:M201"/>
    <mergeCell ref="J202:J203"/>
    <mergeCell ref="I208:I209"/>
    <mergeCell ref="K206:K207"/>
    <mergeCell ref="E206:F207"/>
    <mergeCell ref="AF196:AF197"/>
    <mergeCell ref="G196:G197"/>
    <mergeCell ref="H196:H197"/>
    <mergeCell ref="M196:M197"/>
    <mergeCell ref="Q196:Q197"/>
    <mergeCell ref="R196:R197"/>
    <mergeCell ref="I196:I197"/>
    <mergeCell ref="AC202:AC203"/>
    <mergeCell ref="AC196:AC197"/>
    <mergeCell ref="V202:V203"/>
    <mergeCell ref="S198:S199"/>
    <mergeCell ref="V200:V201"/>
    <mergeCell ref="W202:W203"/>
    <mergeCell ref="S196:S197"/>
    <mergeCell ref="I198:I199"/>
    <mergeCell ref="I200:I201"/>
    <mergeCell ref="I202:I203"/>
    <mergeCell ref="G202:G203"/>
    <mergeCell ref="H202:H203"/>
    <mergeCell ref="M202:M203"/>
    <mergeCell ref="Q202:Q203"/>
    <mergeCell ref="R202:R203"/>
    <mergeCell ref="S202:S203"/>
    <mergeCell ref="R200:R201"/>
    <mergeCell ref="AD221:AD222"/>
    <mergeCell ref="I204:I205"/>
    <mergeCell ref="AC219:AC220"/>
    <mergeCell ref="M206:M207"/>
    <mergeCell ref="Q206:Q207"/>
    <mergeCell ref="R206:R207"/>
    <mergeCell ref="AF223:AF224"/>
    <mergeCell ref="AF219:AF220"/>
    <mergeCell ref="S223:S224"/>
    <mergeCell ref="AC223:AC224"/>
    <mergeCell ref="S221:S222"/>
    <mergeCell ref="T221:T222"/>
    <mergeCell ref="AD223:AD224"/>
    <mergeCell ref="V204:V205"/>
    <mergeCell ref="W204:W205"/>
    <mergeCell ref="AC206:AC207"/>
    <mergeCell ref="Q208:Q209"/>
    <mergeCell ref="R208:R209"/>
    <mergeCell ref="AF221:AF222"/>
    <mergeCell ref="Q204:Q205"/>
    <mergeCell ref="R204:R205"/>
    <mergeCell ref="AF217:AF218"/>
    <mergeCell ref="S208:S209"/>
    <mergeCell ref="T208:T209"/>
    <mergeCell ref="AC208:AC209"/>
    <mergeCell ref="AF208:AF209"/>
    <mergeCell ref="W206:W207"/>
    <mergeCell ref="W208:W209"/>
    <mergeCell ref="AD206:AD207"/>
    <mergeCell ref="AD208:AD209"/>
    <mergeCell ref="AD217:AD218"/>
    <mergeCell ref="G206:G207"/>
    <mergeCell ref="I206:I207"/>
    <mergeCell ref="J206:J207"/>
    <mergeCell ref="V206:V207"/>
    <mergeCell ref="K223:K224"/>
    <mergeCell ref="J221:J222"/>
    <mergeCell ref="Q217:Q218"/>
    <mergeCell ref="R217:R218"/>
    <mergeCell ref="E208:F209"/>
    <mergeCell ref="G208:G209"/>
    <mergeCell ref="H208:H209"/>
    <mergeCell ref="M208:M209"/>
    <mergeCell ref="E223:F224"/>
    <mergeCell ref="G223:G224"/>
    <mergeCell ref="H223:H224"/>
    <mergeCell ref="M223:M224"/>
    <mergeCell ref="Q223:Q224"/>
    <mergeCell ref="R223:R224"/>
    <mergeCell ref="D217:F218"/>
    <mergeCell ref="G217:G218"/>
    <mergeCell ref="H217:H218"/>
    <mergeCell ref="M217:M218"/>
    <mergeCell ref="K219:K220"/>
    <mergeCell ref="K221:K222"/>
    <mergeCell ref="G221:G222"/>
    <mergeCell ref="H221:H222"/>
    <mergeCell ref="M221:M222"/>
    <mergeCell ref="A239:A248"/>
    <mergeCell ref="B239:B248"/>
    <mergeCell ref="C239:F239"/>
    <mergeCell ref="C240:F240"/>
    <mergeCell ref="C241:F241"/>
    <mergeCell ref="C242:F242"/>
    <mergeCell ref="C243:F243"/>
    <mergeCell ref="C244:F244"/>
    <mergeCell ref="C245:F245"/>
    <mergeCell ref="C246:F246"/>
    <mergeCell ref="C247:F247"/>
    <mergeCell ref="E238:F238"/>
    <mergeCell ref="E237:F237"/>
    <mergeCell ref="D219:D224"/>
    <mergeCell ref="E219:E220"/>
    <mergeCell ref="U221:U222"/>
    <mergeCell ref="V221:V222"/>
    <mergeCell ref="W221:W222"/>
    <mergeCell ref="W223:W224"/>
    <mergeCell ref="D225:F225"/>
    <mergeCell ref="D226:D228"/>
    <mergeCell ref="E228:F228"/>
    <mergeCell ref="U223:U224"/>
    <mergeCell ref="V223:V224"/>
    <mergeCell ref="T223:T224"/>
    <mergeCell ref="R219:R220"/>
    <mergeCell ref="J223:J224"/>
    <mergeCell ref="I223:I224"/>
    <mergeCell ref="G219:G220"/>
    <mergeCell ref="H219:H220"/>
    <mergeCell ref="E227:F227"/>
    <mergeCell ref="S219:S220"/>
    <mergeCell ref="M219:M220"/>
    <mergeCell ref="Q219:Q220"/>
    <mergeCell ref="I221:I222"/>
    <mergeCell ref="C217:C224"/>
    <mergeCell ref="AC221:AC222"/>
    <mergeCell ref="Q221:Q222"/>
    <mergeCell ref="R221:R222"/>
    <mergeCell ref="E233:F233"/>
    <mergeCell ref="C210:C216"/>
    <mergeCell ref="D210:F210"/>
    <mergeCell ref="D211:D212"/>
    <mergeCell ref="E212:F212"/>
    <mergeCell ref="D213:F213"/>
    <mergeCell ref="D214:D216"/>
    <mergeCell ref="E216:F216"/>
    <mergeCell ref="F219:F220"/>
    <mergeCell ref="T219:T220"/>
    <mergeCell ref="U219:U220"/>
    <mergeCell ref="V219:V220"/>
    <mergeCell ref="W219:W220"/>
    <mergeCell ref="E215:F215"/>
    <mergeCell ref="AC217:AC218"/>
    <mergeCell ref="W217:W218"/>
    <mergeCell ref="V217:V218"/>
    <mergeCell ref="S217:S218"/>
    <mergeCell ref="T217:T218"/>
    <mergeCell ref="I217:I218"/>
    <mergeCell ref="B258:F258"/>
    <mergeCell ref="E51:F51"/>
    <mergeCell ref="E176:F176"/>
    <mergeCell ref="E182:F183"/>
    <mergeCell ref="E188:F188"/>
    <mergeCell ref="E192:F192"/>
    <mergeCell ref="C248:F248"/>
    <mergeCell ref="B251:F251"/>
    <mergeCell ref="B252:F252"/>
    <mergeCell ref="B253:F253"/>
    <mergeCell ref="B254:F254"/>
    <mergeCell ref="C229:C234"/>
    <mergeCell ref="D229:F229"/>
    <mergeCell ref="D230:D234"/>
    <mergeCell ref="E230:E232"/>
    <mergeCell ref="E234:F234"/>
    <mergeCell ref="C235:C238"/>
    <mergeCell ref="B66:F66"/>
    <mergeCell ref="B67:F67"/>
    <mergeCell ref="B68:F68"/>
    <mergeCell ref="B255:F255"/>
    <mergeCell ref="B256:F256"/>
    <mergeCell ref="B257:F257"/>
    <mergeCell ref="D235:F235"/>
    <mergeCell ref="AC194:AC195"/>
    <mergeCell ref="AF194:AF195"/>
    <mergeCell ref="G194:G195"/>
    <mergeCell ref="H194:H195"/>
    <mergeCell ref="M194:M195"/>
    <mergeCell ref="Q194:Q195"/>
    <mergeCell ref="R194:R195"/>
    <mergeCell ref="J204:J205"/>
    <mergeCell ref="K204:K205"/>
    <mergeCell ref="AC198:AC199"/>
    <mergeCell ref="AF198:AF199"/>
    <mergeCell ref="AF202:AF203"/>
    <mergeCell ref="AF200:AF201"/>
    <mergeCell ref="AC200:AC201"/>
    <mergeCell ref="AD202:AD203"/>
    <mergeCell ref="W194:W195"/>
    <mergeCell ref="W196:W197"/>
    <mergeCell ref="W198:W199"/>
    <mergeCell ref="AD204:AD205"/>
    <mergeCell ref="AD194:AD195"/>
    <mergeCell ref="AD196:AD197"/>
    <mergeCell ref="AD198:AD199"/>
    <mergeCell ref="AD200:AD201"/>
    <mergeCell ref="AC204:AC205"/>
    <mergeCell ref="W118:W119"/>
    <mergeCell ref="W120:W121"/>
    <mergeCell ref="W122:W123"/>
    <mergeCell ref="W180:W181"/>
    <mergeCell ref="W182:W183"/>
    <mergeCell ref="W184:W185"/>
    <mergeCell ref="V194:V195"/>
    <mergeCell ref="W200:W201"/>
    <mergeCell ref="W124:W125"/>
    <mergeCell ref="W126:W127"/>
    <mergeCell ref="W128:W129"/>
    <mergeCell ref="W130:W131"/>
    <mergeCell ref="W132:W133"/>
    <mergeCell ref="W134:W135"/>
    <mergeCell ref="W146:W147"/>
    <mergeCell ref="W148:W149"/>
    <mergeCell ref="V196:V197"/>
    <mergeCell ref="V120:V121"/>
    <mergeCell ref="W152:W153"/>
    <mergeCell ref="W154:W155"/>
    <mergeCell ref="J26:J27"/>
    <mergeCell ref="J28:J29"/>
    <mergeCell ref="I24:I25"/>
    <mergeCell ref="G28:G29"/>
    <mergeCell ref="H28:H29"/>
    <mergeCell ref="F24:F25"/>
    <mergeCell ref="G24:G25"/>
    <mergeCell ref="H24:H25"/>
    <mergeCell ref="H26:H27"/>
    <mergeCell ref="Q85:W85"/>
    <mergeCell ref="Y85:AA85"/>
    <mergeCell ref="AC85:AD85"/>
    <mergeCell ref="AF85:AG85"/>
    <mergeCell ref="AF28:AF29"/>
    <mergeCell ref="U22:U23"/>
    <mergeCell ref="Q24:Q25"/>
    <mergeCell ref="V24:V25"/>
    <mergeCell ref="AC24:AC25"/>
    <mergeCell ref="R24:R25"/>
    <mergeCell ref="S24:S25"/>
    <mergeCell ref="T24:T25"/>
    <mergeCell ref="AF24:AF25"/>
    <mergeCell ref="V28:V29"/>
    <mergeCell ref="V26:V27"/>
    <mergeCell ref="AC26:AC27"/>
    <mergeCell ref="AF26:AF27"/>
    <mergeCell ref="Q22:Q23"/>
    <mergeCell ref="R22:R23"/>
    <mergeCell ref="AG87:AG88"/>
    <mergeCell ref="C88:F88"/>
    <mergeCell ref="W20:W21"/>
    <mergeCell ref="W22:W23"/>
    <mergeCell ref="W24:W25"/>
    <mergeCell ref="W26:W27"/>
    <mergeCell ref="W28:W29"/>
    <mergeCell ref="AD20:AD21"/>
    <mergeCell ref="AD22:AD23"/>
    <mergeCell ref="AD24:AD25"/>
    <mergeCell ref="AD26:AD27"/>
    <mergeCell ref="AD28:AD29"/>
    <mergeCell ref="AG20:AG21"/>
    <mergeCell ref="AG22:AG23"/>
    <mergeCell ref="AG24:AG25"/>
    <mergeCell ref="AG26:AG27"/>
    <mergeCell ref="AG28:AG29"/>
    <mergeCell ref="B69:F69"/>
    <mergeCell ref="B70:F70"/>
    <mergeCell ref="B71:F71"/>
    <mergeCell ref="B72:F72"/>
    <mergeCell ref="A75:AF75"/>
    <mergeCell ref="C62:F62"/>
    <mergeCell ref="B65:F65"/>
    <mergeCell ref="AG120:AG121"/>
    <mergeCell ref="AG122:AG123"/>
    <mergeCell ref="W97:W98"/>
    <mergeCell ref="W116:W117"/>
    <mergeCell ref="T198:T199"/>
    <mergeCell ref="H182:H183"/>
    <mergeCell ref="M182:M183"/>
    <mergeCell ref="AD89:AD90"/>
    <mergeCell ref="AD91:AD92"/>
    <mergeCell ref="AD93:AD94"/>
    <mergeCell ref="AD95:AD96"/>
    <mergeCell ref="AD97:AD98"/>
    <mergeCell ref="AD116:AD117"/>
    <mergeCell ref="AD118:AD119"/>
    <mergeCell ref="AD120:AD121"/>
    <mergeCell ref="AD122:AD123"/>
    <mergeCell ref="AD124:AD125"/>
    <mergeCell ref="AD126:AD127"/>
    <mergeCell ref="AD128:AD129"/>
    <mergeCell ref="AD130:AD131"/>
    <mergeCell ref="AD132:AD133"/>
    <mergeCell ref="AD134:AD135"/>
    <mergeCell ref="AD146:AD147"/>
    <mergeCell ref="AD148:AD149"/>
    <mergeCell ref="M253:O259"/>
    <mergeCell ref="AF204:AF205"/>
    <mergeCell ref="AG150:AG151"/>
    <mergeCell ref="AG152:AG153"/>
    <mergeCell ref="AG154:AG155"/>
    <mergeCell ref="AG178:AG179"/>
    <mergeCell ref="AG180:AG181"/>
    <mergeCell ref="AG182:AG183"/>
    <mergeCell ref="AG184:AG185"/>
    <mergeCell ref="AG194:AG195"/>
    <mergeCell ref="AG196:AG197"/>
    <mergeCell ref="AG223:AG224"/>
    <mergeCell ref="AG198:AG199"/>
    <mergeCell ref="AG200:AG201"/>
    <mergeCell ref="AG202:AG203"/>
    <mergeCell ref="AG204:AG205"/>
    <mergeCell ref="AG206:AG207"/>
    <mergeCell ref="AG208:AG209"/>
    <mergeCell ref="AG217:AG218"/>
    <mergeCell ref="AD178:AD179"/>
    <mergeCell ref="W178:W179"/>
    <mergeCell ref="U202:U203"/>
    <mergeCell ref="V198:V199"/>
    <mergeCell ref="T202:T203"/>
    <mergeCell ref="AG219:AG220"/>
    <mergeCell ref="AG221:AG222"/>
    <mergeCell ref="AC124:AC125"/>
    <mergeCell ref="AD219:AD220"/>
    <mergeCell ref="AD180:AD181"/>
    <mergeCell ref="AD184:AD185"/>
    <mergeCell ref="AF206:AF207"/>
    <mergeCell ref="AD154:AD155"/>
    <mergeCell ref="M67:O73"/>
    <mergeCell ref="AG124:AG125"/>
    <mergeCell ref="AG126:AG127"/>
    <mergeCell ref="AG128:AG129"/>
    <mergeCell ref="AG130:AG131"/>
    <mergeCell ref="AG132:AG133"/>
    <mergeCell ref="AG134:AG135"/>
    <mergeCell ref="AG146:AG147"/>
    <mergeCell ref="AG148:AG149"/>
    <mergeCell ref="AG89:AG90"/>
    <mergeCell ref="AG91:AG92"/>
    <mergeCell ref="AG93:AG94"/>
    <mergeCell ref="AG95:AG96"/>
    <mergeCell ref="AG97:AG98"/>
    <mergeCell ref="AG116:AG117"/>
    <mergeCell ref="AG118:AG119"/>
  </mergeCells>
  <conditionalFormatting sqref="G20:G21 N20:N21 G30 M30:N30">
    <cfRule type="expression" dxfId="1115" priority="595">
      <formula>$D$9="By sector"</formula>
    </cfRule>
    <cfRule type="expression" dxfId="1114" priority="671">
      <formula>$D$9="By sub-asset class"</formula>
    </cfRule>
  </conditionalFormatting>
  <conditionalFormatting sqref="G20:G34 N20:N34 M30:M34">
    <cfRule type="expression" dxfId="1113" priority="592">
      <formula>$D$9="N/A"</formula>
    </cfRule>
  </conditionalFormatting>
  <conditionalFormatting sqref="G22:G29 N22:N29 G31:G34 M31:N34">
    <cfRule type="expression" dxfId="1112" priority="593">
      <formula>$D$9="By sector"</formula>
    </cfRule>
    <cfRule type="expression" dxfId="1111" priority="633">
      <formula>$D$9="By sub-asset class"</formula>
    </cfRule>
  </conditionalFormatting>
  <conditionalFormatting sqref="G35 M35">
    <cfRule type="expression" dxfId="1110" priority="667">
      <formula>$D$10="All of segment"</formula>
    </cfRule>
    <cfRule type="expression" dxfId="1109" priority="707">
      <formula>$D$10="By sub-asset class"</formula>
    </cfRule>
  </conditionalFormatting>
  <conditionalFormatting sqref="G35:G41 M35:M41">
    <cfRule type="expression" dxfId="1108" priority="708">
      <formula>$D$10="N/A"</formula>
    </cfRule>
  </conditionalFormatting>
  <conditionalFormatting sqref="G36:G41 M36:M41">
    <cfRule type="expression" dxfId="1107" priority="705">
      <formula>$D$10="All of segment"</formula>
    </cfRule>
    <cfRule type="expression" dxfId="1106" priority="706">
      <formula>$D$10="By sub-asset class"</formula>
    </cfRule>
  </conditionalFormatting>
  <conditionalFormatting sqref="G42 M42">
    <cfRule type="expression" dxfId="1105" priority="666">
      <formula>$D$11="All of segment"</formula>
    </cfRule>
    <cfRule type="expression" dxfId="1104" priority="699">
      <formula>$D$11="By sub-asset class"</formula>
    </cfRule>
  </conditionalFormatting>
  <conditionalFormatting sqref="G42:G46 M42:M46">
    <cfRule type="expression" dxfId="1103" priority="700">
      <formula>$D$11="N/A"</formula>
    </cfRule>
  </conditionalFormatting>
  <conditionalFormatting sqref="G43:G46 M43:M46">
    <cfRule type="expression" dxfId="1102" priority="697">
      <formula>$D$11="All of segment"</formula>
    </cfRule>
    <cfRule type="expression" dxfId="1101" priority="698">
      <formula>$D$11="By sub-asset class"</formula>
    </cfRule>
  </conditionalFormatting>
  <conditionalFormatting sqref="G47 M47">
    <cfRule type="expression" dxfId="1100" priority="665">
      <formula>$D$12="All of segment"</formula>
    </cfRule>
    <cfRule type="expression" dxfId="1099" priority="691">
      <formula>$D$12="By sub-asset class"</formula>
    </cfRule>
  </conditionalFormatting>
  <conditionalFormatting sqref="G47:G52 M47:M52">
    <cfRule type="expression" dxfId="1098" priority="692">
      <formula>$D$12="N/A"</formula>
    </cfRule>
  </conditionalFormatting>
  <conditionalFormatting sqref="G48:G52 M48:M52">
    <cfRule type="expression" dxfId="1097" priority="689">
      <formula>$D$12="All of segment"</formula>
    </cfRule>
    <cfRule type="expression" dxfId="1096" priority="690">
      <formula>$D$12="By sub-asset class"</formula>
    </cfRule>
  </conditionalFormatting>
  <conditionalFormatting sqref="G89:G90 I89:J90 N89:N90 G99 I99:J99 M99:N99">
    <cfRule type="expression" dxfId="1095" priority="30">
      <formula>$D$78="By sector"</formula>
    </cfRule>
    <cfRule type="expression" dxfId="1094" priority="31">
      <formula>$D$78="By sub-asset class"</formula>
    </cfRule>
  </conditionalFormatting>
  <conditionalFormatting sqref="G89:G98 N89:N103">
    <cfRule type="expression" dxfId="1093" priority="582">
      <formula>$D$78="Climate-alignment only"</formula>
    </cfRule>
  </conditionalFormatting>
  <conditionalFormatting sqref="G89:G103 N89:N103 M99:M103">
    <cfRule type="expression" dxfId="1092" priority="273">
      <formula>$D$78="N/A"</formula>
    </cfRule>
  </conditionalFormatting>
  <conditionalFormatting sqref="G89:G103 N89:N103">
    <cfRule type="expression" dxfId="1091" priority="641">
      <formula>$D$78="Sector only"</formula>
    </cfRule>
  </conditionalFormatting>
  <conditionalFormatting sqref="G91:G98 I91:J98 N91:N98 G100:G103 I100:J103 M100:N103">
    <cfRule type="expression" dxfId="1090" priority="28">
      <formula>$D$78="By sector"</formula>
    </cfRule>
    <cfRule type="expression" dxfId="1089" priority="29">
      <formula>$D$78="By sub-asset class"</formula>
    </cfRule>
  </conditionalFormatting>
  <conditionalFormatting sqref="G91:G98 N91:N98">
    <cfRule type="expression" dxfId="1088" priority="581">
      <formula>$G$89&gt;0</formula>
    </cfRule>
  </conditionalFormatting>
  <conditionalFormatting sqref="G99 I99:J99 M99:N99">
    <cfRule type="expression" dxfId="1087" priority="33">
      <formula>$G$100&gt;0</formula>
    </cfRule>
    <cfRule type="expression" dxfId="1086" priority="34">
      <formula>$G$101&gt;0</formula>
    </cfRule>
    <cfRule type="expression" dxfId="1085" priority="35">
      <formula>$G$102&gt;0</formula>
    </cfRule>
    <cfRule type="expression" dxfId="1084" priority="36">
      <formula>$G$103&gt;0</formula>
    </cfRule>
  </conditionalFormatting>
  <conditionalFormatting sqref="G99:G103 M99:M103">
    <cfRule type="expression" dxfId="1083" priority="580">
      <formula>$D$78="Climate-alignment only"</formula>
    </cfRule>
  </conditionalFormatting>
  <conditionalFormatting sqref="G100:G103 M100:N103">
    <cfRule type="expression" dxfId="1082" priority="274">
      <formula>$G$99&gt;0</formula>
    </cfRule>
  </conditionalFormatting>
  <conditionalFormatting sqref="G104 I104:J104 M104">
    <cfRule type="expression" dxfId="1081" priority="25">
      <formula>$D$79="All of segment"</formula>
    </cfRule>
    <cfRule type="expression" dxfId="1080" priority="26">
      <formula>$D$79="By sub-asset class"</formula>
    </cfRule>
    <cfRule type="expression" dxfId="1079" priority="27">
      <formula>$D$79="By sector"</formula>
    </cfRule>
  </conditionalFormatting>
  <conditionalFormatting sqref="G104 M104">
    <cfRule type="expression" dxfId="1078" priority="712">
      <formula>$D$79="Both climate-alignment and sector"</formula>
    </cfRule>
  </conditionalFormatting>
  <conditionalFormatting sqref="G104:G110 M104:M166">
    <cfRule type="expression" dxfId="1077" priority="711">
      <formula>$D$79="Sector only"</formula>
    </cfRule>
  </conditionalFormatting>
  <conditionalFormatting sqref="G104:G111 M104:M111 G116:G117 I116:J117 M116:M117 G126:G127 I126:J127 M126:M127 G136 I136:J136 M136 G141 I141:J141 M141 G146:G147 I146:J147 M146:M147 G156 I156:J156 M156 G161 I161:J161 M161">
    <cfRule type="expression" dxfId="1076" priority="631">
      <formula>$D$79="Climate-alignment only"</formula>
    </cfRule>
  </conditionalFormatting>
  <conditionalFormatting sqref="G104:G166 I104:J166 M104:M166 N111:N166">
    <cfRule type="expression" dxfId="1075" priority="618">
      <formula>$D$79="N/A"</formula>
    </cfRule>
  </conditionalFormatting>
  <conditionalFormatting sqref="G105:G110 I105:J110 M105:M110">
    <cfRule type="expression" dxfId="1074" priority="23">
      <formula>$D$79="By sub-asset class"</formula>
    </cfRule>
    <cfRule type="expression" dxfId="1073" priority="24">
      <formula>$D$79="By sector"</formula>
    </cfRule>
  </conditionalFormatting>
  <conditionalFormatting sqref="G105:G166 I105:J166 M105:N166">
    <cfRule type="expression" dxfId="1072" priority="628">
      <formula>$G$104&gt;0</formula>
    </cfRule>
  </conditionalFormatting>
  <conditionalFormatting sqref="G105:G166 M105:M166 N111:N166">
    <cfRule type="expression" dxfId="1071" priority="632">
      <formula>$D$79="Both climate-alignment and sector"</formula>
    </cfRule>
  </conditionalFormatting>
  <conditionalFormatting sqref="G111 I111:J111 M111:N111">
    <cfRule type="expression" dxfId="1070" priority="19">
      <formula>$G$112&gt;0</formula>
    </cfRule>
    <cfRule type="expression" dxfId="1069" priority="20">
      <formula>$G$113&gt;0</formula>
    </cfRule>
    <cfRule type="expression" dxfId="1068" priority="21">
      <formula>$G$114&gt;0</formula>
    </cfRule>
    <cfRule type="expression" dxfId="1067" priority="127">
      <formula>$G$115&gt;0</formula>
    </cfRule>
  </conditionalFormatting>
  <conditionalFormatting sqref="G111:G166 I111:J166 M111:N166">
    <cfRule type="expression" dxfId="1066" priority="617">
      <formula>$D$79="By sector"</formula>
    </cfRule>
  </conditionalFormatting>
  <conditionalFormatting sqref="G111:G166 N111:N166">
    <cfRule type="expression" dxfId="1065" priority="630">
      <formula>$D$79="Sector only"</formula>
    </cfRule>
  </conditionalFormatting>
  <conditionalFormatting sqref="G112:G115 I112:J115 M112:N115">
    <cfRule type="expression" dxfId="1064" priority="128">
      <formula>$G$111&gt;0</formula>
    </cfRule>
  </conditionalFormatting>
  <conditionalFormatting sqref="G116 I116:J116 M116 N116:N117">
    <cfRule type="expression" dxfId="1063" priority="123">
      <formula>$G$118&gt;0</formula>
    </cfRule>
    <cfRule type="expression" dxfId="1062" priority="124">
      <formula>$G$120&gt;0</formula>
    </cfRule>
    <cfRule type="expression" dxfId="1061" priority="125">
      <formula>$G$122&gt;0</formula>
    </cfRule>
    <cfRule type="expression" dxfId="1060" priority="126">
      <formula>$G$124&gt;0</formula>
    </cfRule>
  </conditionalFormatting>
  <conditionalFormatting sqref="G118:G125 I118:J125 M118:N125">
    <cfRule type="expression" dxfId="1059" priority="129">
      <formula>$G$116&gt;0</formula>
    </cfRule>
  </conditionalFormatting>
  <conditionalFormatting sqref="G126 I126:J126 M126 N126:N127">
    <cfRule type="expression" dxfId="1058" priority="119">
      <formula>$G$128&gt;0</formula>
    </cfRule>
    <cfRule type="expression" dxfId="1057" priority="120">
      <formula>$G$130&gt;0</formula>
    </cfRule>
    <cfRule type="expression" dxfId="1056" priority="121">
      <formula>$G$132&gt;0</formula>
    </cfRule>
    <cfRule type="expression" dxfId="1055" priority="122">
      <formula>$G$134&gt;0</formula>
    </cfRule>
  </conditionalFormatting>
  <conditionalFormatting sqref="G128:G135 I128:J135 M128:N135">
    <cfRule type="expression" dxfId="1054" priority="130">
      <formula>$G$126&gt;0</formula>
    </cfRule>
  </conditionalFormatting>
  <conditionalFormatting sqref="G136 I136:J136 M136:N136">
    <cfRule type="expression" dxfId="1053" priority="115">
      <formula>$G$137&gt;0</formula>
    </cfRule>
    <cfRule type="expression" dxfId="1052" priority="116">
      <formula>$G$138&gt;0</formula>
    </cfRule>
    <cfRule type="expression" dxfId="1051" priority="117">
      <formula>$G$139&gt;0</formula>
    </cfRule>
    <cfRule type="expression" dxfId="1050" priority="118">
      <formula>$G$140&gt;0</formula>
    </cfRule>
  </conditionalFormatting>
  <conditionalFormatting sqref="G137:G140 M137:N140">
    <cfRule type="expression" dxfId="1049" priority="177">
      <formula>$G$136&gt;0</formula>
    </cfRule>
  </conditionalFormatting>
  <conditionalFormatting sqref="G141 I141:J141 M141:N141">
    <cfRule type="expression" dxfId="1048" priority="111">
      <formula>$G$142&gt;0</formula>
    </cfRule>
    <cfRule type="expression" dxfId="1047" priority="112">
      <formula>$G$143&gt;0</formula>
    </cfRule>
    <cfRule type="expression" dxfId="1046" priority="113">
      <formula>$G$144&gt;0</formula>
    </cfRule>
    <cfRule type="expression" dxfId="1045" priority="114">
      <formula>$G$145&gt;0</formula>
    </cfRule>
  </conditionalFormatting>
  <conditionalFormatting sqref="G146 I146:J146 M146 N146:N147">
    <cfRule type="expression" dxfId="1044" priority="107">
      <formula>$G$148&gt;0</formula>
    </cfRule>
    <cfRule type="expression" dxfId="1043" priority="108">
      <formula>$G$150&gt;0</formula>
    </cfRule>
    <cfRule type="expression" dxfId="1042" priority="109">
      <formula>$G$152&gt;0</formula>
    </cfRule>
    <cfRule type="expression" dxfId="1041" priority="110">
      <formula>$G$154&gt;0</formula>
    </cfRule>
  </conditionalFormatting>
  <conditionalFormatting sqref="G156 I156:J156 M156:N156">
    <cfRule type="expression" dxfId="1040" priority="103">
      <formula>$G$157&gt;0</formula>
    </cfRule>
    <cfRule type="expression" dxfId="1039" priority="104">
      <formula>$G$158&gt;0</formula>
    </cfRule>
    <cfRule type="expression" dxfId="1038" priority="105">
      <formula>$G$159&gt;0</formula>
    </cfRule>
    <cfRule type="expression" dxfId="1037" priority="106">
      <formula>$G$160&gt;0</formula>
    </cfRule>
  </conditionalFormatting>
  <conditionalFormatting sqref="G161 I161:J161 M161:N161">
    <cfRule type="expression" dxfId="1036" priority="98">
      <formula>$G$162&gt;0</formula>
    </cfRule>
    <cfRule type="expression" dxfId="1035" priority="99">
      <formula>$G$163&gt;0</formula>
    </cfRule>
    <cfRule type="expression" dxfId="1034" priority="100">
      <formula>$G$164&gt;0</formula>
    </cfRule>
    <cfRule type="expression" dxfId="1033" priority="101">
      <formula>$G$165&gt;0</formula>
    </cfRule>
    <cfRule type="expression" dxfId="1032" priority="102">
      <formula>$G$166&gt;0</formula>
    </cfRule>
  </conditionalFormatting>
  <conditionalFormatting sqref="G167 I167:J167 M167">
    <cfRule type="expression" dxfId="1031" priority="614">
      <formula>$D$80="By sub-asset class"</formula>
    </cfRule>
  </conditionalFormatting>
  <conditionalFormatting sqref="G167:G171 I167:J171 M167:M171">
    <cfRule type="expression" dxfId="1030" priority="615">
      <formula>$D$80="N/A"</formula>
    </cfRule>
  </conditionalFormatting>
  <conditionalFormatting sqref="G168:G171 I168:J171 M168:M171">
    <cfRule type="expression" dxfId="1029" priority="613">
      <formula>$D$80="By sub-asset class"</formula>
    </cfRule>
  </conditionalFormatting>
  <conditionalFormatting sqref="G172 I172:J172 M172">
    <cfRule type="expression" dxfId="1028" priority="15">
      <formula>$D$81="All of segment"</formula>
    </cfRule>
    <cfRule type="expression" dxfId="1027" priority="16">
      <formula>$D$81="By sub-asset class"</formula>
    </cfRule>
    <cfRule type="expression" dxfId="1026" priority="17">
      <formula>$D$81="By sector"</formula>
    </cfRule>
  </conditionalFormatting>
  <conditionalFormatting sqref="G172 I172:J172">
    <cfRule type="expression" dxfId="1025" priority="18">
      <formula>$D$81="N/A"</formula>
    </cfRule>
  </conditionalFormatting>
  <conditionalFormatting sqref="G172 M172">
    <cfRule type="expression" dxfId="1024" priority="602">
      <formula>$D$81="Both climate-alignment and sector"</formula>
    </cfRule>
  </conditionalFormatting>
  <conditionalFormatting sqref="G172:G177 M172:M177 G186 I186:J186 M186 G190 I190:J190 M190 G194:G195 I194:J195 M194:M195 G202:G203 I202:J203 M202:M203 G210 I210:J210 M210 G213 I213:J213 M213 G217:G218 I217:J218 M217:M218 G225 I225:J225 M225 G229 I229:J229 M229 G235 I235:J235 M235">
    <cfRule type="expression" dxfId="1023" priority="371">
      <formula>$D$81="Climate-alignment only"</formula>
    </cfRule>
  </conditionalFormatting>
  <conditionalFormatting sqref="G172:G177 M172:M177 M186:M238 G235:G238 I235:J238">
    <cfRule type="expression" dxfId="1022" priority="397">
      <formula>$D$81="Sector only"</formula>
    </cfRule>
  </conditionalFormatting>
  <conditionalFormatting sqref="G173:G177 I173:J177 M173:M177">
    <cfRule type="expression" dxfId="1021" priority="13">
      <formula>$D$81="By sub-asset class"</formula>
    </cfRule>
    <cfRule type="expression" dxfId="1020" priority="14">
      <formula>$D$81="By sector"</formula>
    </cfRule>
  </conditionalFormatting>
  <conditionalFormatting sqref="G173:G238 I173:J238 M173:N238">
    <cfRule type="expression" dxfId="1019" priority="369">
      <formula>$G$172&gt;0</formula>
    </cfRule>
  </conditionalFormatting>
  <conditionalFormatting sqref="G173:G238 I173:J238 N178:N234 M186:M238 M172:M177">
    <cfRule type="expression" dxfId="1018" priority="366">
      <formula>$D$81="N/A"</formula>
    </cfRule>
  </conditionalFormatting>
  <conditionalFormatting sqref="G173:G238 I173:J238 N178:N234 M186:M238">
    <cfRule type="expression" dxfId="1017" priority="370">
      <formula>$D$81="Both climate-alignment and sector"</formula>
    </cfRule>
  </conditionalFormatting>
  <conditionalFormatting sqref="G178 I178:J178 N178:N179">
    <cfRule type="expression" dxfId="1016" priority="9">
      <formula>$G$180&gt;0</formula>
    </cfRule>
    <cfRule type="expression" dxfId="1015" priority="10">
      <formula>$G$182&gt;0</formula>
    </cfRule>
    <cfRule type="expression" dxfId="1014" priority="11">
      <formula>$G$184&gt;0</formula>
    </cfRule>
  </conditionalFormatting>
  <conditionalFormatting sqref="G178:G185 I178:J185 N178:N234 G187:G189 M187:M189 G191:G193 I191:J193 M191:M193 G196:G201 I196:J201 M196:M201 G204:G209 I204:J209 M204:M209 G211:G212 I211:J212 M211:M212 G214:G216 I214:J216 M214:M216 G219:G224 I219:J224 M219:M224 G226:G228 I226:J228 M226:M228 G230:G234 I230:J234 M230:M234 G236:G238 I236:J238 M236:M238">
    <cfRule type="expression" dxfId="1013" priority="367">
      <formula>$D$81="Climate-alignment only"</formula>
    </cfRule>
  </conditionalFormatting>
  <conditionalFormatting sqref="G178:G234 N178:N234">
    <cfRule type="expression" dxfId="1012" priority="396">
      <formula>$D$81="Sector only"</formula>
    </cfRule>
  </conditionalFormatting>
  <conditionalFormatting sqref="G180:G185 I180:J185 N180:N185">
    <cfRule type="expression" dxfId="1011" priority="95">
      <formula>$G$178&gt;0</formula>
    </cfRule>
  </conditionalFormatting>
  <conditionalFormatting sqref="G186 I186:J186 M186:N186">
    <cfRule type="expression" dxfId="1010" priority="92">
      <formula>$G$187&gt;0</formula>
    </cfRule>
    <cfRule type="expression" dxfId="1009" priority="93">
      <formula>$G$188&gt;0</formula>
    </cfRule>
    <cfRule type="expression" dxfId="1008" priority="94">
      <formula>$G$189&gt;0</formula>
    </cfRule>
  </conditionalFormatting>
  <conditionalFormatting sqref="G187:G189 I187:J189 M187:N189">
    <cfRule type="expression" dxfId="1007" priority="96">
      <formula>$G$186&gt;0</formula>
    </cfRule>
  </conditionalFormatting>
  <conditionalFormatting sqref="G190 I190:J190 M190:N190">
    <cfRule type="expression" dxfId="1006" priority="89">
      <formula>$G$191&gt;0</formula>
    </cfRule>
    <cfRule type="expression" dxfId="1005" priority="90">
      <formula>$G$192&gt;0</formula>
    </cfRule>
    <cfRule type="expression" dxfId="1004" priority="91">
      <formula>$G$193&gt;0</formula>
    </cfRule>
  </conditionalFormatting>
  <conditionalFormatting sqref="G191:G193 I191:J193 M191:N193">
    <cfRule type="expression" dxfId="1003" priority="97">
      <formula>$G$190&gt;0</formula>
    </cfRule>
  </conditionalFormatting>
  <conditionalFormatting sqref="G194 I194:J194 M194 N194:N195">
    <cfRule type="expression" dxfId="1002" priority="86">
      <formula>$G$196&gt;0</formula>
    </cfRule>
    <cfRule type="expression" dxfId="1001" priority="87">
      <formula>$G$198&gt;0</formula>
    </cfRule>
    <cfRule type="expression" dxfId="1000" priority="88">
      <formula>$G$200&gt;0</formula>
    </cfRule>
  </conditionalFormatting>
  <conditionalFormatting sqref="G196:G201 M196:N201">
    <cfRule type="expression" dxfId="999" priority="154">
      <formula>$G$194&gt;0</formula>
    </cfRule>
  </conditionalFormatting>
  <conditionalFormatting sqref="G202 I202:J202 M202 N202:N203">
    <cfRule type="expression" dxfId="998" priority="83">
      <formula>$G$204&gt;0</formula>
    </cfRule>
    <cfRule type="expression" dxfId="997" priority="84">
      <formula>$G$206&gt;0</formula>
    </cfRule>
    <cfRule type="expression" dxfId="996" priority="85">
      <formula>$G$208&gt;0</formula>
    </cfRule>
  </conditionalFormatting>
  <conditionalFormatting sqref="G210 I210:J210 M210:N210">
    <cfRule type="expression" dxfId="995" priority="81">
      <formula>$G$211&gt;0</formula>
    </cfRule>
    <cfRule type="expression" dxfId="994" priority="82">
      <formula>$G$212&gt;0</formula>
    </cfRule>
  </conditionalFormatting>
  <conditionalFormatting sqref="G213 I213:J213 M213:N213">
    <cfRule type="expression" dxfId="993" priority="78">
      <formula>$G$214&gt;0</formula>
    </cfRule>
    <cfRule type="expression" dxfId="992" priority="79">
      <formula>$G$215&gt;0</formula>
    </cfRule>
    <cfRule type="expression" dxfId="991" priority="80">
      <formula>$G$216&gt;0</formula>
    </cfRule>
  </conditionalFormatting>
  <conditionalFormatting sqref="G217 I217:J217 M217 N217:N218">
    <cfRule type="expression" dxfId="990" priority="75">
      <formula>$G$219&gt;0</formula>
    </cfRule>
    <cfRule type="expression" dxfId="989" priority="76">
      <formula>$G$221&gt;0</formula>
    </cfRule>
    <cfRule type="expression" dxfId="988" priority="77">
      <formula>$G$223&gt;0</formula>
    </cfRule>
  </conditionalFormatting>
  <conditionalFormatting sqref="G225 I225:J225 M225:N225">
    <cfRule type="expression" dxfId="987" priority="72">
      <formula>$G$226&gt;0</formula>
    </cfRule>
    <cfRule type="expression" dxfId="986" priority="73">
      <formula>$G$227&gt;0</formula>
    </cfRule>
    <cfRule type="expression" dxfId="985" priority="74">
      <formula>$G$228&gt;0</formula>
    </cfRule>
  </conditionalFormatting>
  <conditionalFormatting sqref="G229 I229:J229 M229:N229">
    <cfRule type="expression" dxfId="984" priority="67">
      <formula>$G$230&gt;0</formula>
    </cfRule>
    <cfRule type="expression" dxfId="983" priority="68">
      <formula>$G$231&gt;0</formula>
    </cfRule>
    <cfRule type="expression" dxfId="982" priority="69">
      <formula>$G$232&gt;0</formula>
    </cfRule>
    <cfRule type="expression" dxfId="981" priority="70">
      <formula>$G$233&gt;0</formula>
    </cfRule>
    <cfRule type="expression" dxfId="980" priority="71">
      <formula>$G$234&gt;0</formula>
    </cfRule>
  </conditionalFormatting>
  <conditionalFormatting sqref="G235 I235:J235 M235">
    <cfRule type="expression" dxfId="979" priority="64">
      <formula>$G$236&gt;0</formula>
    </cfRule>
    <cfRule type="expression" dxfId="978" priority="65">
      <formula>$G$237&gt;0</formula>
    </cfRule>
    <cfRule type="expression" dxfId="977" priority="66">
      <formula>$G$238&gt;0</formula>
    </cfRule>
  </conditionalFormatting>
  <conditionalFormatting sqref="G236:G238 M236:M238">
    <cfRule type="expression" dxfId="976" priority="281">
      <formula>$G$235&gt;0</formula>
    </cfRule>
  </conditionalFormatting>
  <conditionalFormatting sqref="I67:I69 I73 I253:I255 I259">
    <cfRule type="containsText" dxfId="975" priority="709" operator="containsText" text="OK">
      <formula>NOT(ISERROR(SEARCH("OK",I67)))</formula>
    </cfRule>
    <cfRule type="containsText" dxfId="974" priority="710" operator="containsText" text="Error">
      <formula>NOT(ISERROR(SEARCH("Error",I67)))</formula>
    </cfRule>
  </conditionalFormatting>
  <conditionalFormatting sqref="I20:J21 I30:J30">
    <cfRule type="expression" dxfId="973" priority="233">
      <formula>$D$9="By sector"</formula>
    </cfRule>
    <cfRule type="expression" dxfId="972" priority="236">
      <formula>$D$9="By sub-asset class"</formula>
    </cfRule>
  </conditionalFormatting>
  <conditionalFormatting sqref="I20:J34">
    <cfRule type="expression" dxfId="971" priority="240">
      <formula>$D$9="N/A"</formula>
    </cfRule>
  </conditionalFormatting>
  <conditionalFormatting sqref="I22:J29 I31:J34">
    <cfRule type="expression" dxfId="970" priority="234">
      <formula>$D$9="By sector"</formula>
    </cfRule>
    <cfRule type="expression" dxfId="969" priority="235">
      <formula>$D$9="By sub-asset class"</formula>
    </cfRule>
  </conditionalFormatting>
  <conditionalFormatting sqref="I35:J35">
    <cfRule type="expression" dxfId="968" priority="239">
      <formula>$D$10="All of segment"</formula>
    </cfRule>
    <cfRule type="expression" dxfId="967" priority="251">
      <formula>$D$10="By sub-asset class"</formula>
    </cfRule>
  </conditionalFormatting>
  <conditionalFormatting sqref="I35:J41">
    <cfRule type="expression" dxfId="966" priority="252">
      <formula>$D$10="N/A"</formula>
    </cfRule>
  </conditionalFormatting>
  <conditionalFormatting sqref="I36:J41">
    <cfRule type="expression" dxfId="965" priority="249">
      <formula>$D$10="All of segment"</formula>
    </cfRule>
    <cfRule type="expression" dxfId="964" priority="250">
      <formula>$D$10="By sub-asset class"</formula>
    </cfRule>
  </conditionalFormatting>
  <conditionalFormatting sqref="I42:J42">
    <cfRule type="expression" dxfId="963" priority="238">
      <formula>$D$11="All of segment"</formula>
    </cfRule>
    <cfRule type="expression" dxfId="962" priority="247">
      <formula>$D$11="By sub-asset class"</formula>
    </cfRule>
  </conditionalFormatting>
  <conditionalFormatting sqref="I42:J46">
    <cfRule type="expression" dxfId="961" priority="248">
      <formula>$D$11="N/A"</formula>
    </cfRule>
  </conditionalFormatting>
  <conditionalFormatting sqref="I43:J46">
    <cfRule type="expression" dxfId="960" priority="245">
      <formula>$D$11="All of segment"</formula>
    </cfRule>
    <cfRule type="expression" dxfId="959" priority="246">
      <formula>$D$11="By sub-asset class"</formula>
    </cfRule>
  </conditionalFormatting>
  <conditionalFormatting sqref="I47:J47">
    <cfRule type="expression" dxfId="958" priority="237">
      <formula>$D$12="All of segment"</formula>
    </cfRule>
    <cfRule type="expression" dxfId="957" priority="243">
      <formula>$D$12="By sub-asset class"</formula>
    </cfRule>
  </conditionalFormatting>
  <conditionalFormatting sqref="I47:J52">
    <cfRule type="expression" dxfId="956" priority="244">
      <formula>$D$12="N/A"</formula>
    </cfRule>
  </conditionalFormatting>
  <conditionalFormatting sqref="I48:J52">
    <cfRule type="expression" dxfId="955" priority="241">
      <formula>$D$12="All of segment"</formula>
    </cfRule>
    <cfRule type="expression" dxfId="954" priority="242">
      <formula>$D$12="By sub-asset class"</formula>
    </cfRule>
  </conditionalFormatting>
  <conditionalFormatting sqref="I89:J98">
    <cfRule type="expression" dxfId="953" priority="165">
      <formula>$D$78="Climate-alignment only"</formula>
    </cfRule>
  </conditionalFormatting>
  <conditionalFormatting sqref="I89:J103">
    <cfRule type="expression" dxfId="952" priority="166">
      <formula>$D$78="Sector only"</formula>
    </cfRule>
    <cfRule type="expression" dxfId="951" priority="182">
      <formula>$D$78="Both climate-alignment and sector"</formula>
    </cfRule>
    <cfRule type="expression" dxfId="950" priority="183">
      <formula>$D$78="N/A"</formula>
    </cfRule>
  </conditionalFormatting>
  <conditionalFormatting sqref="I91:J98">
    <cfRule type="expression" dxfId="949" priority="139">
      <formula>$G$89&gt;0</formula>
    </cfRule>
  </conditionalFormatting>
  <conditionalFormatting sqref="I99:J103">
    <cfRule type="expression" dxfId="948" priority="164">
      <formula>$D$78="Climate-alignment only"</formula>
    </cfRule>
  </conditionalFormatting>
  <conditionalFormatting sqref="I100:J103">
    <cfRule type="expression" dxfId="947" priority="140">
      <formula>$G$99&gt;0</formula>
    </cfRule>
  </conditionalFormatting>
  <conditionalFormatting sqref="I104:J104">
    <cfRule type="expression" dxfId="946" priority="184">
      <formula>$D$79="Both climate-alignment and sector"</formula>
    </cfRule>
  </conditionalFormatting>
  <conditionalFormatting sqref="I104:J110">
    <cfRule type="expression" dxfId="945" priority="180">
      <formula>$D$79="Sector only"</formula>
    </cfRule>
  </conditionalFormatting>
  <conditionalFormatting sqref="I104:J111">
    <cfRule type="expression" dxfId="944" priority="179">
      <formula>$D$79="Climate-alignment only"</formula>
    </cfRule>
  </conditionalFormatting>
  <conditionalFormatting sqref="I104:J166">
    <cfRule type="expression" dxfId="943" priority="472">
      <formula>$D$79="N/A"</formula>
    </cfRule>
  </conditionalFormatting>
  <conditionalFormatting sqref="I105:J110 M105:M110 G105:G166">
    <cfRule type="expression" dxfId="942" priority="22">
      <formula>$D$79="All of segment"</formula>
    </cfRule>
  </conditionalFormatting>
  <conditionalFormatting sqref="I105:J166">
    <cfRule type="expression" dxfId="941" priority="185">
      <formula>$D$79="Both climate-alignment and sector"</formula>
    </cfRule>
  </conditionalFormatting>
  <conditionalFormatting sqref="I111:J166 G111:G166 M111:N166">
    <cfRule type="expression" dxfId="940" priority="616">
      <formula>$D$79="By sub-asset class"</formula>
    </cfRule>
  </conditionalFormatting>
  <conditionalFormatting sqref="I111:J166 M111:N166">
    <cfRule type="expression" dxfId="939" priority="564">
      <formula>$D$79="All of segment"</formula>
    </cfRule>
  </conditionalFormatting>
  <conditionalFormatting sqref="I111:J166">
    <cfRule type="expression" dxfId="938" priority="181">
      <formula>$D$79="Sector only"</formula>
    </cfRule>
  </conditionalFormatting>
  <conditionalFormatting sqref="I112:J115">
    <cfRule type="expression" dxfId="937" priority="178">
      <formula>$D$79="Climate-alignment only"</formula>
    </cfRule>
  </conditionalFormatting>
  <conditionalFormatting sqref="I137:J140">
    <cfRule type="expression" dxfId="936" priority="162">
      <formula>$G$136&gt;0</formula>
    </cfRule>
  </conditionalFormatting>
  <conditionalFormatting sqref="I142:J145 G142:G145 M142:N145">
    <cfRule type="expression" dxfId="935" priority="473">
      <formula>$G$141&gt;0</formula>
    </cfRule>
  </conditionalFormatting>
  <conditionalFormatting sqref="I142:J145">
    <cfRule type="expression" dxfId="934" priority="163">
      <formula>$G$141&gt;0</formula>
    </cfRule>
  </conditionalFormatting>
  <conditionalFormatting sqref="I148:J155 G148:G155 M148:N155">
    <cfRule type="expression" dxfId="933" priority="520">
      <formula>$G$146&gt;0</formula>
    </cfRule>
  </conditionalFormatting>
  <conditionalFormatting sqref="I148:J155">
    <cfRule type="expression" dxfId="932" priority="174">
      <formula>$G$146&gt;0</formula>
    </cfRule>
  </conditionalFormatting>
  <conditionalFormatting sqref="I157:J160 G157:G160 M157:N160">
    <cfRule type="expression" dxfId="931" priority="562">
      <formula>$G$156&gt;0</formula>
    </cfRule>
  </conditionalFormatting>
  <conditionalFormatting sqref="I157:J160">
    <cfRule type="expression" dxfId="930" priority="175">
      <formula>$G$156&gt;0</formula>
    </cfRule>
  </conditionalFormatting>
  <conditionalFormatting sqref="I162:J166 G162:G166 M162:N166">
    <cfRule type="expression" dxfId="929" priority="563">
      <formula>$G$161&gt;0</formula>
    </cfRule>
  </conditionalFormatting>
  <conditionalFormatting sqref="I162:J166">
    <cfRule type="expression" dxfId="928" priority="176">
      <formula>$G$161&gt;0</formula>
    </cfRule>
  </conditionalFormatting>
  <conditionalFormatting sqref="I167:J167 G167 M167">
    <cfRule type="expression" dxfId="927" priority="611">
      <formula>$D$80="All of segment"</formula>
    </cfRule>
  </conditionalFormatting>
  <conditionalFormatting sqref="I167:J167">
    <cfRule type="expression" dxfId="926" priority="169">
      <formula>$D$80="All of segment"</formula>
    </cfRule>
    <cfRule type="expression" dxfId="925" priority="172">
      <formula>$D$80="By sub-asset class"</formula>
    </cfRule>
  </conditionalFormatting>
  <conditionalFormatting sqref="I167:J171">
    <cfRule type="expression" dxfId="924" priority="173">
      <formula>$D$80="N/A"</formula>
    </cfRule>
  </conditionalFormatting>
  <conditionalFormatting sqref="I168:J171 G168:G171 M168:M171">
    <cfRule type="expression" dxfId="923" priority="612">
      <formula>$D$80="All of segment"</formula>
    </cfRule>
  </conditionalFormatting>
  <conditionalFormatting sqref="I168:J171">
    <cfRule type="expression" dxfId="922" priority="170">
      <formula>$D$80="All of segment"</formula>
    </cfRule>
    <cfRule type="expression" dxfId="921" priority="171">
      <formula>$D$80="By sub-asset class"</formula>
    </cfRule>
  </conditionalFormatting>
  <conditionalFormatting sqref="I172:J172">
    <cfRule type="expression" dxfId="920" priority="167">
      <formula>$D$81="Both climate-alignment and sector"</formula>
    </cfRule>
  </conditionalFormatting>
  <conditionalFormatting sqref="I172:J177">
    <cfRule type="expression" dxfId="919" priority="153">
      <formula>$D$81="Climate-alignment only"</formula>
    </cfRule>
    <cfRule type="expression" dxfId="918" priority="156">
      <formula>$D$81="Sector only"</formula>
    </cfRule>
  </conditionalFormatting>
  <conditionalFormatting sqref="I173:J177 M173:M177 G173:G238">
    <cfRule type="expression" dxfId="917" priority="12">
      <formula>$D$81="All of segment"</formula>
    </cfRule>
  </conditionalFormatting>
  <conditionalFormatting sqref="I173:J177">
    <cfRule type="expression" dxfId="916" priority="141">
      <formula>$G$172&gt;0</formula>
    </cfRule>
  </conditionalFormatting>
  <conditionalFormatting sqref="I178:J234">
    <cfRule type="expression" dxfId="915" priority="155">
      <formula>$D$81="Sector only"</formula>
    </cfRule>
  </conditionalFormatting>
  <conditionalFormatting sqref="I178:J238 N178:N234 G178:G238 M186:M238">
    <cfRule type="expression" dxfId="914" priority="321">
      <formula>$D$81="By sub-asset class"</formula>
    </cfRule>
  </conditionalFormatting>
  <conditionalFormatting sqref="I178:J238 N178:N234 M186:M238">
    <cfRule type="expression" dxfId="913" priority="301">
      <formula>$D$81="All of segment"</formula>
    </cfRule>
  </conditionalFormatting>
  <conditionalFormatting sqref="I187:J189">
    <cfRule type="expression" dxfId="912" priority="395">
      <formula>$D$81="Climate-alignment only"</formula>
    </cfRule>
  </conditionalFormatting>
  <conditionalFormatting sqref="I196:J201">
    <cfRule type="expression" dxfId="911" priority="145">
      <formula>$G$194&gt;0</formula>
    </cfRule>
  </conditionalFormatting>
  <conditionalFormatting sqref="I204:J209 G204:G209 M204:N209">
    <cfRule type="expression" dxfId="910" priority="157">
      <formula>$G$202&gt;0</formula>
    </cfRule>
  </conditionalFormatting>
  <conditionalFormatting sqref="I204:J209">
    <cfRule type="expression" dxfId="909" priority="146">
      <formula>$G$202&gt;0</formula>
    </cfRule>
  </conditionalFormatting>
  <conditionalFormatting sqref="I211:J212 G211:G212 M211:N212">
    <cfRule type="expression" dxfId="908" priority="168">
      <formula>$G$210&gt;0</formula>
    </cfRule>
  </conditionalFormatting>
  <conditionalFormatting sqref="I211:J212">
    <cfRule type="expression" dxfId="907" priority="147">
      <formula>$G$210&gt;0</formula>
    </cfRule>
  </conditionalFormatting>
  <conditionalFormatting sqref="I214:J216 G214:G216 M214:N216">
    <cfRule type="expression" dxfId="906" priority="275">
      <formula>$G$213&gt;0</formula>
    </cfRule>
  </conditionalFormatting>
  <conditionalFormatting sqref="I214:J216">
    <cfRule type="expression" dxfId="905" priority="148">
      <formula>$G$213&gt;0</formula>
    </cfRule>
  </conditionalFormatting>
  <conditionalFormatting sqref="I219:J224 G219:G224 M219:N224">
    <cfRule type="expression" dxfId="904" priority="278">
      <formula>$G$217&gt;0</formula>
    </cfRule>
  </conditionalFormatting>
  <conditionalFormatting sqref="I219:J224">
    <cfRule type="expression" dxfId="903" priority="149">
      <formula>$G$217&gt;0</formula>
    </cfRule>
  </conditionalFormatting>
  <conditionalFormatting sqref="I226:J228 G226:G228 M226:N228">
    <cfRule type="expression" dxfId="902" priority="279">
      <formula>$G$225&gt;0</formula>
    </cfRule>
  </conditionalFormatting>
  <conditionalFormatting sqref="I226:J228">
    <cfRule type="expression" dxfId="901" priority="150">
      <formula>$G$225&gt;0</formula>
    </cfRule>
  </conditionalFormatting>
  <conditionalFormatting sqref="I230:J234 G230:G234 M230:N234">
    <cfRule type="expression" dxfId="900" priority="280">
      <formula>$G$229&gt;0</formula>
    </cfRule>
  </conditionalFormatting>
  <conditionalFormatting sqref="I230:J234">
    <cfRule type="expression" dxfId="899" priority="151">
      <formula>$G$229&gt;0</formula>
    </cfRule>
  </conditionalFormatting>
  <conditionalFormatting sqref="I236:J238">
    <cfRule type="expression" dxfId="898" priority="152">
      <formula>$G$235&gt;0</formula>
    </cfRule>
  </conditionalFormatting>
  <conditionalFormatting sqref="M99:M103">
    <cfRule type="expression" dxfId="897" priority="625">
      <formula>$D$78="Sector only"</formula>
    </cfRule>
  </conditionalFormatting>
  <conditionalFormatting sqref="M172:M177">
    <cfRule type="expression" dxfId="896" priority="608">
      <formula>$D$81="N/A"</formula>
    </cfRule>
  </conditionalFormatting>
  <conditionalFormatting sqref="M173:M177">
    <cfRule type="expression" dxfId="895" priority="423">
      <formula>$D$81="Both climate-alignment and sector"</formula>
    </cfRule>
  </conditionalFormatting>
  <conditionalFormatting sqref="M99:N103 N89:N98 G89:G103">
    <cfRule type="expression" dxfId="894" priority="643">
      <formula>$D$78="Both climate-alignment and sector"</formula>
    </cfRule>
  </conditionalFormatting>
  <conditionalFormatting sqref="N111:N166 G112:G115 M112:M115 G118:G125 I118:J125 M118:M125 G128:G135 I128:J135 M128:M135 G137:G140 I137:J140 M137:M140 G142:G145 I142:J145 M142:M145 G148:G155 I148:J155 M148:M155 G157:G160 I157:J160 M157:M160 G162:G166 I162:J166 M162:M166">
    <cfRule type="expression" dxfId="893" priority="629">
      <formula>$D$79="Climate-alignment only"</formula>
    </cfRule>
  </conditionalFormatting>
  <conditionalFormatting sqref="N178:N234 G178:G238 I178:J238 M186:M238">
    <cfRule type="expression" dxfId="892" priority="344">
      <formula>$D$81="By sector"</formula>
    </cfRule>
  </conditionalFormatting>
  <conditionalFormatting sqref="O20:O52 O89:O238">
    <cfRule type="expression" dxfId="891" priority="59">
      <formula>M20=TRUE</formula>
    </cfRule>
    <cfRule type="expression" dxfId="890" priority="646">
      <formula>N20=TRUE</formula>
    </cfRule>
    <cfRule type="expression" dxfId="889" priority="648">
      <formula>AND(M20=FALSE,N20=FALSE)</formula>
    </cfRule>
  </conditionalFormatting>
  <conditionalFormatting sqref="Q42:Q52">
    <cfRule type="expression" dxfId="888" priority="131">
      <formula>G42&gt;0</formula>
    </cfRule>
  </conditionalFormatting>
  <conditionalFormatting sqref="Q167:Q177 Q186:Q238">
    <cfRule type="expression" dxfId="887" priority="52">
      <formula>G167&gt;0</formula>
    </cfRule>
  </conditionalFormatting>
  <conditionalFormatting sqref="Q254:U255">
    <cfRule type="containsText" dxfId="886" priority="713" operator="containsText" text="OK">
      <formula>NOT(ISERROR(SEARCH("OK",Q254)))</formula>
    </cfRule>
    <cfRule type="containsText" dxfId="885" priority="714" operator="containsText" text="Error">
      <formula>NOT(ISERROR(SEARCH("Error",Q254)))</formula>
    </cfRule>
  </conditionalFormatting>
  <conditionalFormatting sqref="R20:R52">
    <cfRule type="expression" dxfId="884" priority="1">
      <formula>G20&gt;0</formula>
    </cfRule>
  </conditionalFormatting>
  <conditionalFormatting sqref="R89:R177">
    <cfRule type="expression" dxfId="883" priority="5">
      <formula>G89&gt;0</formula>
    </cfRule>
  </conditionalFormatting>
  <conditionalFormatting sqref="R186:R238">
    <cfRule type="expression" dxfId="882" priority="53">
      <formula>G186&gt;0</formula>
    </cfRule>
  </conditionalFormatting>
  <conditionalFormatting sqref="S20:S52">
    <cfRule type="expression" dxfId="881" priority="2">
      <formula>G20&gt;0</formula>
    </cfRule>
  </conditionalFormatting>
  <conditionalFormatting sqref="S89:S177">
    <cfRule type="expression" dxfId="880" priority="6">
      <formula>G89&gt;0</formula>
    </cfRule>
  </conditionalFormatting>
  <conditionalFormatting sqref="S186:S238">
    <cfRule type="expression" dxfId="879" priority="408">
      <formula>G186&gt;0</formula>
    </cfRule>
  </conditionalFormatting>
  <conditionalFormatting sqref="T20:T29">
    <cfRule type="expression" dxfId="878" priority="3">
      <formula>G20&gt;0</formula>
    </cfRule>
  </conditionalFormatting>
  <conditionalFormatting sqref="T30:T52">
    <cfRule type="expression" dxfId="877" priority="134" stopIfTrue="1">
      <formula>G30&gt;0</formula>
    </cfRule>
  </conditionalFormatting>
  <conditionalFormatting sqref="T89:T177">
    <cfRule type="expression" dxfId="876" priority="7">
      <formula>G89&gt;0</formula>
    </cfRule>
  </conditionalFormatting>
  <conditionalFormatting sqref="T186:T238">
    <cfRule type="expression" dxfId="875" priority="418">
      <formula>G186&gt;0</formula>
    </cfRule>
  </conditionalFormatting>
  <conditionalFormatting sqref="U20:U29">
    <cfRule type="expression" dxfId="874" priority="4">
      <formula>G20&gt;0</formula>
    </cfRule>
  </conditionalFormatting>
  <conditionalFormatting sqref="U30:U52">
    <cfRule type="expression" dxfId="873" priority="135" stopIfTrue="1">
      <formula>G30&gt;0</formula>
    </cfRule>
  </conditionalFormatting>
  <conditionalFormatting sqref="U89:U98">
    <cfRule type="expression" dxfId="872" priority="8">
      <formula>G89&gt;0</formula>
    </cfRule>
  </conditionalFormatting>
  <conditionalFormatting sqref="U99:U177 U186:U238">
    <cfRule type="expression" dxfId="871" priority="420" stopIfTrue="1">
      <formula>G99&gt;0</formula>
    </cfRule>
  </conditionalFormatting>
  <conditionalFormatting sqref="W30:W52">
    <cfRule type="expression" dxfId="870" priority="48">
      <formula>M30=TRUE</formula>
    </cfRule>
    <cfRule type="expression" dxfId="869" priority="49">
      <formula>M30=FALSE</formula>
    </cfRule>
  </conditionalFormatting>
  <conditionalFormatting sqref="W99:W177 W186:W238">
    <cfRule type="expression" dxfId="868" priority="44">
      <formula>M99=TRUE</formula>
    </cfRule>
    <cfRule type="expression" dxfId="867" priority="45">
      <formula>M99=FALSE</formula>
    </cfRule>
  </conditionalFormatting>
  <conditionalFormatting sqref="Z20:Z34 Z89:Z103 Z111:Z166 Z178:Z234">
    <cfRule type="expression" dxfId="866" priority="42">
      <formula>N20=TRUE</formula>
    </cfRule>
    <cfRule type="expression" dxfId="865" priority="43">
      <formula>N20=FALSE</formula>
    </cfRule>
  </conditionalFormatting>
  <conditionalFormatting sqref="AA20:AA34 AA89:AA103 AA111:AA166 AA178:AA234">
    <cfRule type="expression" dxfId="864" priority="683">
      <formula>N20=TRUE</formula>
    </cfRule>
    <cfRule type="expression" dxfId="863" priority="684">
      <formula>N20=FALSE</formula>
    </cfRule>
  </conditionalFormatting>
  <conditionalFormatting sqref="AC30:AC34 AC99:AC103 AC111:AC166 AC186:AC234">
    <cfRule type="expression" dxfId="862" priority="39">
      <formula>AND(M30=TRUE,N30=TRUE)</formula>
    </cfRule>
    <cfRule type="expression" dxfId="861" priority="41">
      <formula>N30=FALSE</formula>
    </cfRule>
  </conditionalFormatting>
  <conditionalFormatting sqref="AC116:AC135 AC146:AC155 AC194:AC209 AC217:AC224">
    <cfRule type="expression" dxfId="860" priority="37">
      <formula>AND(M116=TRUE,N117=TRUE)</formula>
    </cfRule>
  </conditionalFormatting>
  <conditionalFormatting sqref="AC30:AD34 AC99:AD103 AC111:AC166 AC186:AC234">
    <cfRule type="expression" dxfId="859" priority="40">
      <formula>M30=FALSE</formula>
    </cfRule>
  </conditionalFormatting>
  <conditionalFormatting sqref="AC120:AD120">
    <cfRule type="expression" dxfId="858" priority="537">
      <formula>AND(M120=TRUE,N120=TRUE)</formula>
    </cfRule>
    <cfRule type="expression" dxfId="857" priority="538">
      <formula>M120=FALSE</formula>
    </cfRule>
    <cfRule type="expression" dxfId="856" priority="539">
      <formula>N120=FALSE</formula>
    </cfRule>
  </conditionalFormatting>
  <conditionalFormatting sqref="AC122:AD122">
    <cfRule type="expression" dxfId="855" priority="534">
      <formula>AND(M122=TRUE,N122=TRUE)</formula>
    </cfRule>
    <cfRule type="expression" dxfId="854" priority="535">
      <formula>M122=FALSE</formula>
    </cfRule>
    <cfRule type="expression" dxfId="853" priority="536">
      <formula>N122=FALSE</formula>
    </cfRule>
  </conditionalFormatting>
  <conditionalFormatting sqref="AC130:AD130">
    <cfRule type="expression" dxfId="852" priority="489">
      <formula>AND(M130=TRUE,N130=TRUE)</formula>
    </cfRule>
    <cfRule type="expression" dxfId="851" priority="490">
      <formula>M130=FALSE</formula>
    </cfRule>
    <cfRule type="expression" dxfId="850" priority="491">
      <formula>N130=FALSE</formula>
    </cfRule>
  </conditionalFormatting>
  <conditionalFormatting sqref="AC132:AD132">
    <cfRule type="expression" dxfId="849" priority="486">
      <formula>AND(M132=TRUE,N132=TRUE)</formula>
    </cfRule>
    <cfRule type="expression" dxfId="848" priority="487">
      <formula>M132=FALSE</formula>
    </cfRule>
    <cfRule type="expression" dxfId="847" priority="488">
      <formula>N132=FALSE</formula>
    </cfRule>
  </conditionalFormatting>
  <conditionalFormatting sqref="AC150:AD150">
    <cfRule type="expression" dxfId="846" priority="447">
      <formula>AND(M150=TRUE,N150=TRUE)</formula>
    </cfRule>
    <cfRule type="expression" dxfId="845" priority="448">
      <formula>M150=FALSE</formula>
    </cfRule>
    <cfRule type="expression" dxfId="844" priority="449">
      <formula>N150=FALSE</formula>
    </cfRule>
  </conditionalFormatting>
  <conditionalFormatting sqref="AC152:AD152">
    <cfRule type="expression" dxfId="843" priority="444">
      <formula>AND(M152=TRUE,N152=TRUE)</formula>
    </cfRule>
    <cfRule type="expression" dxfId="842" priority="445">
      <formula>M152=FALSE</formula>
    </cfRule>
    <cfRule type="expression" dxfId="841" priority="446">
      <formula>N152=FALSE</formula>
    </cfRule>
  </conditionalFormatting>
  <conditionalFormatting sqref="AC198:AD198">
    <cfRule type="expression" dxfId="840" priority="337">
      <formula>AND(M198=TRUE,N198=TRUE)</formula>
    </cfRule>
    <cfRule type="expression" dxfId="839" priority="338">
      <formula>M198=FALSE</formula>
    </cfRule>
    <cfRule type="expression" dxfId="838" priority="339">
      <formula>N198=FALSE</formula>
    </cfRule>
  </conditionalFormatting>
  <conditionalFormatting sqref="AC200:AD200">
    <cfRule type="expression" dxfId="837" priority="413">
      <formula>AND(M200=TRUE,N200=TRUE)</formula>
    </cfRule>
    <cfRule type="expression" dxfId="836" priority="414">
      <formula>M200=FALSE</formula>
    </cfRule>
    <cfRule type="expression" dxfId="835" priority="415">
      <formula>N200=FALSE</formula>
    </cfRule>
  </conditionalFormatting>
  <conditionalFormatting sqref="AC206:AD206">
    <cfRule type="expression" dxfId="834" priority="316">
      <formula>AND(M206=TRUE,N206=TRUE)</formula>
    </cfRule>
    <cfRule type="expression" dxfId="833" priority="317">
      <formula>M206=FALSE</formula>
    </cfRule>
    <cfRule type="expression" dxfId="832" priority="318">
      <formula>N206=FALSE</formula>
    </cfRule>
  </conditionalFormatting>
  <conditionalFormatting sqref="AC221:AD221">
    <cfRule type="expression" dxfId="831" priority="293">
      <formula>AND(M221=TRUE,N221=TRUE)</formula>
    </cfRule>
    <cfRule type="expression" dxfId="830" priority="294">
      <formula>M221=FALSE</formula>
    </cfRule>
    <cfRule type="expression" dxfId="829" priority="295">
      <formula>N221=FALSE</formula>
    </cfRule>
  </conditionalFormatting>
  <conditionalFormatting sqref="AC223:AD223">
    <cfRule type="expression" dxfId="828" priority="390">
      <formula>AND(M223=TRUE,N223=TRUE)</formula>
    </cfRule>
    <cfRule type="expression" dxfId="827" priority="391">
      <formula>M223=FALSE</formula>
    </cfRule>
    <cfRule type="expression" dxfId="826" priority="392">
      <formula>N223=FALSE</formula>
    </cfRule>
  </conditionalFormatting>
  <conditionalFormatting sqref="AD30:AD34 AD99:AD103 AD111:AD166 AD186:AD234">
    <cfRule type="expression" dxfId="825" priority="38" stopIfTrue="1">
      <formula>AND(M30=TRUE,N30=TRUE)</formula>
    </cfRule>
  </conditionalFormatting>
  <conditionalFormatting sqref="AD111:AD166 AD186:AD234 AD30:AD34 AD99:AD103">
    <cfRule type="expression" dxfId="824" priority="681">
      <formula>M30=FALSE</formula>
    </cfRule>
  </conditionalFormatting>
  <conditionalFormatting sqref="AD111:AD166 AD186:AD234">
    <cfRule type="expression" dxfId="823" priority="682">
      <formula>N111=FALSE</formula>
    </cfRule>
  </conditionalFormatting>
  <conditionalFormatting sqref="AD116:AD135 AD146:AD155 AD194:AD209 AD217:AD224">
    <cfRule type="expression" dxfId="822" priority="680">
      <formula>AND(M116=TRUE,N117=TRUE)</formula>
    </cfRule>
  </conditionalFormatting>
  <conditionalFormatting sqref="AF20:AG46 AF89:AG171">
    <cfRule type="containsText" dxfId="821" priority="685" operator="containsText" text="Review">
      <formula>NOT(ISERROR(SEARCH("Review",AF20)))</formula>
    </cfRule>
    <cfRule type="expression" dxfId="820" priority="686">
      <formula>AF20="OK"</formula>
    </cfRule>
  </conditionalFormatting>
  <conditionalFormatting sqref="AF24:AG24 AF26:AG26">
    <cfRule type="containsText" dxfId="819" priority="583" operator="containsText" text="Review">
      <formula>NOT(ISERROR(SEARCH("Review",AF24)))</formula>
    </cfRule>
    <cfRule type="expression" dxfId="818" priority="584">
      <formula>AF24="OK"</formula>
    </cfRule>
  </conditionalFormatting>
  <conditionalFormatting sqref="AF93:AG93">
    <cfRule type="containsText" dxfId="817" priority="568" operator="containsText" text="Review">
      <formula>NOT(ISERROR(SEARCH("Review",AF93)))</formula>
    </cfRule>
    <cfRule type="expression" dxfId="816" priority="569">
      <formula>AF93="OK"</formula>
    </cfRule>
  </conditionalFormatting>
  <conditionalFormatting sqref="AF95:AG95">
    <cfRule type="containsText" dxfId="815" priority="566" operator="containsText" text="Review">
      <formula>NOT(ISERROR(SEARCH("Review",AF95)))</formula>
    </cfRule>
    <cfRule type="expression" dxfId="814" priority="567">
      <formula>AF95="OK"</formula>
    </cfRule>
  </conditionalFormatting>
  <conditionalFormatting sqref="AF120:AG120">
    <cfRule type="containsText" dxfId="813" priority="532" operator="containsText" text="Review">
      <formula>NOT(ISERROR(SEARCH("Review",AF120)))</formula>
    </cfRule>
    <cfRule type="expression" dxfId="812" priority="533">
      <formula>AF120="OK"</formula>
    </cfRule>
  </conditionalFormatting>
  <conditionalFormatting sqref="AF122:AG122">
    <cfRule type="containsText" dxfId="811" priority="530" operator="containsText" text="Review">
      <formula>NOT(ISERROR(SEARCH("Review",AF122)))</formula>
    </cfRule>
    <cfRule type="expression" dxfId="810" priority="531">
      <formula>AF122="OK"</formula>
    </cfRule>
  </conditionalFormatting>
  <conditionalFormatting sqref="AF130:AG130">
    <cfRule type="containsText" dxfId="809" priority="484" operator="containsText" text="Review">
      <formula>NOT(ISERROR(SEARCH("Review",AF130)))</formula>
    </cfRule>
    <cfRule type="expression" dxfId="808" priority="485">
      <formula>AF130="OK"</formula>
    </cfRule>
  </conditionalFormatting>
  <conditionalFormatting sqref="AF132:AG132">
    <cfRule type="containsText" dxfId="807" priority="482" operator="containsText" text="Review">
      <formula>NOT(ISERROR(SEARCH("Review",AF132)))</formula>
    </cfRule>
    <cfRule type="expression" dxfId="806" priority="483">
      <formula>AF132="OK"</formula>
    </cfRule>
  </conditionalFormatting>
  <conditionalFormatting sqref="AF150:AG150">
    <cfRule type="containsText" dxfId="805" priority="442" operator="containsText" text="Review">
      <formula>NOT(ISERROR(SEARCH("Review",AF150)))</formula>
    </cfRule>
    <cfRule type="expression" dxfId="804" priority="443">
      <formula>AF150="OK"</formula>
    </cfRule>
  </conditionalFormatting>
  <conditionalFormatting sqref="AF152:AG152">
    <cfRule type="containsText" dxfId="803" priority="440" operator="containsText" text="Review">
      <formula>NOT(ISERROR(SEARCH("Review",AF152)))</formula>
    </cfRule>
    <cfRule type="expression" dxfId="802" priority="441">
      <formula>AF152="OK"</formula>
    </cfRule>
  </conditionalFormatting>
  <dataValidations count="5">
    <dataValidation type="list" allowBlank="1" showInputMessage="1" showErrorMessage="1" sqref="Y153 Y147 Y218 Y149 Y151 Y155 Y224 Y220 Y222" xr:uid="{00000000-0002-0000-0500-000000000000}">
      <formula1>"tCO2e/ MWh,% zero carbon generation"</formula1>
    </dataValidation>
    <dataValidation type="list" allowBlank="1" showInputMessage="1" showErrorMessage="1" sqref="D10:E12 D80:E80" xr:uid="{00000000-0002-0000-0500-000001000000}">
      <formula1>"All of segment, By sub-asset class, N/A"</formula1>
    </dataValidation>
    <dataValidation type="list" allowBlank="1" showInputMessage="1" showErrorMessage="1" sqref="D9:E9" xr:uid="{00000000-0002-0000-0500-000002000000}">
      <formula1>"By sector, By sub-asset class, N/A"</formula1>
    </dataValidation>
    <dataValidation type="list" allowBlank="1" showInputMessage="1" showErrorMessage="1" sqref="D79:E79 D81:E81" xr:uid="{00000000-0002-0000-0500-000003000000}">
      <formula1>"All of segment,By sub-asset class, By sector,N/A"</formula1>
    </dataValidation>
    <dataValidation type="list" allowBlank="1" showInputMessage="1" showErrorMessage="1" sqref="D78:E78" xr:uid="{00000000-0002-0000-0500-000004000000}">
      <formula1>"By sector,By sub-asset class,N/A"</formula1>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3289B7"/>
    <outlinePr summaryBelow="0" summaryRight="0"/>
  </sheetPr>
  <dimension ref="A1:AV169"/>
  <sheetViews>
    <sheetView zoomScale="80" zoomScaleNormal="80" workbookViewId="0">
      <selection activeCell="D9" sqref="D9:E9"/>
    </sheetView>
  </sheetViews>
  <sheetFormatPr baseColWidth="10" defaultColWidth="0" defaultRowHeight="14" zeroHeight="1" outlineLevelRow="3"/>
  <cols>
    <col min="1" max="1" width="15.5" style="12" customWidth="1"/>
    <col min="2" max="11" width="15.5" style="399" customWidth="1"/>
    <col min="12" max="12" width="4.6640625" style="347" customWidth="1"/>
    <col min="13" max="15" width="17.5" style="399" customWidth="1"/>
    <col min="16" max="16" width="2.6640625" style="347" customWidth="1"/>
    <col min="17" max="17" width="14.33203125" style="399" bestFit="1" customWidth="1"/>
    <col min="18" max="18" width="12.83203125" style="399" bestFit="1" customWidth="1"/>
    <col min="19" max="19" width="13.5" style="399" bestFit="1" customWidth="1"/>
    <col min="20" max="20" width="10.83203125" style="399" bestFit="1" customWidth="1"/>
    <col min="21" max="21" width="14.6640625" style="399" bestFit="1" customWidth="1"/>
    <col min="22" max="22" width="18.6640625" style="399" bestFit="1" customWidth="1"/>
    <col min="23" max="23" width="18.6640625" style="399" customWidth="1"/>
    <col min="24" max="24" width="2" style="347" customWidth="1"/>
    <col min="25" max="25" width="21.6640625" style="347" bestFit="1" customWidth="1"/>
    <col min="26" max="26" width="15.1640625" style="399" bestFit="1" customWidth="1"/>
    <col min="27" max="27" width="15.1640625" style="399" customWidth="1"/>
    <col min="28" max="28" width="2.6640625" style="400" customWidth="1"/>
    <col min="29" max="29" width="21" style="399" bestFit="1" customWidth="1"/>
    <col min="30" max="30" width="21" style="399" customWidth="1"/>
    <col min="31" max="31" width="5" style="347" customWidth="1"/>
    <col min="32" max="33" width="20.5" style="347" customWidth="1"/>
    <col min="34" max="34" width="24.5" style="347" customWidth="1"/>
    <col min="35" max="35" width="18" style="348" hidden="1" customWidth="1"/>
    <col min="36" max="36" width="23.5" style="348" hidden="1" customWidth="1"/>
    <col min="37" max="37" width="24.5" style="348" hidden="1" customWidth="1"/>
    <col min="38" max="38" width="37.83203125" style="348" hidden="1" customWidth="1"/>
    <col min="39" max="41" width="14.5" style="348" hidden="1" customWidth="1"/>
    <col min="42" max="42" width="17.5" style="348" hidden="1" customWidth="1"/>
    <col min="43" max="43" width="18.33203125" style="348" hidden="1" customWidth="1"/>
    <col min="44" max="44" width="21.5" style="348" hidden="1" customWidth="1"/>
    <col min="45" max="47" width="14.5" style="348" hidden="1" customWidth="1"/>
    <col min="48" max="48" width="10.6640625" style="348" hidden="1" customWidth="1"/>
    <col min="49" max="16384" width="14.5" style="348" hidden="1"/>
  </cols>
  <sheetData>
    <row r="1" spans="1:35" s="404" customFormat="1" ht="34.25" customHeight="1">
      <c r="A1" s="692" t="s">
        <v>78</v>
      </c>
      <c r="B1" s="692"/>
      <c r="C1" s="692"/>
      <c r="D1" s="692"/>
      <c r="E1" s="692"/>
      <c r="F1" s="692"/>
      <c r="G1" s="692"/>
      <c r="H1" s="692"/>
      <c r="I1" s="692"/>
      <c r="J1" s="692"/>
      <c r="K1" s="692"/>
      <c r="L1" s="692"/>
      <c r="M1" s="344"/>
      <c r="N1" s="345"/>
      <c r="O1" s="345"/>
      <c r="P1" s="344"/>
      <c r="Q1" s="345"/>
      <c r="R1" s="345"/>
      <c r="S1" s="345"/>
      <c r="T1" s="345"/>
      <c r="U1" s="345"/>
      <c r="V1" s="345"/>
      <c r="W1" s="345"/>
      <c r="X1" s="344"/>
      <c r="Y1" s="344"/>
      <c r="Z1" s="345"/>
      <c r="AA1" s="345"/>
      <c r="AB1" s="344"/>
      <c r="AC1" s="345"/>
      <c r="AD1" s="345"/>
      <c r="AE1" s="344"/>
      <c r="AF1" s="344"/>
      <c r="AG1" s="344"/>
      <c r="AH1" s="346"/>
      <c r="AI1" s="403"/>
    </row>
    <row r="2" spans="1:35" ht="91.25" customHeight="1">
      <c r="A2" s="731" t="s">
        <v>793</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547"/>
    </row>
    <row r="3" spans="1:35" ht="34.25" customHeight="1">
      <c r="A3" s="1036" t="s">
        <v>286</v>
      </c>
      <c r="B3" s="1036"/>
      <c r="C3" s="1036"/>
      <c r="D3" s="1036"/>
      <c r="E3" s="1036"/>
      <c r="F3" s="1036"/>
      <c r="G3" s="1036"/>
      <c r="H3" s="1036"/>
      <c r="I3" s="1036"/>
      <c r="J3" s="1036"/>
      <c r="K3" s="1036"/>
      <c r="L3" s="349"/>
      <c r="M3" s="349"/>
      <c r="N3" s="349"/>
      <c r="O3" s="349"/>
      <c r="P3" s="349"/>
      <c r="Q3" s="349"/>
      <c r="R3" s="349"/>
      <c r="S3" s="349"/>
      <c r="T3" s="349"/>
      <c r="U3" s="349"/>
      <c r="V3" s="349"/>
      <c r="W3" s="349"/>
      <c r="X3" s="349"/>
      <c r="Y3" s="349"/>
      <c r="Z3" s="350"/>
      <c r="AA3" s="350"/>
      <c r="AB3" s="351"/>
      <c r="AC3" s="350"/>
      <c r="AD3" s="350"/>
      <c r="AE3" s="351"/>
      <c r="AF3" s="351"/>
      <c r="AG3" s="351"/>
    </row>
    <row r="4" spans="1:35" ht="34.25" customHeight="1">
      <c r="A4" s="852" t="str">
        <f>"Based on Table 1.4 in the Financial Institutions Net-Zero Standard.     Financial metric: "&amp;'Financial activity types '!F11&amp;" in "&amp;'Financial activity types '!C13&amp;"     Base year: "&amp;'Financial activity types '!C7</f>
        <v xml:space="preserve">Based on Table 1.4 in the Financial Institutions Net-Zero Standard.     Financial metric:  in      Base year: </v>
      </c>
      <c r="B4" s="852"/>
      <c r="C4" s="852"/>
      <c r="D4" s="852"/>
      <c r="E4" s="852"/>
      <c r="F4" s="852"/>
      <c r="G4" s="852"/>
      <c r="H4" s="852"/>
      <c r="I4" s="852"/>
      <c r="J4" s="852"/>
      <c r="K4" s="852"/>
      <c r="L4" s="852"/>
      <c r="M4" s="552"/>
      <c r="N4" s="552"/>
      <c r="O4" s="552"/>
      <c r="P4" s="552"/>
      <c r="Q4" s="352"/>
      <c r="R4" s="352"/>
      <c r="S4" s="352"/>
      <c r="T4" s="352"/>
      <c r="U4" s="352"/>
      <c r="V4" s="352"/>
      <c r="W4" s="352"/>
      <c r="X4" s="552"/>
      <c r="Y4" s="552"/>
      <c r="Z4" s="350"/>
      <c r="AA4" s="350"/>
      <c r="AB4" s="351"/>
      <c r="AC4" s="350"/>
      <c r="AD4" s="350"/>
      <c r="AE4" s="351"/>
      <c r="AF4" s="351"/>
      <c r="AG4" s="351"/>
    </row>
    <row r="5" spans="1:35" s="356" customFormat="1">
      <c r="A5" s="12"/>
      <c r="B5" s="12"/>
      <c r="C5" s="12"/>
      <c r="D5" s="12"/>
      <c r="E5" s="12"/>
      <c r="F5" s="12"/>
      <c r="G5" s="12"/>
      <c r="H5" s="12"/>
      <c r="I5" s="12"/>
      <c r="J5" s="12"/>
      <c r="K5" s="12"/>
      <c r="L5" s="353"/>
      <c r="M5" s="12"/>
      <c r="N5" s="12"/>
      <c r="O5" s="12"/>
      <c r="P5" s="353"/>
      <c r="Q5" s="354"/>
      <c r="R5" s="354"/>
      <c r="S5" s="12"/>
      <c r="T5" s="354"/>
      <c r="U5" s="354"/>
      <c r="V5" s="354"/>
      <c r="W5" s="354"/>
      <c r="X5" s="353"/>
      <c r="Y5" s="353"/>
      <c r="Z5" s="12"/>
      <c r="AA5" s="12"/>
      <c r="AB5" s="353"/>
      <c r="AC5" s="12"/>
      <c r="AD5" s="12"/>
      <c r="AE5" s="353"/>
      <c r="AF5" s="353"/>
      <c r="AG5" s="353"/>
      <c r="AH5" s="355"/>
    </row>
    <row r="6" spans="1:35" s="356" customFormat="1" ht="20.25" customHeight="1" collapsed="1">
      <c r="A6" s="793" t="s">
        <v>80</v>
      </c>
      <c r="B6" s="793"/>
      <c r="C6" s="793"/>
      <c r="D6" s="793"/>
      <c r="E6" s="793"/>
      <c r="F6" s="793"/>
      <c r="G6" s="793"/>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552"/>
      <c r="AH6" s="355"/>
    </row>
    <row r="7" spans="1:35" s="356" customFormat="1" ht="46.25" hidden="1" customHeight="1" outlineLevel="1" collapsed="1">
      <c r="A7" s="731" t="s">
        <v>81</v>
      </c>
      <c r="B7" s="731"/>
      <c r="C7" s="731"/>
      <c r="D7" s="731"/>
      <c r="E7" s="731"/>
      <c r="F7" s="731"/>
      <c r="G7" s="731"/>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547"/>
      <c r="AH7" s="355"/>
    </row>
    <row r="8" spans="1:35" s="356" customFormat="1" ht="18" hidden="1" outlineLevel="2">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12"/>
      <c r="AA8" s="12"/>
      <c r="AB8" s="358"/>
      <c r="AC8" s="12"/>
      <c r="AD8" s="12"/>
      <c r="AE8" s="358"/>
      <c r="AF8" s="353"/>
      <c r="AG8" s="353"/>
      <c r="AH8" s="355"/>
    </row>
    <row r="9" spans="1:35" s="356" customFormat="1" ht="53.25" hidden="1" customHeight="1" outlineLevel="2">
      <c r="A9" s="357"/>
      <c r="B9" s="714" t="s">
        <v>82</v>
      </c>
      <c r="C9" s="715"/>
      <c r="D9" s="719"/>
      <c r="E9" s="720"/>
      <c r="F9" s="357"/>
      <c r="G9" s="824" t="s">
        <v>83</v>
      </c>
      <c r="H9" s="825"/>
      <c r="I9" s="825"/>
      <c r="J9" s="825"/>
      <c r="K9" s="825"/>
      <c r="L9" s="825"/>
      <c r="M9" s="825"/>
      <c r="N9" s="357"/>
      <c r="O9" s="357"/>
      <c r="P9" s="357"/>
      <c r="Q9" s="357"/>
      <c r="R9" s="357"/>
      <c r="S9" s="357"/>
      <c r="T9" s="357"/>
      <c r="U9" s="357"/>
      <c r="V9" s="357"/>
      <c r="W9" s="357"/>
      <c r="X9" s="357"/>
      <c r="Y9" s="357"/>
      <c r="Z9" s="12"/>
      <c r="AA9" s="12"/>
      <c r="AB9" s="358"/>
      <c r="AC9" s="12"/>
      <c r="AD9" s="12"/>
      <c r="AE9" s="358"/>
      <c r="AF9" s="353"/>
      <c r="AG9" s="353"/>
      <c r="AH9" s="355"/>
    </row>
    <row r="10" spans="1:35" s="356" customFormat="1" ht="53.25" hidden="1" customHeight="1" outlineLevel="2">
      <c r="A10" s="357"/>
      <c r="B10" s="714" t="s">
        <v>84</v>
      </c>
      <c r="C10" s="715"/>
      <c r="D10" s="719"/>
      <c r="E10" s="720"/>
      <c r="F10" s="357"/>
      <c r="G10" s="825"/>
      <c r="H10" s="825"/>
      <c r="I10" s="825"/>
      <c r="J10" s="825"/>
      <c r="K10" s="825"/>
      <c r="L10" s="825"/>
      <c r="M10" s="825"/>
      <c r="N10" s="357"/>
      <c r="O10" s="357"/>
      <c r="P10" s="357"/>
      <c r="Q10" s="357"/>
      <c r="R10" s="357"/>
      <c r="S10" s="357"/>
      <c r="T10" s="357"/>
      <c r="U10" s="357"/>
      <c r="V10" s="357"/>
      <c r="W10" s="357"/>
      <c r="X10" s="357"/>
      <c r="Y10" s="357"/>
      <c r="Z10" s="12"/>
      <c r="AA10" s="12"/>
      <c r="AB10" s="358"/>
      <c r="AC10" s="12"/>
      <c r="AD10" s="12"/>
      <c r="AE10" s="358"/>
      <c r="AF10" s="353"/>
      <c r="AG10" s="353"/>
      <c r="AH10" s="355"/>
    </row>
    <row r="11" spans="1:35" s="356" customFormat="1" ht="53.25" hidden="1" customHeight="1" outlineLevel="2">
      <c r="A11" s="357"/>
      <c r="B11" s="714" t="s">
        <v>85</v>
      </c>
      <c r="C11" s="715"/>
      <c r="D11" s="719"/>
      <c r="E11" s="720"/>
      <c r="F11" s="357"/>
      <c r="G11" s="825"/>
      <c r="H11" s="825"/>
      <c r="I11" s="825"/>
      <c r="J11" s="825"/>
      <c r="K11" s="825"/>
      <c r="L11" s="825"/>
      <c r="M11" s="825"/>
      <c r="N11" s="357"/>
      <c r="O11" s="357"/>
      <c r="P11" s="357"/>
      <c r="Q11" s="357"/>
      <c r="R11" s="357"/>
      <c r="S11" s="357"/>
      <c r="T11" s="357"/>
      <c r="U11" s="357"/>
      <c r="V11" s="357"/>
      <c r="W11" s="357"/>
      <c r="X11" s="357"/>
      <c r="Y11" s="357"/>
      <c r="Z11" s="12"/>
      <c r="AA11" s="12"/>
      <c r="AB11" s="358"/>
      <c r="AC11" s="12"/>
      <c r="AD11" s="12"/>
      <c r="AE11" s="358"/>
      <c r="AF11" s="353"/>
      <c r="AG11" s="353"/>
      <c r="AH11" s="355"/>
    </row>
    <row r="12" spans="1:35" s="356" customFormat="1" ht="53.25" hidden="1" customHeight="1" outlineLevel="2">
      <c r="A12" s="357"/>
      <c r="B12" s="714" t="s">
        <v>86</v>
      </c>
      <c r="C12" s="715"/>
      <c r="D12" s="719"/>
      <c r="E12" s="720"/>
      <c r="F12" s="357"/>
      <c r="G12" s="825"/>
      <c r="H12" s="825"/>
      <c r="I12" s="825"/>
      <c r="J12" s="825"/>
      <c r="K12" s="825"/>
      <c r="L12" s="825"/>
      <c r="M12" s="825"/>
      <c r="N12" s="357"/>
      <c r="O12" s="357"/>
      <c r="P12" s="357"/>
      <c r="Q12" s="357"/>
      <c r="R12" s="357"/>
      <c r="S12" s="357"/>
      <c r="T12" s="357"/>
      <c r="U12" s="357"/>
      <c r="V12" s="357"/>
      <c r="W12" s="357"/>
      <c r="X12" s="357"/>
      <c r="Y12" s="357"/>
      <c r="Z12" s="12"/>
      <c r="AA12" s="12"/>
      <c r="AB12" s="358"/>
      <c r="AC12" s="12"/>
      <c r="AD12" s="12"/>
      <c r="AE12" s="358"/>
      <c r="AF12" s="353"/>
      <c r="AG12" s="353"/>
      <c r="AH12" s="355"/>
    </row>
    <row r="13" spans="1:35" s="356" customFormat="1" ht="53.25" hidden="1" customHeight="1" outlineLevel="2">
      <c r="A13" s="357"/>
      <c r="B13" s="13"/>
      <c r="C13" s="13"/>
      <c r="D13" s="13"/>
      <c r="E13" s="13"/>
      <c r="F13" s="357"/>
      <c r="G13" s="357"/>
      <c r="H13" s="357"/>
      <c r="I13" s="357"/>
      <c r="J13" s="357"/>
      <c r="K13" s="357"/>
      <c r="L13" s="357"/>
      <c r="M13" s="357"/>
      <c r="N13" s="357"/>
      <c r="O13" s="357"/>
      <c r="P13" s="357"/>
      <c r="Q13" s="357"/>
      <c r="R13" s="357"/>
      <c r="S13" s="357"/>
      <c r="T13" s="357"/>
      <c r="U13" s="357"/>
      <c r="V13" s="357"/>
      <c r="W13" s="357"/>
      <c r="X13" s="357"/>
      <c r="Y13" s="357"/>
      <c r="Z13" s="12"/>
      <c r="AA13" s="12"/>
      <c r="AB13" s="358"/>
      <c r="AC13" s="12"/>
      <c r="AD13" s="12"/>
      <c r="AE13" s="358"/>
      <c r="AF13" s="353"/>
      <c r="AG13" s="353"/>
      <c r="AH13" s="355"/>
    </row>
    <row r="14" spans="1:35" s="356" customFormat="1" ht="26" hidden="1" customHeight="1" outlineLevel="2">
      <c r="A14" s="856" t="s">
        <v>87</v>
      </c>
      <c r="B14" s="857"/>
      <c r="C14" s="857"/>
      <c r="D14" s="857"/>
      <c r="E14" s="857"/>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553"/>
      <c r="AH14" s="355"/>
    </row>
    <row r="15" spans="1:35" s="356" customFormat="1" ht="22.25" hidden="1" customHeight="1" outlineLevel="2">
      <c r="A15" s="359"/>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5"/>
    </row>
    <row r="16" spans="1:35" s="356" customFormat="1" ht="409.25" hidden="1" customHeight="1" outlineLevel="2">
      <c r="A16" s="355"/>
      <c r="B16" s="360"/>
      <c r="C16" s="706" t="s">
        <v>88</v>
      </c>
      <c r="D16" s="706"/>
      <c r="E16" s="706"/>
      <c r="F16" s="706"/>
      <c r="G16" s="706"/>
      <c r="H16" s="706"/>
      <c r="I16" s="706"/>
      <c r="J16" s="706"/>
      <c r="K16" s="706"/>
      <c r="L16" s="17"/>
      <c r="M16" s="706" t="s">
        <v>89</v>
      </c>
      <c r="N16" s="706"/>
      <c r="O16" s="706"/>
      <c r="P16" s="17"/>
      <c r="Q16" s="706" t="s">
        <v>90</v>
      </c>
      <c r="R16" s="706"/>
      <c r="S16" s="706"/>
      <c r="T16" s="706"/>
      <c r="U16" s="706"/>
      <c r="V16" s="706"/>
      <c r="W16" s="706"/>
      <c r="X16" s="17"/>
      <c r="Y16" s="706" t="s">
        <v>91</v>
      </c>
      <c r="Z16" s="706"/>
      <c r="AA16" s="706"/>
      <c r="AB16" s="17"/>
      <c r="AC16" s="706" t="s">
        <v>92</v>
      </c>
      <c r="AD16" s="706"/>
      <c r="AE16" s="17"/>
      <c r="AF16" s="709" t="s">
        <v>93</v>
      </c>
      <c r="AG16" s="706"/>
      <c r="AH16" s="355"/>
    </row>
    <row r="17" spans="1:37" s="356" customFormat="1" hidden="1" outlineLevel="2">
      <c r="A17" s="355"/>
      <c r="B17" s="355"/>
      <c r="C17" s="355"/>
      <c r="D17" s="355"/>
      <c r="E17" s="355"/>
      <c r="F17" s="355"/>
      <c r="G17" s="355"/>
      <c r="H17" s="355"/>
      <c r="I17" s="355"/>
      <c r="J17" s="355"/>
      <c r="K17" s="355"/>
      <c r="L17" s="355"/>
      <c r="M17" s="355"/>
      <c r="N17" s="355"/>
      <c r="O17" s="355"/>
      <c r="P17" s="355"/>
      <c r="Q17" s="355"/>
      <c r="R17" s="355"/>
      <c r="S17" s="355"/>
      <c r="T17" s="355"/>
      <c r="U17" s="355"/>
      <c r="V17" s="355"/>
      <c r="W17" s="355"/>
      <c r="X17" s="355"/>
      <c r="Y17" s="353"/>
      <c r="Z17" s="12"/>
      <c r="AA17" s="12"/>
      <c r="AB17" s="355"/>
      <c r="AC17" s="355"/>
      <c r="AD17" s="355"/>
      <c r="AE17" s="355"/>
      <c r="AF17" s="355"/>
      <c r="AG17" s="355"/>
      <c r="AH17" s="355"/>
    </row>
    <row r="18" spans="1:37" s="356" customFormat="1" ht="16.25" hidden="1" customHeight="1" outlineLevel="2">
      <c r="A18" s="714" t="s">
        <v>94</v>
      </c>
      <c r="B18" s="718"/>
      <c r="C18" s="718"/>
      <c r="D18" s="718"/>
      <c r="E18" s="718"/>
      <c r="F18" s="718"/>
      <c r="G18" s="718"/>
      <c r="H18" s="718"/>
      <c r="I18" s="718"/>
      <c r="J18" s="718"/>
      <c r="K18" s="715"/>
      <c r="L18" s="361"/>
      <c r="M18" s="714" t="s">
        <v>95</v>
      </c>
      <c r="N18" s="718"/>
      <c r="O18" s="715"/>
      <c r="P18" s="13"/>
      <c r="Q18" s="714" t="s">
        <v>96</v>
      </c>
      <c r="R18" s="718"/>
      <c r="S18" s="718"/>
      <c r="T18" s="718"/>
      <c r="U18" s="718"/>
      <c r="V18" s="718"/>
      <c r="W18" s="715"/>
      <c r="X18" s="572"/>
      <c r="Y18" s="714" t="s">
        <v>97</v>
      </c>
      <c r="Z18" s="718"/>
      <c r="AA18" s="715"/>
      <c r="AB18" s="358"/>
      <c r="AC18" s="714" t="s">
        <v>98</v>
      </c>
      <c r="AD18" s="715"/>
      <c r="AE18" s="358"/>
      <c r="AF18" s="716" t="s">
        <v>780</v>
      </c>
      <c r="AG18" s="716" t="s">
        <v>794</v>
      </c>
      <c r="AH18" s="355"/>
      <c r="AK18" s="405"/>
    </row>
    <row r="19" spans="1:37" s="356" customFormat="1" ht="304" hidden="1" customHeight="1" outlineLevel="2">
      <c r="A19" s="798" t="s">
        <v>99</v>
      </c>
      <c r="B19" s="798"/>
      <c r="C19" s="714" t="s">
        <v>100</v>
      </c>
      <c r="D19" s="718"/>
      <c r="E19" s="718"/>
      <c r="F19" s="715"/>
      <c r="G19" s="546" t="s">
        <v>763</v>
      </c>
      <c r="H19" s="546" t="s">
        <v>778</v>
      </c>
      <c r="I19" s="554" t="s">
        <v>764</v>
      </c>
      <c r="J19" s="554" t="s">
        <v>765</v>
      </c>
      <c r="K19" s="554" t="s">
        <v>779</v>
      </c>
      <c r="L19" s="361"/>
      <c r="M19" s="546" t="s">
        <v>768</v>
      </c>
      <c r="N19" s="546" t="s">
        <v>769</v>
      </c>
      <c r="O19" s="554" t="s">
        <v>770</v>
      </c>
      <c r="P19" s="13"/>
      <c r="Q19" s="554" t="s">
        <v>101</v>
      </c>
      <c r="R19" s="554" t="s">
        <v>102</v>
      </c>
      <c r="S19" s="558" t="s">
        <v>103</v>
      </c>
      <c r="T19" s="558" t="s">
        <v>104</v>
      </c>
      <c r="U19" s="554" t="s">
        <v>105</v>
      </c>
      <c r="V19" s="546" t="s">
        <v>106</v>
      </c>
      <c r="W19" s="554" t="s">
        <v>771</v>
      </c>
      <c r="X19" s="573"/>
      <c r="Y19" s="546" t="s">
        <v>107</v>
      </c>
      <c r="Z19" s="546" t="s">
        <v>772</v>
      </c>
      <c r="AA19" s="546" t="s">
        <v>773</v>
      </c>
      <c r="AB19" s="358"/>
      <c r="AC19" s="546" t="s">
        <v>774</v>
      </c>
      <c r="AD19" s="546" t="s">
        <v>775</v>
      </c>
      <c r="AE19" s="358"/>
      <c r="AF19" s="717"/>
      <c r="AG19" s="717"/>
      <c r="AH19" s="355"/>
      <c r="AK19" s="405"/>
    </row>
    <row r="20" spans="1:37" s="356" customFormat="1" ht="19.25" hidden="1" customHeight="1" outlineLevel="2">
      <c r="A20" s="721" t="s">
        <v>109</v>
      </c>
      <c r="B20" s="733" t="s">
        <v>110</v>
      </c>
      <c r="C20" s="756" t="s">
        <v>111</v>
      </c>
      <c r="D20" s="820"/>
      <c r="E20" s="820"/>
      <c r="F20" s="757"/>
      <c r="G20" s="710"/>
      <c r="H20" s="799" t="str">
        <f>IF(G20="","",G20/$G$55)</f>
        <v/>
      </c>
      <c r="I20" s="710"/>
      <c r="J20" s="710"/>
      <c r="K20" s="712" t="str">
        <f>IF(SUM(I20:J21)=0,"",SUM(I20:J21))</f>
        <v/>
      </c>
      <c r="L20" s="362"/>
      <c r="M20" s="796"/>
      <c r="N20" s="401" t="b">
        <v>0</v>
      </c>
      <c r="O20" s="5"/>
      <c r="P20" s="363"/>
      <c r="Q20" s="712"/>
      <c r="R20" s="710"/>
      <c r="S20" s="710"/>
      <c r="T20" s="710"/>
      <c r="U20" s="710"/>
      <c r="V20" s="712">
        <f t="shared" ref="V20:V21" si="0">IF(M20=TRUE,SUM(Q20:U20),0)</f>
        <v>0</v>
      </c>
      <c r="W20" s="712"/>
      <c r="X20" s="362"/>
      <c r="Y20" s="364" t="s">
        <v>112</v>
      </c>
      <c r="Z20" s="5"/>
      <c r="AA20" s="5"/>
      <c r="AB20" s="358"/>
      <c r="AC20" s="712"/>
      <c r="AD20" s="712"/>
      <c r="AE20" s="358"/>
      <c r="AF20" s="712" t="str">
        <f t="shared" ref="AF20:AF24" si="1">IF(G20="","",IF(AND(V20="",Z20="",Z21="",AC20=""),"Missing Info",IF(G20-V20-Z20-Z21+AC20=0,"OK","Review financial exposure")))</f>
        <v/>
      </c>
      <c r="AG20" s="712" t="str">
        <f>IF(K20="","",IF(AND(W20="",AA20="",AA21="",AD20=""),"Missing Info",IF(K20-W20-AA20-AA21+AD20=0,"OK","Review emissions")))</f>
        <v/>
      </c>
      <c r="AH20" s="355"/>
      <c r="AK20" s="107" t="s">
        <v>113</v>
      </c>
    </row>
    <row r="21" spans="1:37" s="356" customFormat="1" ht="17" hidden="1" outlineLevel="2">
      <c r="A21" s="722"/>
      <c r="B21" s="733"/>
      <c r="C21" s="760"/>
      <c r="D21" s="821"/>
      <c r="E21" s="821"/>
      <c r="F21" s="761"/>
      <c r="G21" s="711"/>
      <c r="H21" s="800"/>
      <c r="I21" s="711"/>
      <c r="J21" s="711"/>
      <c r="K21" s="713"/>
      <c r="L21" s="362"/>
      <c r="M21" s="797"/>
      <c r="N21" s="401" t="b">
        <v>0</v>
      </c>
      <c r="O21" s="5"/>
      <c r="P21" s="363"/>
      <c r="Q21" s="713"/>
      <c r="R21" s="711"/>
      <c r="S21" s="711"/>
      <c r="T21" s="711"/>
      <c r="U21" s="711"/>
      <c r="V21" s="713">
        <f t="shared" si="0"/>
        <v>0</v>
      </c>
      <c r="W21" s="713"/>
      <c r="X21" s="362"/>
      <c r="Y21" s="364" t="s">
        <v>114</v>
      </c>
      <c r="Z21" s="5"/>
      <c r="AA21" s="5"/>
      <c r="AB21" s="358"/>
      <c r="AC21" s="713"/>
      <c r="AD21" s="713"/>
      <c r="AE21" s="358"/>
      <c r="AF21" s="713"/>
      <c r="AG21" s="713"/>
      <c r="AH21" s="355"/>
      <c r="AK21" s="107" t="s">
        <v>113</v>
      </c>
    </row>
    <row r="22" spans="1:37" s="356" customFormat="1" ht="66" hidden="1" customHeight="1" outlineLevel="2">
      <c r="A22" s="722"/>
      <c r="B22" s="733"/>
      <c r="C22" s="727" t="s">
        <v>115</v>
      </c>
      <c r="D22" s="728"/>
      <c r="E22" s="764" t="s">
        <v>287</v>
      </c>
      <c r="F22" s="765"/>
      <c r="G22" s="710"/>
      <c r="H22" s="799" t="str">
        <f>IF(G22="","",G22/$G$55)</f>
        <v/>
      </c>
      <c r="I22" s="710"/>
      <c r="J22" s="710"/>
      <c r="K22" s="712" t="str">
        <f>IF(SUM(I22:J23)=0,"",SUM(I22:J23))</f>
        <v/>
      </c>
      <c r="L22" s="362"/>
      <c r="M22" s="796"/>
      <c r="N22" s="401" t="b">
        <v>0</v>
      </c>
      <c r="O22" s="5"/>
      <c r="P22" s="363"/>
      <c r="Q22" s="712"/>
      <c r="R22" s="710"/>
      <c r="S22" s="710"/>
      <c r="T22" s="710"/>
      <c r="U22" s="710"/>
      <c r="V22" s="712">
        <f t="shared" ref="V22:V25" si="2">IF(M22=TRUE,SUM(Q22:U22),0)</f>
        <v>0</v>
      </c>
      <c r="W22" s="712"/>
      <c r="X22" s="362"/>
      <c r="Y22" s="364" t="s">
        <v>112</v>
      </c>
      <c r="Z22" s="5"/>
      <c r="AA22" s="5"/>
      <c r="AB22" s="358"/>
      <c r="AC22" s="712"/>
      <c r="AD22" s="712"/>
      <c r="AE22" s="358"/>
      <c r="AF22" s="712" t="str">
        <f t="shared" si="1"/>
        <v/>
      </c>
      <c r="AG22" s="712" t="str">
        <f>IF(K22="","",IF(AND(W22="",AA22="",AA23="",AD22=""),"Missing Info",IF(K22-W22-AA22-AA23+AD22=0,"OK","Review emissions")))</f>
        <v/>
      </c>
      <c r="AH22" s="355"/>
      <c r="AK22" s="107" t="s">
        <v>113</v>
      </c>
    </row>
    <row r="23" spans="1:37" s="356" customFormat="1" ht="66" hidden="1" customHeight="1" outlineLevel="2">
      <c r="A23" s="722"/>
      <c r="B23" s="733"/>
      <c r="C23" s="822"/>
      <c r="D23" s="823"/>
      <c r="E23" s="766"/>
      <c r="F23" s="767"/>
      <c r="G23" s="711"/>
      <c r="H23" s="800"/>
      <c r="I23" s="711"/>
      <c r="J23" s="711"/>
      <c r="K23" s="713"/>
      <c r="L23" s="362"/>
      <c r="M23" s="797"/>
      <c r="N23" s="401" t="b">
        <v>0</v>
      </c>
      <c r="O23" s="5"/>
      <c r="P23" s="363"/>
      <c r="Q23" s="713"/>
      <c r="R23" s="711"/>
      <c r="S23" s="711"/>
      <c r="T23" s="711"/>
      <c r="U23" s="711"/>
      <c r="V23" s="713">
        <f t="shared" si="2"/>
        <v>0</v>
      </c>
      <c r="W23" s="713"/>
      <c r="X23" s="362"/>
      <c r="Y23" s="364" t="s">
        <v>114</v>
      </c>
      <c r="Z23" s="5"/>
      <c r="AA23" s="5"/>
      <c r="AB23" s="358"/>
      <c r="AC23" s="713"/>
      <c r="AD23" s="713"/>
      <c r="AE23" s="358"/>
      <c r="AF23" s="713"/>
      <c r="AG23" s="713"/>
      <c r="AH23" s="355"/>
      <c r="AK23" s="107" t="s">
        <v>113</v>
      </c>
    </row>
    <row r="24" spans="1:37" s="356" customFormat="1" ht="33" hidden="1" customHeight="1" outlineLevel="2">
      <c r="A24" s="722"/>
      <c r="B24" s="733"/>
      <c r="C24" s="822"/>
      <c r="D24" s="823"/>
      <c r="E24" s="782" t="s">
        <v>117</v>
      </c>
      <c r="F24" s="765"/>
      <c r="G24" s="710"/>
      <c r="H24" s="799" t="str">
        <f>IF(G24="","",G24/$G$55)</f>
        <v/>
      </c>
      <c r="I24" s="710"/>
      <c r="J24" s="710"/>
      <c r="K24" s="712" t="str">
        <f>IF(SUM(I24:J25)=0,"",SUM(I24:J25))</f>
        <v/>
      </c>
      <c r="L24" s="362"/>
      <c r="M24" s="796"/>
      <c r="N24" s="401" t="b">
        <v>0</v>
      </c>
      <c r="O24" s="5"/>
      <c r="P24" s="363"/>
      <c r="Q24" s="712"/>
      <c r="R24" s="710"/>
      <c r="S24" s="710"/>
      <c r="T24" s="710"/>
      <c r="U24" s="710"/>
      <c r="V24" s="712">
        <f t="shared" si="2"/>
        <v>0</v>
      </c>
      <c r="W24" s="712"/>
      <c r="X24" s="362"/>
      <c r="Y24" s="364" t="s">
        <v>112</v>
      </c>
      <c r="Z24" s="5"/>
      <c r="AA24" s="5"/>
      <c r="AB24" s="358"/>
      <c r="AC24" s="712"/>
      <c r="AD24" s="712"/>
      <c r="AE24" s="358"/>
      <c r="AF24" s="712" t="str">
        <f t="shared" si="1"/>
        <v/>
      </c>
      <c r="AG24" s="712" t="str">
        <f>IF(K24="","",IF(AND(W24="",AA24="",AA25="",AD24=""),"Missing Info",IF(K24-W24-AA24-AA25+AD24=0,"OK","Review emissions")))</f>
        <v/>
      </c>
      <c r="AH24" s="355"/>
      <c r="AK24" s="107" t="s">
        <v>113</v>
      </c>
    </row>
    <row r="25" spans="1:37" s="356" customFormat="1" ht="33" hidden="1" customHeight="1" outlineLevel="2">
      <c r="A25" s="723"/>
      <c r="B25" s="733"/>
      <c r="C25" s="729"/>
      <c r="D25" s="730"/>
      <c r="E25" s="783"/>
      <c r="F25" s="767"/>
      <c r="G25" s="711"/>
      <c r="H25" s="800"/>
      <c r="I25" s="711"/>
      <c r="J25" s="711"/>
      <c r="K25" s="713"/>
      <c r="L25" s="362"/>
      <c r="M25" s="797"/>
      <c r="N25" s="401" t="b">
        <v>0</v>
      </c>
      <c r="O25" s="5"/>
      <c r="P25" s="363"/>
      <c r="Q25" s="713"/>
      <c r="R25" s="711"/>
      <c r="S25" s="711"/>
      <c r="T25" s="711"/>
      <c r="U25" s="711"/>
      <c r="V25" s="713">
        <f t="shared" si="2"/>
        <v>0</v>
      </c>
      <c r="W25" s="713"/>
      <c r="X25" s="362"/>
      <c r="Y25" s="364" t="s">
        <v>114</v>
      </c>
      <c r="Z25" s="5"/>
      <c r="AA25" s="5"/>
      <c r="AB25" s="358"/>
      <c r="AC25" s="713"/>
      <c r="AD25" s="713"/>
      <c r="AE25" s="358"/>
      <c r="AF25" s="713"/>
      <c r="AG25" s="713"/>
      <c r="AH25" s="355"/>
      <c r="AK25" s="107" t="s">
        <v>113</v>
      </c>
    </row>
    <row r="26" spans="1:37" s="356" customFormat="1" ht="33" hidden="1" customHeight="1" outlineLevel="2">
      <c r="A26" s="721" t="s">
        <v>759</v>
      </c>
      <c r="B26" s="733"/>
      <c r="C26" s="724" t="s">
        <v>762</v>
      </c>
      <c r="D26" s="725"/>
      <c r="E26" s="725"/>
      <c r="F26" s="726"/>
      <c r="G26" s="5"/>
      <c r="H26" s="365" t="str">
        <f t="shared" ref="H26:H48" si="3">IF(G26="","",G26/$G$55)</f>
        <v/>
      </c>
      <c r="I26" s="5"/>
      <c r="J26" s="5"/>
      <c r="K26" s="557" t="str">
        <f t="shared" ref="K26:K38" si="4">IF(SUM(I26:J26)=0,"",SUM(I26:J26))</f>
        <v/>
      </c>
      <c r="L26" s="362"/>
      <c r="M26" s="401" t="b">
        <v>0</v>
      </c>
      <c r="N26" s="401" t="b">
        <v>0</v>
      </c>
      <c r="O26" s="5"/>
      <c r="P26" s="363"/>
      <c r="Q26" s="557"/>
      <c r="R26" s="5"/>
      <c r="S26" s="5"/>
      <c r="T26" s="5"/>
      <c r="U26" s="5"/>
      <c r="V26" s="557">
        <f t="shared" ref="V26:V38" si="5">IF(M26=TRUE,SUM(Q26:U26),0)</f>
        <v>0</v>
      </c>
      <c r="W26" s="5"/>
      <c r="X26" s="362"/>
      <c r="Y26" s="364" t="s">
        <v>112</v>
      </c>
      <c r="Z26" s="5"/>
      <c r="AA26" s="5"/>
      <c r="AB26" s="358"/>
      <c r="AC26" s="5"/>
      <c r="AD26" s="5"/>
      <c r="AE26" s="358"/>
      <c r="AF26" s="557" t="str">
        <f t="shared" ref="AF26:AF38" si="6">IF(G26="","",IF(AND(V26="",Z26="",AC26=""),"Missing Info",IF(G26-V26-Z26+AC26=0,"OK","Review financial exposure")))</f>
        <v/>
      </c>
      <c r="AG26" s="557" t="str">
        <f t="shared" ref="AG26:AG38" si="7">IF(K26="","",IF(AND(W26="",AA26="",AD26=""),"Missing Info",IF(K26-W26-AA26+AD26=0,"OK","Review emissions")))</f>
        <v/>
      </c>
      <c r="AH26" s="355"/>
      <c r="AK26" s="107" t="s">
        <v>113</v>
      </c>
    </row>
    <row r="27" spans="1:37" s="356" customFormat="1" ht="151" hidden="1" customHeight="1" outlineLevel="2">
      <c r="A27" s="722"/>
      <c r="B27" s="733"/>
      <c r="C27" s="727" t="s">
        <v>761</v>
      </c>
      <c r="D27" s="728"/>
      <c r="E27" s="762" t="s">
        <v>287</v>
      </c>
      <c r="F27" s="763"/>
      <c r="G27" s="5"/>
      <c r="H27" s="365" t="str">
        <f t="shared" si="3"/>
        <v/>
      </c>
      <c r="I27" s="5"/>
      <c r="J27" s="5"/>
      <c r="K27" s="557" t="str">
        <f t="shared" si="4"/>
        <v/>
      </c>
      <c r="L27" s="362"/>
      <c r="M27" s="401" t="b">
        <v>0</v>
      </c>
      <c r="N27" s="401" t="b">
        <v>0</v>
      </c>
      <c r="O27" s="5"/>
      <c r="P27" s="363"/>
      <c r="Q27" s="557"/>
      <c r="R27" s="5"/>
      <c r="S27" s="5"/>
      <c r="T27" s="5"/>
      <c r="U27" s="5"/>
      <c r="V27" s="557">
        <f t="shared" si="5"/>
        <v>0</v>
      </c>
      <c r="W27" s="5"/>
      <c r="X27" s="362"/>
      <c r="Y27" s="364" t="s">
        <v>112</v>
      </c>
      <c r="Z27" s="5"/>
      <c r="AA27" s="5"/>
      <c r="AB27" s="358"/>
      <c r="AC27" s="5"/>
      <c r="AD27" s="5"/>
      <c r="AE27" s="358"/>
      <c r="AF27" s="557" t="str">
        <f t="shared" si="6"/>
        <v/>
      </c>
      <c r="AG27" s="557" t="str">
        <f t="shared" si="7"/>
        <v/>
      </c>
      <c r="AH27" s="355"/>
      <c r="AK27" s="107" t="s">
        <v>113</v>
      </c>
    </row>
    <row r="28" spans="1:37" s="356" customFormat="1" ht="33" hidden="1" customHeight="1" outlineLevel="2">
      <c r="A28" s="723"/>
      <c r="B28" s="788"/>
      <c r="C28" s="729"/>
      <c r="D28" s="730"/>
      <c r="E28" s="762" t="s">
        <v>117</v>
      </c>
      <c r="F28" s="763"/>
      <c r="G28" s="5"/>
      <c r="H28" s="365" t="str">
        <f t="shared" si="3"/>
        <v/>
      </c>
      <c r="I28" s="5"/>
      <c r="J28" s="5"/>
      <c r="K28" s="557" t="str">
        <f t="shared" si="4"/>
        <v/>
      </c>
      <c r="L28" s="362"/>
      <c r="M28" s="401" t="b">
        <v>0</v>
      </c>
      <c r="N28" s="401" t="b">
        <v>0</v>
      </c>
      <c r="O28" s="5"/>
      <c r="P28" s="363"/>
      <c r="Q28" s="557"/>
      <c r="R28" s="5"/>
      <c r="S28" s="5"/>
      <c r="T28" s="5"/>
      <c r="U28" s="5"/>
      <c r="V28" s="557">
        <f t="shared" si="5"/>
        <v>0</v>
      </c>
      <c r="W28" s="5"/>
      <c r="X28" s="362"/>
      <c r="Y28" s="364" t="s">
        <v>112</v>
      </c>
      <c r="Z28" s="5"/>
      <c r="AA28" s="5"/>
      <c r="AB28" s="358"/>
      <c r="AC28" s="5"/>
      <c r="AD28" s="5"/>
      <c r="AE28" s="358"/>
      <c r="AF28" s="557" t="str">
        <f t="shared" si="6"/>
        <v/>
      </c>
      <c r="AG28" s="557" t="str">
        <f t="shared" si="7"/>
        <v/>
      </c>
      <c r="AH28" s="355"/>
      <c r="AK28" s="107" t="s">
        <v>113</v>
      </c>
    </row>
    <row r="29" spans="1:37" s="356" customFormat="1" ht="33" hidden="1" customHeight="1" outlineLevel="2">
      <c r="A29" s="721" t="s">
        <v>118</v>
      </c>
      <c r="B29" s="732" t="s">
        <v>119</v>
      </c>
      <c r="C29" s="724" t="s">
        <v>120</v>
      </c>
      <c r="D29" s="725"/>
      <c r="E29" s="725"/>
      <c r="F29" s="726"/>
      <c r="G29" s="5"/>
      <c r="H29" s="365" t="str">
        <f t="shared" si="3"/>
        <v/>
      </c>
      <c r="I29" s="5"/>
      <c r="J29" s="5"/>
      <c r="K29" s="557" t="str">
        <f t="shared" si="4"/>
        <v/>
      </c>
      <c r="L29" s="362"/>
      <c r="M29" s="401" t="b">
        <v>0</v>
      </c>
      <c r="N29" s="366"/>
      <c r="O29" s="5"/>
      <c r="P29" s="363"/>
      <c r="Q29" s="557"/>
      <c r="R29" s="5"/>
      <c r="S29" s="5"/>
      <c r="T29" s="5"/>
      <c r="U29" s="5"/>
      <c r="V29" s="557">
        <f t="shared" si="5"/>
        <v>0</v>
      </c>
      <c r="W29" s="5"/>
      <c r="X29" s="362"/>
      <c r="Y29" s="557"/>
      <c r="Z29" s="557"/>
      <c r="AA29" s="557"/>
      <c r="AB29" s="358"/>
      <c r="AC29" s="557"/>
      <c r="AD29" s="557"/>
      <c r="AE29" s="358"/>
      <c r="AF29" s="557" t="str">
        <f t="shared" si="6"/>
        <v/>
      </c>
      <c r="AG29" s="557" t="str">
        <f t="shared" si="7"/>
        <v/>
      </c>
      <c r="AH29" s="355"/>
      <c r="AK29" s="107" t="s">
        <v>121</v>
      </c>
    </row>
    <row r="30" spans="1:37" s="356" customFormat="1" ht="107" hidden="1" customHeight="1" outlineLevel="2">
      <c r="A30" s="722"/>
      <c r="B30" s="733"/>
      <c r="C30" s="756" t="s">
        <v>122</v>
      </c>
      <c r="D30" s="757"/>
      <c r="E30" s="764" t="s">
        <v>288</v>
      </c>
      <c r="F30" s="765"/>
      <c r="G30" s="5"/>
      <c r="H30" s="365" t="str">
        <f t="shared" si="3"/>
        <v/>
      </c>
      <c r="I30" s="5"/>
      <c r="J30" s="5"/>
      <c r="K30" s="557" t="str">
        <f t="shared" si="4"/>
        <v/>
      </c>
      <c r="L30" s="362"/>
      <c r="M30" s="401" t="b">
        <v>0</v>
      </c>
      <c r="N30" s="366"/>
      <c r="O30" s="5"/>
      <c r="P30" s="363"/>
      <c r="Q30" s="557"/>
      <c r="R30" s="5"/>
      <c r="S30" s="5"/>
      <c r="T30" s="5"/>
      <c r="U30" s="5"/>
      <c r="V30" s="557">
        <f t="shared" si="5"/>
        <v>0</v>
      </c>
      <c r="W30" s="5"/>
      <c r="X30" s="362"/>
      <c r="Y30" s="557"/>
      <c r="Z30" s="557"/>
      <c r="AA30" s="557"/>
      <c r="AB30" s="358"/>
      <c r="AC30" s="557"/>
      <c r="AD30" s="557"/>
      <c r="AE30" s="358"/>
      <c r="AF30" s="557" t="str">
        <f t="shared" si="6"/>
        <v/>
      </c>
      <c r="AG30" s="557" t="str">
        <f t="shared" si="7"/>
        <v/>
      </c>
      <c r="AH30" s="355"/>
      <c r="AK30" s="107" t="s">
        <v>121</v>
      </c>
    </row>
    <row r="31" spans="1:37" s="356" customFormat="1" ht="33" hidden="1" customHeight="1" outlineLevel="2">
      <c r="A31" s="722"/>
      <c r="B31" s="733"/>
      <c r="C31" s="758"/>
      <c r="D31" s="759"/>
      <c r="E31" s="762" t="s">
        <v>289</v>
      </c>
      <c r="F31" s="763"/>
      <c r="G31" s="5"/>
      <c r="H31" s="365" t="str">
        <f t="shared" si="3"/>
        <v/>
      </c>
      <c r="I31" s="5"/>
      <c r="J31" s="5"/>
      <c r="K31" s="557" t="str">
        <f t="shared" si="4"/>
        <v/>
      </c>
      <c r="L31" s="362"/>
      <c r="M31" s="401" t="b">
        <v>0</v>
      </c>
      <c r="N31" s="366"/>
      <c r="O31" s="5"/>
      <c r="P31" s="363"/>
      <c r="Q31" s="557"/>
      <c r="R31" s="5"/>
      <c r="S31" s="5"/>
      <c r="T31" s="5"/>
      <c r="U31" s="5"/>
      <c r="V31" s="557">
        <f t="shared" si="5"/>
        <v>0</v>
      </c>
      <c r="W31" s="5"/>
      <c r="X31" s="362"/>
      <c r="Y31" s="557"/>
      <c r="Z31" s="557"/>
      <c r="AA31" s="557"/>
      <c r="AB31" s="358"/>
      <c r="AC31" s="557"/>
      <c r="AD31" s="557"/>
      <c r="AE31" s="358"/>
      <c r="AF31" s="557" t="str">
        <f t="shared" si="6"/>
        <v/>
      </c>
      <c r="AG31" s="557" t="str">
        <f t="shared" si="7"/>
        <v/>
      </c>
      <c r="AH31" s="355"/>
      <c r="AK31" s="107" t="s">
        <v>121</v>
      </c>
    </row>
    <row r="32" spans="1:37" s="356" customFormat="1" ht="33" hidden="1" customHeight="1" outlineLevel="2">
      <c r="A32" s="723"/>
      <c r="B32" s="788"/>
      <c r="C32" s="760"/>
      <c r="D32" s="761"/>
      <c r="E32" s="762" t="s">
        <v>290</v>
      </c>
      <c r="F32" s="763"/>
      <c r="G32" s="5"/>
      <c r="H32" s="365" t="str">
        <f t="shared" si="3"/>
        <v/>
      </c>
      <c r="I32" s="5"/>
      <c r="J32" s="5"/>
      <c r="K32" s="557" t="str">
        <f t="shared" si="4"/>
        <v/>
      </c>
      <c r="L32" s="362"/>
      <c r="M32" s="401" t="b">
        <v>0</v>
      </c>
      <c r="N32" s="366"/>
      <c r="O32" s="5"/>
      <c r="P32" s="363"/>
      <c r="Q32" s="557"/>
      <c r="R32" s="5"/>
      <c r="S32" s="5"/>
      <c r="T32" s="5"/>
      <c r="U32" s="5"/>
      <c r="V32" s="557">
        <f t="shared" si="5"/>
        <v>0</v>
      </c>
      <c r="W32" s="5"/>
      <c r="X32" s="362"/>
      <c r="Y32" s="557"/>
      <c r="Z32" s="557"/>
      <c r="AA32" s="557"/>
      <c r="AB32" s="358"/>
      <c r="AC32" s="557"/>
      <c r="AD32" s="557"/>
      <c r="AE32" s="358"/>
      <c r="AF32" s="557" t="str">
        <f t="shared" si="6"/>
        <v/>
      </c>
      <c r="AG32" s="557" t="str">
        <f t="shared" si="7"/>
        <v/>
      </c>
      <c r="AH32" s="355"/>
      <c r="AK32" s="107" t="s">
        <v>121</v>
      </c>
    </row>
    <row r="33" spans="1:37" s="356" customFormat="1" ht="33" hidden="1" customHeight="1" outlineLevel="2">
      <c r="A33" s="721" t="s">
        <v>127</v>
      </c>
      <c r="B33" s="732" t="s">
        <v>128</v>
      </c>
      <c r="C33" s="724" t="s">
        <v>129</v>
      </c>
      <c r="D33" s="725"/>
      <c r="E33" s="725"/>
      <c r="F33" s="726"/>
      <c r="G33" s="5"/>
      <c r="H33" s="365" t="str">
        <f t="shared" si="3"/>
        <v/>
      </c>
      <c r="I33" s="5"/>
      <c r="J33" s="5"/>
      <c r="K33" s="557" t="str">
        <f t="shared" si="4"/>
        <v/>
      </c>
      <c r="L33" s="362"/>
      <c r="M33" s="401" t="b">
        <v>0</v>
      </c>
      <c r="N33" s="366"/>
      <c r="O33" s="5"/>
      <c r="P33" s="363"/>
      <c r="Q33" s="5"/>
      <c r="R33" s="5"/>
      <c r="S33" s="5"/>
      <c r="T33" s="5"/>
      <c r="U33" s="5"/>
      <c r="V33" s="557">
        <f t="shared" si="5"/>
        <v>0</v>
      </c>
      <c r="W33" s="5"/>
      <c r="X33" s="362"/>
      <c r="Y33" s="557"/>
      <c r="Z33" s="557"/>
      <c r="AA33" s="557"/>
      <c r="AB33" s="358"/>
      <c r="AC33" s="557"/>
      <c r="AD33" s="557"/>
      <c r="AE33" s="358"/>
      <c r="AF33" s="557" t="str">
        <f t="shared" si="6"/>
        <v/>
      </c>
      <c r="AG33" s="557" t="str">
        <f t="shared" si="7"/>
        <v/>
      </c>
      <c r="AH33" s="355"/>
      <c r="AK33" s="107" t="s">
        <v>130</v>
      </c>
    </row>
    <row r="34" spans="1:37" s="356" customFormat="1" ht="84" hidden="1" customHeight="1" outlineLevel="2">
      <c r="A34" s="722"/>
      <c r="B34" s="733"/>
      <c r="C34" s="746" t="s">
        <v>122</v>
      </c>
      <c r="D34" s="747"/>
      <c r="E34" s="750" t="s">
        <v>291</v>
      </c>
      <c r="F34" s="751"/>
      <c r="G34" s="5"/>
      <c r="H34" s="365" t="str">
        <f t="shared" si="3"/>
        <v/>
      </c>
      <c r="I34" s="5"/>
      <c r="J34" s="5"/>
      <c r="K34" s="557" t="str">
        <f t="shared" si="4"/>
        <v/>
      </c>
      <c r="L34" s="362"/>
      <c r="M34" s="401" t="b">
        <v>0</v>
      </c>
      <c r="N34" s="366"/>
      <c r="O34" s="5"/>
      <c r="P34" s="363"/>
      <c r="Q34" s="5"/>
      <c r="R34" s="5"/>
      <c r="S34" s="5"/>
      <c r="T34" s="5"/>
      <c r="U34" s="5"/>
      <c r="V34" s="557">
        <f t="shared" si="5"/>
        <v>0</v>
      </c>
      <c r="W34" s="5"/>
      <c r="X34" s="362"/>
      <c r="Y34" s="557"/>
      <c r="Z34" s="557"/>
      <c r="AA34" s="557"/>
      <c r="AB34" s="358"/>
      <c r="AC34" s="557"/>
      <c r="AD34" s="557"/>
      <c r="AE34" s="358"/>
      <c r="AF34" s="557" t="str">
        <f t="shared" si="6"/>
        <v/>
      </c>
      <c r="AG34" s="557" t="str">
        <f t="shared" si="7"/>
        <v/>
      </c>
      <c r="AH34" s="355"/>
      <c r="AK34" s="107" t="s">
        <v>130</v>
      </c>
    </row>
    <row r="35" spans="1:37" s="356" customFormat="1" ht="33" hidden="1" customHeight="1" outlineLevel="2">
      <c r="A35" s="723"/>
      <c r="B35" s="788"/>
      <c r="C35" s="748"/>
      <c r="D35" s="749"/>
      <c r="E35" s="750" t="s">
        <v>292</v>
      </c>
      <c r="F35" s="751"/>
      <c r="G35" s="5"/>
      <c r="H35" s="365" t="str">
        <f t="shared" si="3"/>
        <v/>
      </c>
      <c r="I35" s="5"/>
      <c r="J35" s="5"/>
      <c r="K35" s="557" t="str">
        <f t="shared" si="4"/>
        <v/>
      </c>
      <c r="L35" s="362"/>
      <c r="M35" s="401" t="b">
        <v>0</v>
      </c>
      <c r="N35" s="366"/>
      <c r="O35" s="5"/>
      <c r="P35" s="363"/>
      <c r="Q35" s="5"/>
      <c r="R35" s="5"/>
      <c r="S35" s="5"/>
      <c r="T35" s="5"/>
      <c r="U35" s="5"/>
      <c r="V35" s="557">
        <f t="shared" si="5"/>
        <v>0</v>
      </c>
      <c r="W35" s="5"/>
      <c r="X35" s="362"/>
      <c r="Y35" s="557"/>
      <c r="Z35" s="557"/>
      <c r="AA35" s="557"/>
      <c r="AB35" s="358"/>
      <c r="AC35" s="557"/>
      <c r="AD35" s="557"/>
      <c r="AE35" s="358"/>
      <c r="AF35" s="557" t="str">
        <f t="shared" si="6"/>
        <v/>
      </c>
      <c r="AG35" s="557" t="str">
        <f t="shared" si="7"/>
        <v/>
      </c>
      <c r="AH35" s="355"/>
      <c r="AK35" s="107" t="s">
        <v>130</v>
      </c>
    </row>
    <row r="36" spans="1:37" s="356" customFormat="1" ht="33" hidden="1" customHeight="1" outlineLevel="2">
      <c r="A36" s="721" t="s">
        <v>133</v>
      </c>
      <c r="B36" s="732" t="s">
        <v>134</v>
      </c>
      <c r="C36" s="724" t="s">
        <v>135</v>
      </c>
      <c r="D36" s="725"/>
      <c r="E36" s="725"/>
      <c r="F36" s="726"/>
      <c r="G36" s="5"/>
      <c r="H36" s="365" t="str">
        <f t="shared" si="3"/>
        <v/>
      </c>
      <c r="I36" s="5"/>
      <c r="J36" s="5"/>
      <c r="K36" s="557" t="str">
        <f t="shared" si="4"/>
        <v/>
      </c>
      <c r="L36" s="362"/>
      <c r="M36" s="401" t="b">
        <v>0</v>
      </c>
      <c r="N36" s="366"/>
      <c r="O36" s="5"/>
      <c r="P36" s="363"/>
      <c r="Q36" s="5"/>
      <c r="R36" s="5"/>
      <c r="S36" s="5"/>
      <c r="T36" s="5"/>
      <c r="U36" s="5"/>
      <c r="V36" s="557">
        <f t="shared" si="5"/>
        <v>0</v>
      </c>
      <c r="W36" s="5"/>
      <c r="X36" s="362"/>
      <c r="Y36" s="557"/>
      <c r="Z36" s="557"/>
      <c r="AA36" s="557"/>
      <c r="AB36" s="358"/>
      <c r="AC36" s="557"/>
      <c r="AD36" s="557"/>
      <c r="AE36" s="358"/>
      <c r="AF36" s="557" t="str">
        <f t="shared" si="6"/>
        <v/>
      </c>
      <c r="AG36" s="557" t="str">
        <f t="shared" si="7"/>
        <v/>
      </c>
      <c r="AH36" s="355"/>
      <c r="AK36" s="107" t="s">
        <v>136</v>
      </c>
    </row>
    <row r="37" spans="1:37" s="356" customFormat="1" ht="103.25" hidden="1" customHeight="1" outlineLevel="2">
      <c r="A37" s="722"/>
      <c r="B37" s="733"/>
      <c r="C37" s="756" t="s">
        <v>122</v>
      </c>
      <c r="D37" s="757"/>
      <c r="E37" s="764" t="s">
        <v>293</v>
      </c>
      <c r="F37" s="765"/>
      <c r="G37" s="5"/>
      <c r="H37" s="365" t="str">
        <f t="shared" si="3"/>
        <v/>
      </c>
      <c r="I37" s="5"/>
      <c r="J37" s="5"/>
      <c r="K37" s="557" t="str">
        <f t="shared" si="4"/>
        <v/>
      </c>
      <c r="L37" s="362"/>
      <c r="M37" s="401" t="b">
        <v>0</v>
      </c>
      <c r="N37" s="366"/>
      <c r="O37" s="5"/>
      <c r="P37" s="363"/>
      <c r="Q37" s="5"/>
      <c r="R37" s="5"/>
      <c r="S37" s="5"/>
      <c r="T37" s="5"/>
      <c r="U37" s="5"/>
      <c r="V37" s="557">
        <f t="shared" si="5"/>
        <v>0</v>
      </c>
      <c r="W37" s="5"/>
      <c r="X37" s="362"/>
      <c r="Y37" s="557"/>
      <c r="Z37" s="557"/>
      <c r="AA37" s="557"/>
      <c r="AB37" s="358"/>
      <c r="AC37" s="557"/>
      <c r="AD37" s="557"/>
      <c r="AE37" s="358"/>
      <c r="AF37" s="557" t="str">
        <f t="shared" si="6"/>
        <v/>
      </c>
      <c r="AG37" s="557" t="str">
        <f t="shared" si="7"/>
        <v/>
      </c>
      <c r="AH37" s="355"/>
      <c r="AK37" s="107" t="s">
        <v>136</v>
      </c>
    </row>
    <row r="38" spans="1:37" s="356" customFormat="1" ht="33" hidden="1" customHeight="1" outlineLevel="2">
      <c r="A38" s="723"/>
      <c r="B38" s="788"/>
      <c r="C38" s="760"/>
      <c r="D38" s="761"/>
      <c r="E38" s="762" t="s">
        <v>294</v>
      </c>
      <c r="F38" s="763"/>
      <c r="G38" s="5"/>
      <c r="H38" s="365" t="str">
        <f t="shared" si="3"/>
        <v/>
      </c>
      <c r="I38" s="5"/>
      <c r="J38" s="5"/>
      <c r="K38" s="557" t="str">
        <f t="shared" si="4"/>
        <v/>
      </c>
      <c r="L38" s="362"/>
      <c r="M38" s="401" t="b">
        <v>0</v>
      </c>
      <c r="N38" s="366"/>
      <c r="O38" s="5"/>
      <c r="P38" s="363"/>
      <c r="Q38" s="5"/>
      <c r="R38" s="5"/>
      <c r="S38" s="5"/>
      <c r="T38" s="5"/>
      <c r="U38" s="5"/>
      <c r="V38" s="557">
        <f t="shared" si="5"/>
        <v>0</v>
      </c>
      <c r="W38" s="5"/>
      <c r="X38" s="362"/>
      <c r="Y38" s="557"/>
      <c r="Z38" s="557"/>
      <c r="AA38" s="557"/>
      <c r="AB38" s="358"/>
      <c r="AC38" s="557"/>
      <c r="AD38" s="557"/>
      <c r="AE38" s="358"/>
      <c r="AF38" s="557" t="str">
        <f t="shared" si="6"/>
        <v/>
      </c>
      <c r="AG38" s="557" t="str">
        <f t="shared" si="7"/>
        <v/>
      </c>
      <c r="AH38" s="355"/>
      <c r="AK38" s="107" t="s">
        <v>136</v>
      </c>
    </row>
    <row r="39" spans="1:37" s="356" customFormat="1" ht="52.25" hidden="1" customHeight="1" outlineLevel="2">
      <c r="A39" s="752"/>
      <c r="B39" s="814" t="s">
        <v>142</v>
      </c>
      <c r="C39" s="762" t="s">
        <v>295</v>
      </c>
      <c r="D39" s="832"/>
      <c r="E39" s="832"/>
      <c r="F39" s="832"/>
      <c r="G39" s="4"/>
      <c r="H39" s="365" t="str">
        <f t="shared" si="3"/>
        <v/>
      </c>
      <c r="I39" s="557"/>
      <c r="J39" s="557"/>
      <c r="K39" s="557"/>
      <c r="L39" s="367"/>
      <c r="M39" s="557"/>
      <c r="N39" s="557"/>
      <c r="O39" s="557"/>
      <c r="P39" s="368"/>
      <c r="Q39" s="557"/>
      <c r="R39" s="557"/>
      <c r="S39" s="557"/>
      <c r="T39" s="557"/>
      <c r="U39" s="557"/>
      <c r="V39" s="557"/>
      <c r="W39" s="557"/>
      <c r="X39" s="574"/>
      <c r="Y39" s="557"/>
      <c r="Z39" s="557"/>
      <c r="AA39" s="557"/>
      <c r="AB39" s="358"/>
      <c r="AC39" s="557"/>
      <c r="AD39" s="557"/>
      <c r="AE39" s="358"/>
      <c r="AF39" s="557"/>
      <c r="AG39" s="557"/>
      <c r="AH39" s="355"/>
      <c r="AK39" s="107"/>
    </row>
    <row r="40" spans="1:37" s="356" customFormat="1" ht="33" hidden="1" customHeight="1" outlineLevel="2">
      <c r="A40" s="753"/>
      <c r="B40" s="815"/>
      <c r="C40" s="762" t="s">
        <v>296</v>
      </c>
      <c r="D40" s="832"/>
      <c r="E40" s="832"/>
      <c r="F40" s="832"/>
      <c r="G40" s="4"/>
      <c r="H40" s="365" t="str">
        <f t="shared" si="3"/>
        <v/>
      </c>
      <c r="I40" s="557"/>
      <c r="J40" s="557"/>
      <c r="K40" s="557"/>
      <c r="L40" s="367"/>
      <c r="M40" s="557"/>
      <c r="N40" s="557"/>
      <c r="O40" s="557"/>
      <c r="P40" s="368"/>
      <c r="Q40" s="557"/>
      <c r="R40" s="557"/>
      <c r="S40" s="557"/>
      <c r="T40" s="557"/>
      <c r="U40" s="557"/>
      <c r="V40" s="557"/>
      <c r="W40" s="557"/>
      <c r="X40" s="574"/>
      <c r="Y40" s="557"/>
      <c r="Z40" s="557"/>
      <c r="AA40" s="557"/>
      <c r="AB40" s="358"/>
      <c r="AC40" s="557"/>
      <c r="AD40" s="557"/>
      <c r="AE40" s="358"/>
      <c r="AF40" s="557"/>
      <c r="AG40" s="557"/>
      <c r="AH40" s="355"/>
      <c r="AK40" s="107"/>
    </row>
    <row r="41" spans="1:37" s="356" customFormat="1" ht="33" hidden="1" customHeight="1" outlineLevel="2">
      <c r="A41" s="753"/>
      <c r="B41" s="815"/>
      <c r="C41" s="762" t="s">
        <v>297</v>
      </c>
      <c r="D41" s="832"/>
      <c r="E41" s="832"/>
      <c r="F41" s="832"/>
      <c r="G41" s="4"/>
      <c r="H41" s="365" t="str">
        <f t="shared" si="3"/>
        <v/>
      </c>
      <c r="I41" s="557"/>
      <c r="J41" s="557"/>
      <c r="K41" s="557"/>
      <c r="L41" s="367"/>
      <c r="M41" s="557"/>
      <c r="N41" s="557"/>
      <c r="O41" s="557"/>
      <c r="P41" s="368"/>
      <c r="Q41" s="557"/>
      <c r="R41" s="557"/>
      <c r="S41" s="557"/>
      <c r="T41" s="557"/>
      <c r="U41" s="557"/>
      <c r="V41" s="557"/>
      <c r="W41" s="557"/>
      <c r="X41" s="574"/>
      <c r="Y41" s="557"/>
      <c r="Z41" s="557"/>
      <c r="AA41" s="557"/>
      <c r="AB41" s="358"/>
      <c r="AC41" s="557"/>
      <c r="AD41" s="557"/>
      <c r="AE41" s="358"/>
      <c r="AF41" s="557"/>
      <c r="AG41" s="557"/>
      <c r="AH41" s="355"/>
      <c r="AK41" s="107"/>
    </row>
    <row r="42" spans="1:37" s="356" customFormat="1" ht="33" hidden="1" customHeight="1" outlineLevel="2">
      <c r="A42" s="753"/>
      <c r="B42" s="815"/>
      <c r="C42" s="853" t="s">
        <v>298</v>
      </c>
      <c r="D42" s="854"/>
      <c r="E42" s="854"/>
      <c r="F42" s="855"/>
      <c r="G42" s="4"/>
      <c r="H42" s="365" t="str">
        <f t="shared" si="3"/>
        <v/>
      </c>
      <c r="I42" s="557"/>
      <c r="J42" s="557"/>
      <c r="K42" s="557"/>
      <c r="L42" s="367"/>
      <c r="M42" s="557"/>
      <c r="N42" s="557"/>
      <c r="O42" s="557"/>
      <c r="P42" s="368"/>
      <c r="Q42" s="557"/>
      <c r="R42" s="557"/>
      <c r="S42" s="557"/>
      <c r="T42" s="557"/>
      <c r="U42" s="557"/>
      <c r="V42" s="557"/>
      <c r="W42" s="557"/>
      <c r="X42" s="574"/>
      <c r="Y42" s="557"/>
      <c r="Z42" s="557"/>
      <c r="AA42" s="557"/>
      <c r="AB42" s="358"/>
      <c r="AC42" s="557"/>
      <c r="AD42" s="557"/>
      <c r="AE42" s="358"/>
      <c r="AF42" s="557"/>
      <c r="AG42" s="557"/>
      <c r="AH42" s="355"/>
      <c r="AK42" s="107"/>
    </row>
    <row r="43" spans="1:37" s="356" customFormat="1" ht="33" hidden="1" customHeight="1" outlineLevel="2">
      <c r="A43" s="753"/>
      <c r="B43" s="815"/>
      <c r="C43" s="853" t="s">
        <v>299</v>
      </c>
      <c r="D43" s="854"/>
      <c r="E43" s="854"/>
      <c r="F43" s="855"/>
      <c r="G43" s="4"/>
      <c r="H43" s="365" t="str">
        <f t="shared" si="3"/>
        <v/>
      </c>
      <c r="I43" s="557"/>
      <c r="J43" s="557"/>
      <c r="K43" s="557"/>
      <c r="L43" s="367"/>
      <c r="M43" s="557"/>
      <c r="N43" s="557"/>
      <c r="O43" s="557"/>
      <c r="P43" s="368"/>
      <c r="Q43" s="557"/>
      <c r="R43" s="557"/>
      <c r="S43" s="557"/>
      <c r="T43" s="557"/>
      <c r="U43" s="557"/>
      <c r="V43" s="557"/>
      <c r="W43" s="557"/>
      <c r="X43" s="574"/>
      <c r="Y43" s="557"/>
      <c r="Z43" s="557"/>
      <c r="AA43" s="557"/>
      <c r="AB43" s="358"/>
      <c r="AC43" s="557"/>
      <c r="AD43" s="557"/>
      <c r="AE43" s="358"/>
      <c r="AF43" s="557"/>
      <c r="AG43" s="557"/>
      <c r="AH43" s="355"/>
      <c r="AK43" s="107"/>
    </row>
    <row r="44" spans="1:37" s="356" customFormat="1" ht="33" hidden="1" customHeight="1" outlineLevel="2">
      <c r="A44" s="753"/>
      <c r="B44" s="815"/>
      <c r="C44" s="853" t="s">
        <v>300</v>
      </c>
      <c r="D44" s="854"/>
      <c r="E44" s="854"/>
      <c r="F44" s="855"/>
      <c r="G44" s="4"/>
      <c r="H44" s="365" t="str">
        <f t="shared" si="3"/>
        <v/>
      </c>
      <c r="I44" s="557"/>
      <c r="J44" s="557"/>
      <c r="K44" s="557"/>
      <c r="L44" s="367"/>
      <c r="M44" s="557"/>
      <c r="N44" s="557"/>
      <c r="O44" s="557"/>
      <c r="P44" s="368"/>
      <c r="Q44" s="557"/>
      <c r="R44" s="557"/>
      <c r="S44" s="557"/>
      <c r="T44" s="557"/>
      <c r="U44" s="557"/>
      <c r="V44" s="557"/>
      <c r="W44" s="557"/>
      <c r="X44" s="574"/>
      <c r="Y44" s="557"/>
      <c r="Z44" s="557"/>
      <c r="AA44" s="557"/>
      <c r="AB44" s="358"/>
      <c r="AC44" s="557"/>
      <c r="AD44" s="557"/>
      <c r="AE44" s="358"/>
      <c r="AF44" s="557"/>
      <c r="AG44" s="557"/>
      <c r="AH44" s="355"/>
      <c r="AK44" s="107"/>
    </row>
    <row r="45" spans="1:37" s="356" customFormat="1" ht="33" hidden="1" customHeight="1" outlineLevel="2">
      <c r="A45" s="753"/>
      <c r="B45" s="815"/>
      <c r="C45" s="853" t="s">
        <v>301</v>
      </c>
      <c r="D45" s="854"/>
      <c r="E45" s="854"/>
      <c r="F45" s="855"/>
      <c r="G45" s="4"/>
      <c r="H45" s="365" t="str">
        <f t="shared" si="3"/>
        <v/>
      </c>
      <c r="I45" s="557"/>
      <c r="J45" s="557"/>
      <c r="K45" s="557"/>
      <c r="L45" s="367"/>
      <c r="M45" s="557"/>
      <c r="N45" s="557"/>
      <c r="O45" s="557"/>
      <c r="P45" s="368"/>
      <c r="Q45" s="557"/>
      <c r="R45" s="557"/>
      <c r="S45" s="557"/>
      <c r="T45" s="557"/>
      <c r="U45" s="557"/>
      <c r="V45" s="557"/>
      <c r="W45" s="557"/>
      <c r="X45" s="574"/>
      <c r="Y45" s="557"/>
      <c r="Z45" s="557"/>
      <c r="AA45" s="557"/>
      <c r="AB45" s="358"/>
      <c r="AC45" s="557"/>
      <c r="AD45" s="557"/>
      <c r="AE45" s="358"/>
      <c r="AF45" s="557"/>
      <c r="AG45" s="557"/>
      <c r="AH45" s="355"/>
      <c r="AK45" s="107"/>
    </row>
    <row r="46" spans="1:37" s="356" customFormat="1" ht="33" hidden="1" customHeight="1" outlineLevel="2">
      <c r="A46" s="753"/>
      <c r="B46" s="815"/>
      <c r="C46" s="853" t="s">
        <v>302</v>
      </c>
      <c r="D46" s="854"/>
      <c r="E46" s="854"/>
      <c r="F46" s="855"/>
      <c r="G46" s="4"/>
      <c r="H46" s="365" t="str">
        <f t="shared" si="3"/>
        <v/>
      </c>
      <c r="I46" s="557"/>
      <c r="J46" s="557"/>
      <c r="K46" s="557"/>
      <c r="L46" s="367"/>
      <c r="M46" s="557"/>
      <c r="N46" s="557"/>
      <c r="O46" s="557"/>
      <c r="P46" s="368"/>
      <c r="Q46" s="557"/>
      <c r="R46" s="557"/>
      <c r="S46" s="557"/>
      <c r="T46" s="557"/>
      <c r="U46" s="557"/>
      <c r="V46" s="557"/>
      <c r="W46" s="557"/>
      <c r="X46" s="574"/>
      <c r="Y46" s="557"/>
      <c r="Z46" s="557"/>
      <c r="AA46" s="557"/>
      <c r="AB46" s="358"/>
      <c r="AC46" s="557"/>
      <c r="AD46" s="557"/>
      <c r="AE46" s="358"/>
      <c r="AF46" s="557"/>
      <c r="AG46" s="557"/>
      <c r="AH46" s="355"/>
      <c r="AK46" s="107"/>
    </row>
    <row r="47" spans="1:37" s="356" customFormat="1" ht="33" hidden="1" customHeight="1" outlineLevel="2">
      <c r="A47" s="753"/>
      <c r="B47" s="815"/>
      <c r="C47" s="762" t="s">
        <v>303</v>
      </c>
      <c r="D47" s="832"/>
      <c r="E47" s="832"/>
      <c r="F47" s="832"/>
      <c r="G47" s="4"/>
      <c r="H47" s="365" t="str">
        <f t="shared" si="3"/>
        <v/>
      </c>
      <c r="I47" s="557"/>
      <c r="J47" s="557"/>
      <c r="K47" s="557"/>
      <c r="L47" s="367"/>
      <c r="M47" s="557"/>
      <c r="N47" s="557"/>
      <c r="O47" s="557"/>
      <c r="P47" s="368"/>
      <c r="Q47" s="557"/>
      <c r="R47" s="557"/>
      <c r="S47" s="557"/>
      <c r="T47" s="557"/>
      <c r="U47" s="557"/>
      <c r="V47" s="557"/>
      <c r="W47" s="557"/>
      <c r="X47" s="574"/>
      <c r="Y47" s="557"/>
      <c r="Z47" s="557"/>
      <c r="AA47" s="557"/>
      <c r="AB47" s="358"/>
      <c r="AC47" s="557"/>
      <c r="AD47" s="557"/>
      <c r="AE47" s="358"/>
      <c r="AF47" s="557"/>
      <c r="AG47" s="557"/>
      <c r="AH47" s="355"/>
      <c r="AK47" s="405"/>
    </row>
    <row r="48" spans="1:37" s="356" customFormat="1" ht="33" hidden="1" customHeight="1" outlineLevel="2">
      <c r="A48" s="753"/>
      <c r="B48" s="815"/>
      <c r="C48" s="762" t="s">
        <v>304</v>
      </c>
      <c r="D48" s="832"/>
      <c r="E48" s="832"/>
      <c r="F48" s="832"/>
      <c r="G48" s="4"/>
      <c r="H48" s="365" t="str">
        <f t="shared" si="3"/>
        <v/>
      </c>
      <c r="I48" s="557"/>
      <c r="J48" s="557"/>
      <c r="K48" s="557"/>
      <c r="L48" s="367"/>
      <c r="M48" s="557"/>
      <c r="N48" s="557"/>
      <c r="O48" s="557"/>
      <c r="P48" s="368"/>
      <c r="Q48" s="557"/>
      <c r="R48" s="557"/>
      <c r="S48" s="557"/>
      <c r="T48" s="557"/>
      <c r="U48" s="557"/>
      <c r="V48" s="557"/>
      <c r="W48" s="557"/>
      <c r="X48" s="574"/>
      <c r="Y48" s="557"/>
      <c r="Z48" s="557"/>
      <c r="AA48" s="557"/>
      <c r="AB48" s="358"/>
      <c r="AC48" s="557"/>
      <c r="AD48" s="557"/>
      <c r="AE48" s="358"/>
      <c r="AF48" s="557"/>
      <c r="AG48" s="557"/>
      <c r="AH48" s="355"/>
      <c r="AK48" s="405"/>
    </row>
    <row r="49" spans="1:37" s="356" customFormat="1" ht="33" hidden="1" customHeight="1" outlineLevel="2">
      <c r="A49" s="753"/>
      <c r="B49" s="815"/>
      <c r="C49" s="762" t="s">
        <v>305</v>
      </c>
      <c r="D49" s="832"/>
      <c r="E49" s="832"/>
      <c r="F49" s="832"/>
      <c r="G49" s="4"/>
      <c r="H49" s="365"/>
      <c r="I49" s="557"/>
      <c r="J49" s="557"/>
      <c r="K49" s="557"/>
      <c r="L49" s="367"/>
      <c r="M49" s="557"/>
      <c r="N49" s="557"/>
      <c r="O49" s="557"/>
      <c r="P49" s="368"/>
      <c r="Q49" s="557"/>
      <c r="R49" s="557"/>
      <c r="S49" s="557"/>
      <c r="T49" s="557"/>
      <c r="U49" s="557"/>
      <c r="V49" s="557"/>
      <c r="W49" s="557"/>
      <c r="X49" s="574"/>
      <c r="Y49" s="557"/>
      <c r="Z49" s="557"/>
      <c r="AA49" s="557"/>
      <c r="AB49" s="358"/>
      <c r="AC49" s="557"/>
      <c r="AD49" s="557"/>
      <c r="AE49" s="358"/>
      <c r="AF49" s="557"/>
      <c r="AG49" s="557"/>
      <c r="AH49" s="355"/>
      <c r="AK49" s="405"/>
    </row>
    <row r="50" spans="1:37" s="356" customFormat="1" ht="33" hidden="1" customHeight="1" outlineLevel="2">
      <c r="A50" s="753"/>
      <c r="B50" s="816"/>
      <c r="C50" s="818"/>
      <c r="D50" s="819"/>
      <c r="E50" s="819"/>
      <c r="F50" s="819"/>
      <c r="G50" s="4"/>
      <c r="H50" s="365" t="str">
        <f>IF(G50="","",G50/$G$55)</f>
        <v/>
      </c>
      <c r="I50" s="557"/>
      <c r="J50" s="557"/>
      <c r="K50" s="557"/>
      <c r="L50" s="367"/>
      <c r="M50" s="557"/>
      <c r="N50" s="557"/>
      <c r="O50" s="557"/>
      <c r="P50" s="368"/>
      <c r="Q50" s="557"/>
      <c r="R50" s="557"/>
      <c r="S50" s="557"/>
      <c r="T50" s="557"/>
      <c r="U50" s="557"/>
      <c r="V50" s="557"/>
      <c r="W50" s="557"/>
      <c r="X50" s="574"/>
      <c r="Y50" s="557"/>
      <c r="Z50" s="557"/>
      <c r="AA50" s="557"/>
      <c r="AB50" s="358"/>
      <c r="AC50" s="557"/>
      <c r="AD50" s="557"/>
      <c r="AE50" s="358"/>
      <c r="AF50" s="557"/>
      <c r="AG50" s="557"/>
      <c r="AH50" s="355"/>
      <c r="AK50" s="405"/>
    </row>
    <row r="51" spans="1:37" s="356" customFormat="1" ht="16" hidden="1" outlineLevel="1">
      <c r="A51" s="575"/>
      <c r="B51" s="579"/>
      <c r="C51" s="579"/>
      <c r="D51" s="579"/>
      <c r="E51" s="579"/>
      <c r="F51" s="579"/>
      <c r="G51" s="579"/>
      <c r="H51" s="591"/>
      <c r="I51" s="591"/>
      <c r="J51" s="591"/>
      <c r="K51" s="591"/>
      <c r="L51" s="578"/>
      <c r="M51" s="579"/>
      <c r="N51" s="579"/>
      <c r="O51" s="579"/>
      <c r="P51" s="580"/>
      <c r="Q51" s="406"/>
      <c r="R51" s="373"/>
      <c r="S51" s="581"/>
      <c r="T51" s="372"/>
      <c r="U51" s="407"/>
      <c r="V51" s="407"/>
      <c r="W51" s="407"/>
      <c r="X51" s="582"/>
      <c r="Y51" s="583"/>
      <c r="Z51" s="12"/>
      <c r="AA51" s="12"/>
      <c r="AB51" s="358"/>
      <c r="AC51" s="12"/>
      <c r="AD51" s="12"/>
      <c r="AE51" s="358"/>
      <c r="AF51" s="353"/>
      <c r="AG51" s="353"/>
      <c r="AH51" s="355"/>
    </row>
    <row r="52" spans="1:37" s="356" customFormat="1" ht="34" hidden="1" outlineLevel="1">
      <c r="A52" s="575"/>
      <c r="B52" s="370" t="s">
        <v>148</v>
      </c>
      <c r="C52" s="370"/>
      <c r="D52" s="370"/>
      <c r="E52" s="370"/>
      <c r="F52" s="370"/>
      <c r="G52" s="370" t="s">
        <v>149</v>
      </c>
      <c r="H52" s="370" t="s">
        <v>150</v>
      </c>
      <c r="I52" s="371"/>
      <c r="J52" s="371"/>
      <c r="K52" s="371"/>
      <c r="L52" s="583"/>
      <c r="M52" s="14"/>
      <c r="N52" s="14"/>
      <c r="O52" s="14"/>
      <c r="P52" s="14"/>
      <c r="Q52" s="372"/>
      <c r="R52" s="372"/>
      <c r="S52" s="581"/>
      <c r="T52" s="372"/>
      <c r="U52" s="372"/>
      <c r="V52" s="373"/>
      <c r="W52" s="373"/>
      <c r="X52" s="582"/>
      <c r="Y52" s="582"/>
      <c r="Z52" s="12"/>
      <c r="AA52" s="12"/>
      <c r="AB52" s="358"/>
      <c r="AC52" s="12"/>
      <c r="AD52" s="12"/>
      <c r="AE52" s="358"/>
      <c r="AF52" s="353"/>
      <c r="AG52" s="353"/>
      <c r="AH52" s="355"/>
    </row>
    <row r="53" spans="1:37" s="356" customFormat="1" ht="37.25" hidden="1" customHeight="1" outlineLevel="1">
      <c r="A53" s="575"/>
      <c r="B53" s="812" t="s">
        <v>306</v>
      </c>
      <c r="C53" s="813"/>
      <c r="D53" s="813"/>
      <c r="E53" s="813"/>
      <c r="F53" s="813"/>
      <c r="G53" s="557">
        <f>IF(SUM(G20:G38)="","",SUM(G20:G38))</f>
        <v>0</v>
      </c>
      <c r="H53" s="365" t="str">
        <f>IF(G55=0,"",G53/$G$55)</f>
        <v/>
      </c>
      <c r="I53" s="374"/>
      <c r="J53" s="374"/>
      <c r="K53" s="374"/>
      <c r="L53" s="374"/>
      <c r="M53" s="14"/>
      <c r="N53" s="14"/>
      <c r="O53" s="14"/>
      <c r="P53" s="14"/>
      <c r="Q53" s="373"/>
      <c r="R53" s="373"/>
      <c r="S53" s="375"/>
      <c r="T53" s="373"/>
      <c r="U53" s="373"/>
      <c r="V53" s="373"/>
      <c r="W53" s="373"/>
      <c r="X53" s="582"/>
      <c r="Y53" s="582"/>
      <c r="Z53" s="12"/>
      <c r="AA53" s="12"/>
      <c r="AB53" s="358"/>
      <c r="AC53" s="12"/>
      <c r="AD53" s="12"/>
      <c r="AE53" s="358"/>
      <c r="AF53" s="353"/>
      <c r="AG53" s="353"/>
      <c r="AH53" s="355"/>
    </row>
    <row r="54" spans="1:37" s="356" customFormat="1" ht="37.25" hidden="1" customHeight="1" outlineLevel="1">
      <c r="A54" s="575"/>
      <c r="B54" s="812" t="s">
        <v>307</v>
      </c>
      <c r="C54" s="813"/>
      <c r="D54" s="813"/>
      <c r="E54" s="813"/>
      <c r="F54" s="813"/>
      <c r="G54" s="557">
        <f>+SUM(G39:G50)</f>
        <v>0</v>
      </c>
      <c r="H54" s="365" t="str">
        <f>IF(G55=0,"",G54/$G$55)</f>
        <v/>
      </c>
      <c r="I54" s="374"/>
      <c r="J54" s="374"/>
      <c r="K54" s="374"/>
      <c r="L54" s="374"/>
      <c r="M54" s="14"/>
      <c r="N54" s="14"/>
      <c r="O54" s="14"/>
      <c r="P54" s="14"/>
      <c r="Q54" s="373"/>
      <c r="R54" s="373"/>
      <c r="S54" s="584"/>
      <c r="T54" s="373"/>
      <c r="U54" s="373"/>
      <c r="V54" s="373"/>
      <c r="W54" s="373"/>
      <c r="X54" s="582"/>
      <c r="Y54" s="582"/>
      <c r="Z54" s="12"/>
      <c r="AA54" s="12"/>
      <c r="AB54" s="358"/>
      <c r="AC54" s="12"/>
      <c r="AD54" s="12"/>
      <c r="AE54" s="358"/>
      <c r="AF54" s="353"/>
      <c r="AG54" s="353"/>
      <c r="AH54" s="355"/>
    </row>
    <row r="55" spans="1:37" s="356" customFormat="1" ht="37.25" hidden="1" customHeight="1" outlineLevel="1">
      <c r="A55" s="575"/>
      <c r="B55" s="789" t="s">
        <v>308</v>
      </c>
      <c r="C55" s="790"/>
      <c r="D55" s="790"/>
      <c r="E55" s="790"/>
      <c r="F55" s="790"/>
      <c r="G55" s="376">
        <f>+G53+G54</f>
        <v>0</v>
      </c>
      <c r="H55" s="377"/>
      <c r="I55" s="827" t="str">
        <f>IF(G55="","",IF(G55&lt;&gt;'Financial activity types '!F12,"Error: The total must match the total in the Financial activity types tab","Exposure OK"))</f>
        <v>Exposure OK</v>
      </c>
      <c r="J55" s="827"/>
      <c r="K55" s="827"/>
      <c r="L55" s="374"/>
      <c r="M55" s="706" t="s">
        <v>154</v>
      </c>
      <c r="N55" s="706"/>
      <c r="O55" s="706"/>
      <c r="P55" s="14"/>
      <c r="Q55" s="373"/>
      <c r="R55" s="373"/>
      <c r="S55" s="584"/>
      <c r="T55" s="373"/>
      <c r="U55" s="373"/>
      <c r="V55" s="373"/>
      <c r="W55" s="373"/>
      <c r="X55" s="582"/>
      <c r="Y55" s="582"/>
      <c r="Z55" s="12"/>
      <c r="AA55" s="12"/>
      <c r="AB55" s="358"/>
      <c r="AC55" s="12"/>
      <c r="AD55" s="12"/>
      <c r="AE55" s="358"/>
      <c r="AF55" s="353"/>
      <c r="AG55" s="353"/>
      <c r="AH55" s="355"/>
    </row>
    <row r="56" spans="1:37" s="356" customFormat="1" ht="37.25" hidden="1" customHeight="1" outlineLevel="1">
      <c r="A56" s="575"/>
      <c r="B56" s="789" t="s">
        <v>309</v>
      </c>
      <c r="C56" s="790"/>
      <c r="D56" s="790"/>
      <c r="E56" s="790"/>
      <c r="F56" s="790"/>
      <c r="G56" s="376">
        <f>(SUMIF(M20:M35,TRUE,V20:V35)+SUMIF(N20:N35,TRUE,Z20:Z35)-SUMIFS(AC20:AC35,M20:M35,TRUE,N20:N35,TRUE))</f>
        <v>0</v>
      </c>
      <c r="H56" s="377" t="e">
        <f>G56/SUM(G20:G35)</f>
        <v>#DIV/0!</v>
      </c>
      <c r="I56" s="828" t="e">
        <f>IF(G55="","",IF(H56&lt;&gt;100%,"Error: The FI must cover 100% of segments A, B, and C","Coverage OK"))</f>
        <v>#DIV/0!</v>
      </c>
      <c r="J56" s="828"/>
      <c r="K56" s="828"/>
      <c r="L56" s="355"/>
      <c r="M56" s="706"/>
      <c r="N56" s="706"/>
      <c r="O56" s="706"/>
      <c r="P56" s="14"/>
      <c r="Q56" s="373"/>
      <c r="R56" s="373"/>
      <c r="S56" s="378"/>
      <c r="T56" s="378"/>
      <c r="U56" s="379"/>
      <c r="V56" s="373"/>
      <c r="W56" s="373"/>
      <c r="X56" s="380"/>
      <c r="Y56" s="582"/>
      <c r="Z56" s="12"/>
      <c r="AA56" s="12"/>
      <c r="AB56" s="358"/>
      <c r="AC56" s="12"/>
      <c r="AD56" s="12"/>
      <c r="AE56" s="358"/>
      <c r="AF56" s="353"/>
      <c r="AG56" s="353"/>
      <c r="AH56" s="355"/>
    </row>
    <row r="57" spans="1:37" s="356" customFormat="1" ht="52.5" hidden="1" customHeight="1" outlineLevel="1">
      <c r="A57" s="575"/>
      <c r="B57" s="789" t="s">
        <v>310</v>
      </c>
      <c r="C57" s="790"/>
      <c r="D57" s="790"/>
      <c r="E57" s="790"/>
      <c r="F57" s="790"/>
      <c r="G57" s="376">
        <f>(SUMIF(M20:M38,TRUE,V20:V38)+SUMIF(N20:N38,TRUE,Z20:Z38)-SUMIFS(AC20:AC38,M20:M38,TRUE,N20:N38,TRUE))</f>
        <v>0</v>
      </c>
      <c r="H57" s="377" t="e">
        <f>G57/SUM(G20:G38)</f>
        <v>#DIV/0!</v>
      </c>
      <c r="I57" s="828" t="e">
        <f>IF(G55="","",IF(H57&lt;67%,"Error: The FI must cover 67% or more of segments A, B, C, and D","Coverage OK"))</f>
        <v>#DIV/0!</v>
      </c>
      <c r="J57" s="828"/>
      <c r="K57" s="828"/>
      <c r="L57" s="355"/>
      <c r="M57" s="706"/>
      <c r="N57" s="706"/>
      <c r="O57" s="706"/>
      <c r="P57" s="14"/>
      <c r="Q57" s="381"/>
      <c r="R57" s="381"/>
      <c r="S57" s="378"/>
      <c r="T57" s="378"/>
      <c r="U57" s="379"/>
      <c r="V57" s="381"/>
      <c r="W57" s="381"/>
      <c r="X57" s="382"/>
      <c r="Y57" s="582"/>
      <c r="Z57" s="12"/>
      <c r="AA57" s="12"/>
      <c r="AB57" s="358"/>
      <c r="AC57" s="12"/>
      <c r="AD57" s="12"/>
      <c r="AE57" s="358"/>
      <c r="AF57" s="353"/>
      <c r="AG57" s="353"/>
      <c r="AH57" s="355"/>
    </row>
    <row r="58" spans="1:37" s="356" customFormat="1" ht="37.25" hidden="1" customHeight="1" outlineLevel="1">
      <c r="A58" s="575"/>
      <c r="B58" s="812" t="s">
        <v>157</v>
      </c>
      <c r="C58" s="813"/>
      <c r="D58" s="813"/>
      <c r="E58" s="813"/>
      <c r="F58" s="813"/>
      <c r="G58" s="557">
        <f>SUMIF(M20:M38,TRUE,V20:V38)</f>
        <v>0</v>
      </c>
      <c r="H58" s="365" t="e">
        <f>G58/SUM(G20:G38)</f>
        <v>#DIV/0!</v>
      </c>
      <c r="I58" s="368"/>
      <c r="J58" s="368"/>
      <c r="K58" s="368"/>
      <c r="L58" s="355"/>
      <c r="M58" s="706"/>
      <c r="N58" s="706"/>
      <c r="O58" s="706"/>
      <c r="P58" s="14"/>
      <c r="Q58" s="383"/>
      <c r="R58" s="383"/>
      <c r="S58" s="378"/>
      <c r="T58" s="378"/>
      <c r="U58" s="378"/>
      <c r="V58" s="383"/>
      <c r="W58" s="383"/>
      <c r="X58" s="384"/>
      <c r="Y58" s="585"/>
      <c r="Z58" s="12"/>
      <c r="AA58" s="12"/>
      <c r="AB58" s="358"/>
      <c r="AC58" s="12"/>
      <c r="AD58" s="12"/>
      <c r="AE58" s="358"/>
      <c r="AF58" s="353"/>
      <c r="AG58" s="353"/>
      <c r="AH58" s="355"/>
    </row>
    <row r="59" spans="1:37" s="356" customFormat="1" ht="37.25" hidden="1" customHeight="1" outlineLevel="1">
      <c r="A59" s="575"/>
      <c r="B59" s="812" t="s">
        <v>158</v>
      </c>
      <c r="C59" s="813"/>
      <c r="D59" s="813"/>
      <c r="E59" s="813"/>
      <c r="F59" s="813"/>
      <c r="G59" s="557">
        <f>SUMIF(N20:N38,TRUE,Z20:Z38)</f>
        <v>0</v>
      </c>
      <c r="H59" s="365" t="e">
        <f>G59/SUM(G20:G38)</f>
        <v>#DIV/0!</v>
      </c>
      <c r="I59" s="385"/>
      <c r="J59" s="385"/>
      <c r="K59" s="385"/>
      <c r="L59" s="355"/>
      <c r="M59" s="706"/>
      <c r="N59" s="706"/>
      <c r="O59" s="706"/>
      <c r="P59" s="14"/>
      <c r="Q59" s="383"/>
      <c r="R59" s="383"/>
      <c r="S59" s="378"/>
      <c r="T59" s="378"/>
      <c r="U59" s="378"/>
      <c r="V59" s="383"/>
      <c r="W59" s="383"/>
      <c r="X59" s="384"/>
      <c r="Y59" s="585"/>
      <c r="Z59" s="12"/>
      <c r="AA59" s="12"/>
      <c r="AB59" s="358"/>
      <c r="AC59" s="12"/>
      <c r="AD59" s="12"/>
      <c r="AE59" s="358"/>
      <c r="AF59" s="353"/>
      <c r="AG59" s="353"/>
      <c r="AH59" s="355"/>
    </row>
    <row r="60" spans="1:37" s="356" customFormat="1" ht="37.25" hidden="1" customHeight="1" outlineLevel="1">
      <c r="A60" s="575"/>
      <c r="B60" s="812" t="s">
        <v>159</v>
      </c>
      <c r="C60" s="813"/>
      <c r="D60" s="813"/>
      <c r="E60" s="813"/>
      <c r="F60" s="813"/>
      <c r="G60" s="557">
        <f>SUMIFS(AC20:AC38,M20:M38,TRUE,N20:N38,TRUE)</f>
        <v>0</v>
      </c>
      <c r="H60" s="365" t="e">
        <f>G60/SUM(G20:G38)</f>
        <v>#DIV/0!</v>
      </c>
      <c r="I60" s="374"/>
      <c r="J60" s="374"/>
      <c r="K60" s="374"/>
      <c r="L60" s="374"/>
      <c r="M60" s="706"/>
      <c r="N60" s="706"/>
      <c r="O60" s="706"/>
      <c r="P60" s="14"/>
      <c r="Q60" s="383"/>
      <c r="R60" s="383"/>
      <c r="S60" s="378"/>
      <c r="T60" s="378"/>
      <c r="U60" s="378"/>
      <c r="V60" s="383"/>
      <c r="W60" s="383"/>
      <c r="X60" s="384"/>
      <c r="Y60" s="585"/>
      <c r="Z60" s="12"/>
      <c r="AA60" s="12"/>
      <c r="AB60" s="358"/>
      <c r="AC60" s="12"/>
      <c r="AD60" s="12"/>
      <c r="AE60" s="358"/>
      <c r="AF60" s="353"/>
      <c r="AG60" s="353"/>
      <c r="AH60" s="355"/>
    </row>
    <row r="61" spans="1:37" s="356" customFormat="1" ht="49.5" hidden="1" customHeight="1" outlineLevel="1">
      <c r="A61" s="12"/>
      <c r="B61" s="791" t="s">
        <v>311</v>
      </c>
      <c r="C61" s="792"/>
      <c r="D61" s="792"/>
      <c r="E61" s="792"/>
      <c r="F61" s="792"/>
      <c r="G61" s="376">
        <f>(SUMIF(M20:M38,TRUE,W20:W38)+SUMIF(N20:N38,TRUE,AA20:AA38)-SUMIFS(AD20:AD38,M20:M38,TRUE,N20:N38,TRUE))</f>
        <v>0</v>
      </c>
      <c r="H61" s="377" t="e">
        <f>G61/SUM(K20:K38)</f>
        <v>#DIV/0!</v>
      </c>
      <c r="I61" s="828" t="e">
        <f>IF(G55="","",IF(H61&lt;67%,"Error: The FI must cover 67% or more of segments A, B, C, and D","Coverage OK"))</f>
        <v>#DIV/0!</v>
      </c>
      <c r="J61" s="828"/>
      <c r="K61" s="828"/>
      <c r="L61" s="358"/>
      <c r="M61" s="706"/>
      <c r="N61" s="706"/>
      <c r="O61" s="706"/>
      <c r="P61" s="353"/>
      <c r="Q61" s="354"/>
      <c r="R61" s="354"/>
      <c r="S61" s="12"/>
      <c r="T61" s="354"/>
      <c r="U61" s="354"/>
      <c r="V61" s="354"/>
      <c r="W61" s="354"/>
      <c r="X61" s="358"/>
      <c r="Y61" s="353"/>
      <c r="Z61" s="12"/>
      <c r="AA61" s="12"/>
      <c r="AB61" s="358"/>
      <c r="AC61" s="12"/>
      <c r="AD61" s="12"/>
      <c r="AE61" s="358"/>
      <c r="AF61" s="353"/>
      <c r="AG61" s="353"/>
      <c r="AH61" s="355"/>
    </row>
    <row r="62" spans="1:37" s="356" customFormat="1">
      <c r="A62" s="12"/>
      <c r="B62" s="12"/>
      <c r="C62" s="12"/>
      <c r="D62" s="12"/>
      <c r="E62" s="12"/>
      <c r="F62" s="12"/>
      <c r="G62" s="12"/>
      <c r="H62" s="12"/>
      <c r="I62" s="12"/>
      <c r="J62" s="12"/>
      <c r="K62" s="12"/>
      <c r="L62" s="358"/>
      <c r="M62" s="12"/>
      <c r="N62" s="12"/>
      <c r="O62" s="12"/>
      <c r="P62" s="353"/>
      <c r="Q62" s="354"/>
      <c r="R62" s="354"/>
      <c r="S62" s="12"/>
      <c r="T62" s="354"/>
      <c r="U62" s="354"/>
      <c r="V62" s="354"/>
      <c r="W62" s="354"/>
      <c r="X62" s="358"/>
      <c r="Y62" s="353"/>
      <c r="Z62" s="12"/>
      <c r="AA62" s="12"/>
      <c r="AB62" s="358"/>
      <c r="AC62" s="12"/>
      <c r="AD62" s="12"/>
      <c r="AE62" s="358"/>
      <c r="AF62" s="353"/>
      <c r="AG62" s="353"/>
      <c r="AH62" s="355"/>
    </row>
    <row r="63" spans="1:37" s="356" customFormat="1">
      <c r="A63" s="12"/>
      <c r="B63" s="12"/>
      <c r="C63" s="12"/>
      <c r="D63" s="12"/>
      <c r="E63" s="12"/>
      <c r="F63" s="12"/>
      <c r="G63" s="12"/>
      <c r="H63" s="12"/>
      <c r="I63" s="12"/>
      <c r="J63" s="12"/>
      <c r="K63" s="12"/>
      <c r="L63" s="353"/>
      <c r="M63" s="12"/>
      <c r="N63" s="12"/>
      <c r="O63" s="12"/>
      <c r="P63" s="353"/>
      <c r="Q63" s="354"/>
      <c r="R63" s="354"/>
      <c r="S63" s="12"/>
      <c r="T63" s="354"/>
      <c r="U63" s="354"/>
      <c r="V63" s="354"/>
      <c r="W63" s="354"/>
      <c r="X63" s="353"/>
      <c r="Y63" s="353"/>
      <c r="Z63" s="12"/>
      <c r="AA63" s="12"/>
      <c r="AB63" s="353"/>
      <c r="AC63" s="12"/>
      <c r="AD63" s="12"/>
      <c r="AE63" s="353"/>
      <c r="AF63" s="353"/>
      <c r="AG63" s="353"/>
      <c r="AH63" s="355"/>
    </row>
    <row r="64" spans="1:37" s="356" customFormat="1" ht="22.25" customHeight="1" collapsed="1">
      <c r="A64" s="793" t="s">
        <v>161</v>
      </c>
      <c r="B64" s="793"/>
      <c r="C64" s="793"/>
      <c r="D64" s="793"/>
      <c r="E64" s="793"/>
      <c r="F64" s="793"/>
      <c r="G64" s="793"/>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552"/>
      <c r="AH64" s="355"/>
    </row>
    <row r="65" spans="1:39" s="356" customFormat="1" ht="44" hidden="1" customHeight="1" outlineLevel="1">
      <c r="A65" s="833" t="s">
        <v>312</v>
      </c>
      <c r="B65" s="833"/>
      <c r="C65" s="833"/>
      <c r="D65" s="833"/>
      <c r="E65" s="833"/>
      <c r="F65" s="833"/>
      <c r="G65" s="833"/>
      <c r="H65" s="833"/>
      <c r="I65" s="833"/>
      <c r="J65" s="833"/>
      <c r="K65" s="833"/>
      <c r="L65" s="833"/>
      <c r="M65" s="833"/>
      <c r="N65" s="833"/>
      <c r="O65" s="833"/>
      <c r="P65" s="833"/>
      <c r="Q65" s="833"/>
      <c r="R65" s="833"/>
      <c r="S65" s="833"/>
      <c r="T65" s="833"/>
      <c r="U65" s="833"/>
      <c r="V65" s="833"/>
      <c r="W65" s="833"/>
      <c r="X65" s="833"/>
      <c r="Y65" s="833"/>
      <c r="Z65" s="833"/>
      <c r="AA65" s="833"/>
      <c r="AB65" s="833"/>
      <c r="AC65" s="833"/>
      <c r="AD65" s="833"/>
      <c r="AE65" s="833"/>
      <c r="AF65" s="833"/>
      <c r="AG65" s="547"/>
      <c r="AH65" s="355"/>
    </row>
    <row r="66" spans="1:39" s="356" customFormat="1" hidden="1" outlineLevel="1" collapsed="1">
      <c r="A66" s="12"/>
      <c r="B66" s="12"/>
      <c r="C66" s="12"/>
      <c r="D66" s="12"/>
      <c r="E66" s="12"/>
      <c r="F66" s="12"/>
      <c r="G66" s="12"/>
      <c r="H66" s="12"/>
      <c r="I66" s="12"/>
      <c r="J66" s="12"/>
      <c r="K66" s="12"/>
      <c r="L66" s="358"/>
      <c r="M66" s="12"/>
      <c r="N66" s="12"/>
      <c r="O66" s="12"/>
      <c r="P66" s="353"/>
      <c r="Q66" s="354"/>
      <c r="R66" s="354"/>
      <c r="S66" s="12"/>
      <c r="T66" s="354"/>
      <c r="U66" s="354"/>
      <c r="V66" s="354"/>
      <c r="W66" s="354"/>
      <c r="X66" s="358"/>
      <c r="Y66" s="353"/>
      <c r="Z66" s="12"/>
      <c r="AA66" s="12"/>
      <c r="AB66" s="358"/>
      <c r="AC66" s="12"/>
      <c r="AD66" s="12"/>
      <c r="AE66" s="358"/>
      <c r="AF66" s="353"/>
      <c r="AG66" s="353"/>
      <c r="AH66" s="355"/>
    </row>
    <row r="67" spans="1:39" s="356" customFormat="1" ht="32.25" hidden="1" customHeight="1" outlineLevel="2">
      <c r="A67" s="12"/>
      <c r="B67" s="714" t="s">
        <v>163</v>
      </c>
      <c r="C67" s="715"/>
      <c r="D67" s="719"/>
      <c r="E67" s="720"/>
      <c r="F67" s="12"/>
      <c r="G67" s="824" t="s">
        <v>83</v>
      </c>
      <c r="H67" s="825"/>
      <c r="I67" s="825"/>
      <c r="J67" s="825"/>
      <c r="K67" s="825"/>
      <c r="L67" s="825"/>
      <c r="M67" s="825"/>
      <c r="N67" s="12"/>
      <c r="O67" s="12"/>
      <c r="P67" s="353"/>
      <c r="Q67" s="354"/>
      <c r="R67" s="354"/>
      <c r="S67" s="12"/>
      <c r="T67" s="354"/>
      <c r="U67" s="354"/>
      <c r="V67" s="354"/>
      <c r="W67" s="354"/>
      <c r="X67" s="358"/>
      <c r="Y67" s="353"/>
      <c r="Z67" s="12"/>
      <c r="AA67" s="12"/>
      <c r="AB67" s="358"/>
      <c r="AC67" s="12"/>
      <c r="AD67" s="12"/>
      <c r="AE67" s="358"/>
      <c r="AF67" s="353"/>
      <c r="AG67" s="353"/>
      <c r="AH67" s="355"/>
      <c r="AK67" s="405"/>
    </row>
    <row r="68" spans="1:39" s="356" customFormat="1" ht="32.25" hidden="1" customHeight="1" outlineLevel="2">
      <c r="A68" s="12"/>
      <c r="B68" s="714" t="s">
        <v>164</v>
      </c>
      <c r="C68" s="715"/>
      <c r="D68" s="719"/>
      <c r="E68" s="720"/>
      <c r="F68" s="12"/>
      <c r="G68" s="825"/>
      <c r="H68" s="825"/>
      <c r="I68" s="825"/>
      <c r="J68" s="825"/>
      <c r="K68" s="825"/>
      <c r="L68" s="825"/>
      <c r="M68" s="825"/>
      <c r="N68" s="12"/>
      <c r="O68" s="12"/>
      <c r="P68" s="353"/>
      <c r="Q68" s="354"/>
      <c r="R68" s="354"/>
      <c r="S68" s="12"/>
      <c r="T68" s="354"/>
      <c r="U68" s="354"/>
      <c r="V68" s="354"/>
      <c r="W68" s="354"/>
      <c r="X68" s="358"/>
      <c r="Y68" s="353"/>
      <c r="Z68" s="12"/>
      <c r="AA68" s="12"/>
      <c r="AB68" s="358"/>
      <c r="AC68" s="12"/>
      <c r="AD68" s="12"/>
      <c r="AE68" s="358"/>
      <c r="AF68" s="353"/>
      <c r="AG68" s="353"/>
      <c r="AH68" s="355"/>
      <c r="AK68" s="405"/>
    </row>
    <row r="69" spans="1:39" s="356" customFormat="1" ht="32.25" hidden="1" customHeight="1" outlineLevel="2">
      <c r="A69" s="12"/>
      <c r="B69" s="714" t="s">
        <v>165</v>
      </c>
      <c r="C69" s="715"/>
      <c r="D69" s="719"/>
      <c r="E69" s="720"/>
      <c r="F69" s="12"/>
      <c r="G69" s="825"/>
      <c r="H69" s="825"/>
      <c r="I69" s="825"/>
      <c r="J69" s="825"/>
      <c r="K69" s="825"/>
      <c r="L69" s="825"/>
      <c r="M69" s="825"/>
      <c r="N69" s="12"/>
      <c r="O69" s="12"/>
      <c r="P69" s="353"/>
      <c r="Q69" s="354"/>
      <c r="R69" s="354"/>
      <c r="S69" s="12"/>
      <c r="T69" s="354"/>
      <c r="U69" s="354"/>
      <c r="V69" s="354"/>
      <c r="W69" s="354"/>
      <c r="X69" s="358"/>
      <c r="Y69" s="353"/>
      <c r="Z69" s="12"/>
      <c r="AA69" s="12"/>
      <c r="AB69" s="358"/>
      <c r="AC69" s="12"/>
      <c r="AD69" s="12"/>
      <c r="AE69" s="358"/>
      <c r="AF69" s="353"/>
      <c r="AG69" s="353"/>
      <c r="AH69" s="355"/>
      <c r="AK69" s="405"/>
    </row>
    <row r="70" spans="1:39" s="356" customFormat="1" ht="32" hidden="1" customHeight="1" outlineLevel="2">
      <c r="A70" s="12"/>
      <c r="B70" s="714" t="s">
        <v>166</v>
      </c>
      <c r="C70" s="715"/>
      <c r="D70" s="719"/>
      <c r="E70" s="720"/>
      <c r="F70" s="12"/>
      <c r="G70" s="825"/>
      <c r="H70" s="825"/>
      <c r="I70" s="825"/>
      <c r="J70" s="825"/>
      <c r="K70" s="825"/>
      <c r="L70" s="825"/>
      <c r="M70" s="825"/>
      <c r="N70" s="12"/>
      <c r="O70" s="12"/>
      <c r="P70" s="353"/>
      <c r="Q70" s="354"/>
      <c r="R70" s="354"/>
      <c r="S70" s="12"/>
      <c r="T70" s="354"/>
      <c r="U70" s="354"/>
      <c r="V70" s="354"/>
      <c r="W70" s="354"/>
      <c r="X70" s="358"/>
      <c r="Y70" s="353"/>
      <c r="Z70" s="12"/>
      <c r="AA70" s="12"/>
      <c r="AB70" s="358"/>
      <c r="AC70" s="12"/>
      <c r="AD70" s="12"/>
      <c r="AE70" s="358"/>
      <c r="AF70" s="353"/>
      <c r="AG70" s="353"/>
      <c r="AH70" s="355"/>
      <c r="AK70" s="405"/>
    </row>
    <row r="71" spans="1:39" s="356" customFormat="1" ht="32" hidden="1" customHeight="1" outlineLevel="2">
      <c r="A71" s="12"/>
      <c r="B71" s="13"/>
      <c r="C71" s="13"/>
      <c r="D71" s="13"/>
      <c r="E71" s="13"/>
      <c r="F71" s="12"/>
      <c r="G71" s="12"/>
      <c r="H71" s="12"/>
      <c r="I71" s="12"/>
      <c r="J71" s="12"/>
      <c r="K71" s="12"/>
      <c r="L71" s="358"/>
      <c r="M71" s="12"/>
      <c r="N71" s="12"/>
      <c r="O71" s="12"/>
      <c r="P71" s="353"/>
      <c r="Q71" s="354"/>
      <c r="R71" s="354"/>
      <c r="S71" s="12"/>
      <c r="T71" s="354"/>
      <c r="U71" s="354"/>
      <c r="V71" s="354"/>
      <c r="W71" s="354"/>
      <c r="X71" s="358"/>
      <c r="Y71" s="353"/>
      <c r="Z71" s="12"/>
      <c r="AA71" s="12"/>
      <c r="AB71" s="358"/>
      <c r="AC71" s="12"/>
      <c r="AD71" s="12"/>
      <c r="AE71" s="358"/>
      <c r="AF71" s="353"/>
      <c r="AG71" s="353"/>
      <c r="AH71" s="355"/>
      <c r="AK71" s="408"/>
    </row>
    <row r="72" spans="1:39" s="356" customFormat="1" ht="48" hidden="1" customHeight="1" outlineLevel="2">
      <c r="A72" s="731" t="s">
        <v>313</v>
      </c>
      <c r="B72" s="731"/>
      <c r="C72" s="731"/>
      <c r="D72" s="731"/>
      <c r="E72" s="731"/>
      <c r="F72" s="731"/>
      <c r="G72" s="731"/>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547"/>
      <c r="AH72" s="355"/>
      <c r="AK72" s="409"/>
    </row>
    <row r="73" spans="1:39" s="356" customFormat="1" ht="22.25" hidden="1" customHeight="1" outlineLevel="2">
      <c r="A73" s="359"/>
      <c r="B73" s="357"/>
      <c r="C73" s="357"/>
      <c r="D73" s="357"/>
      <c r="E73" s="357"/>
      <c r="F73" s="357"/>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5"/>
    </row>
    <row r="74" spans="1:39" s="356" customFormat="1" ht="396" hidden="1" customHeight="1" outlineLevel="2">
      <c r="A74" s="355"/>
      <c r="B74" s="360"/>
      <c r="C74" s="706" t="s">
        <v>88</v>
      </c>
      <c r="D74" s="706"/>
      <c r="E74" s="706"/>
      <c r="F74" s="706"/>
      <c r="G74" s="706"/>
      <c r="H74" s="706"/>
      <c r="I74" s="706"/>
      <c r="J74" s="706"/>
      <c r="K74" s="706"/>
      <c r="L74" s="17"/>
      <c r="M74" s="706" t="s">
        <v>89</v>
      </c>
      <c r="N74" s="706"/>
      <c r="O74" s="706"/>
      <c r="P74" s="17"/>
      <c r="Q74" s="706" t="s">
        <v>90</v>
      </c>
      <c r="R74" s="706"/>
      <c r="S74" s="706"/>
      <c r="T74" s="706"/>
      <c r="U74" s="706"/>
      <c r="V74" s="706"/>
      <c r="W74" s="706"/>
      <c r="X74" s="17"/>
      <c r="Y74" s="706" t="s">
        <v>91</v>
      </c>
      <c r="Z74" s="706"/>
      <c r="AA74" s="706"/>
      <c r="AB74" s="17"/>
      <c r="AC74" s="706" t="s">
        <v>92</v>
      </c>
      <c r="AD74" s="706"/>
      <c r="AE74" s="17"/>
      <c r="AF74" s="709" t="s">
        <v>93</v>
      </c>
      <c r="AG74" s="706"/>
      <c r="AH74" s="355"/>
    </row>
    <row r="75" spans="1:39" s="356" customFormat="1" ht="16" hidden="1" outlineLevel="2">
      <c r="A75" s="355"/>
      <c r="B75" s="355"/>
      <c r="C75" s="355"/>
      <c r="D75" s="355"/>
      <c r="E75" s="355"/>
      <c r="F75" s="355"/>
      <c r="G75" s="355"/>
      <c r="H75" s="355"/>
      <c r="I75" s="355"/>
      <c r="J75" s="355"/>
      <c r="K75" s="355"/>
      <c r="L75" s="355"/>
      <c r="M75" s="355"/>
      <c r="N75" s="355"/>
      <c r="O75" s="355"/>
      <c r="P75" s="355"/>
      <c r="Q75" s="355"/>
      <c r="R75" s="355"/>
      <c r="S75" s="355"/>
      <c r="T75" s="355"/>
      <c r="U75" s="355"/>
      <c r="V75" s="355"/>
      <c r="W75" s="355"/>
      <c r="X75" s="355"/>
      <c r="Y75" s="353"/>
      <c r="Z75" s="12"/>
      <c r="AA75" s="12"/>
      <c r="AB75" s="355"/>
      <c r="AC75" s="355"/>
      <c r="AD75" s="355"/>
      <c r="AE75" s="355"/>
      <c r="AF75" s="355"/>
      <c r="AG75" s="355"/>
      <c r="AH75" s="355"/>
      <c r="AK75" s="410"/>
    </row>
    <row r="76" spans="1:39" s="386" customFormat="1" ht="106.25" hidden="1" customHeight="1" outlineLevel="2">
      <c r="A76" s="714" t="s">
        <v>94</v>
      </c>
      <c r="B76" s="718"/>
      <c r="C76" s="718"/>
      <c r="D76" s="718"/>
      <c r="E76" s="718"/>
      <c r="F76" s="718"/>
      <c r="G76" s="718"/>
      <c r="H76" s="718"/>
      <c r="I76" s="718"/>
      <c r="J76" s="718"/>
      <c r="K76" s="715"/>
      <c r="L76" s="361"/>
      <c r="M76" s="714" t="s">
        <v>95</v>
      </c>
      <c r="N76" s="718"/>
      <c r="O76" s="715"/>
      <c r="P76" s="13"/>
      <c r="Q76" s="714" t="s">
        <v>96</v>
      </c>
      <c r="R76" s="718"/>
      <c r="S76" s="718"/>
      <c r="T76" s="718"/>
      <c r="U76" s="718"/>
      <c r="V76" s="718"/>
      <c r="W76" s="715"/>
      <c r="X76" s="572"/>
      <c r="Y76" s="714" t="s">
        <v>97</v>
      </c>
      <c r="Z76" s="718"/>
      <c r="AA76" s="715"/>
      <c r="AB76" s="358"/>
      <c r="AC76" s="714" t="s">
        <v>98</v>
      </c>
      <c r="AD76" s="715"/>
      <c r="AE76" s="358"/>
      <c r="AF76" s="716" t="s">
        <v>796</v>
      </c>
      <c r="AG76" s="716" t="s">
        <v>795</v>
      </c>
      <c r="AH76" s="600"/>
      <c r="AK76" s="410"/>
    </row>
    <row r="77" spans="1:39" s="387" customFormat="1" ht="319" hidden="1" customHeight="1" outlineLevel="2">
      <c r="A77" s="798" t="s">
        <v>99</v>
      </c>
      <c r="B77" s="798"/>
      <c r="C77" s="714" t="s">
        <v>100</v>
      </c>
      <c r="D77" s="718"/>
      <c r="E77" s="718"/>
      <c r="F77" s="715"/>
      <c r="G77" s="546" t="s">
        <v>763</v>
      </c>
      <c r="H77" s="546" t="s">
        <v>778</v>
      </c>
      <c r="I77" s="554" t="s">
        <v>764</v>
      </c>
      <c r="J77" s="554" t="s">
        <v>765</v>
      </c>
      <c r="K77" s="554" t="s">
        <v>779</v>
      </c>
      <c r="L77" s="361"/>
      <c r="M77" s="546" t="s">
        <v>768</v>
      </c>
      <c r="N77" s="546" t="s">
        <v>769</v>
      </c>
      <c r="O77" s="554" t="s">
        <v>770</v>
      </c>
      <c r="P77" s="13"/>
      <c r="Q77" s="554" t="s">
        <v>101</v>
      </c>
      <c r="R77" s="554" t="s">
        <v>102</v>
      </c>
      <c r="S77" s="558" t="s">
        <v>103</v>
      </c>
      <c r="T77" s="558" t="s">
        <v>104</v>
      </c>
      <c r="U77" s="554" t="s">
        <v>105</v>
      </c>
      <c r="V77" s="330" t="s">
        <v>106</v>
      </c>
      <c r="W77" s="554" t="s">
        <v>771</v>
      </c>
      <c r="X77" s="573"/>
      <c r="Y77" s="546" t="s">
        <v>107</v>
      </c>
      <c r="Z77" s="546" t="s">
        <v>772</v>
      </c>
      <c r="AA77" s="546" t="s">
        <v>773</v>
      </c>
      <c r="AB77" s="358"/>
      <c r="AC77" s="546" t="s">
        <v>774</v>
      </c>
      <c r="AD77" s="546" t="s">
        <v>775</v>
      </c>
      <c r="AE77" s="358"/>
      <c r="AF77" s="717"/>
      <c r="AG77" s="717"/>
      <c r="AH77" s="588"/>
      <c r="AK77" s="410"/>
      <c r="AL77" s="387" t="s">
        <v>168</v>
      </c>
      <c r="AM77" s="387" t="s">
        <v>169</v>
      </c>
    </row>
    <row r="78" spans="1:39" s="387" customFormat="1" ht="34.25" hidden="1" customHeight="1" outlineLevel="2" collapsed="1">
      <c r="A78" s="721" t="s">
        <v>109</v>
      </c>
      <c r="B78" s="733" t="s">
        <v>110</v>
      </c>
      <c r="C78" s="734" t="s">
        <v>170</v>
      </c>
      <c r="D78" s="820" t="s">
        <v>111</v>
      </c>
      <c r="E78" s="820"/>
      <c r="F78" s="757"/>
      <c r="G78" s="710"/>
      <c r="H78" s="799" t="str">
        <f>IF(G78="","",G78/$G$160)</f>
        <v/>
      </c>
      <c r="I78" s="710"/>
      <c r="J78" s="710"/>
      <c r="K78" s="712" t="str">
        <f>IF(SUM(I78:J79)=0,"",SUM(I78:J79))</f>
        <v/>
      </c>
      <c r="L78" s="362"/>
      <c r="M78" s="796"/>
      <c r="N78" s="401" t="b">
        <v>0</v>
      </c>
      <c r="O78" s="5"/>
      <c r="P78" s="363"/>
      <c r="Q78" s="712"/>
      <c r="R78" s="710"/>
      <c r="S78" s="710"/>
      <c r="T78" s="710"/>
      <c r="U78" s="710"/>
      <c r="V78" s="712">
        <f t="shared" ref="V78:V79" si="8">IF(M78=TRUE,SUM(Q78:U78),0)</f>
        <v>0</v>
      </c>
      <c r="W78" s="712"/>
      <c r="X78" s="362"/>
      <c r="Y78" s="364" t="s">
        <v>112</v>
      </c>
      <c r="Z78" s="5"/>
      <c r="AA78" s="5"/>
      <c r="AB78" s="358"/>
      <c r="AC78" s="712"/>
      <c r="AD78" s="712"/>
      <c r="AE78" s="358"/>
      <c r="AF78" s="712" t="str">
        <f t="shared" ref="AF78:AF82" si="9">IF(G78="","",IF(AND(V78="",Z78="",Z79="",AC78=""),"Missing Info",IF(G78-V78-Z78-Z79+AC78=0,"OK","Review financial exposure")))</f>
        <v/>
      </c>
      <c r="AG78" s="712" t="str">
        <f>IF(K78="","",IF(AND(W78="",AA78="",AA79="",AD78=""),"Missing Info",IF(K78-W78-AA78-AA79+AD78=0,"OK","Review emissions")))</f>
        <v/>
      </c>
      <c r="AH78" s="588"/>
      <c r="AK78" s="107" t="s">
        <v>171</v>
      </c>
      <c r="AL78" s="387">
        <f>COUNTIFS($AK$78:$AK$143,$AK78,M$78:M$143,TRUE)</f>
        <v>0</v>
      </c>
      <c r="AM78" s="387">
        <f>COUNTIFS($AK$78:$AK$143,$AK78,N$78:N$143,TRUE)</f>
        <v>0</v>
      </c>
    </row>
    <row r="79" spans="1:39" s="387" customFormat="1" ht="34.25" hidden="1" customHeight="1" outlineLevel="3">
      <c r="A79" s="722"/>
      <c r="B79" s="733"/>
      <c r="C79" s="735"/>
      <c r="D79" s="821"/>
      <c r="E79" s="821"/>
      <c r="F79" s="761"/>
      <c r="G79" s="711"/>
      <c r="H79" s="800"/>
      <c r="I79" s="711"/>
      <c r="J79" s="711"/>
      <c r="K79" s="713"/>
      <c r="L79" s="362"/>
      <c r="M79" s="797"/>
      <c r="N79" s="401" t="b">
        <v>0</v>
      </c>
      <c r="O79" s="5"/>
      <c r="P79" s="363"/>
      <c r="Q79" s="713"/>
      <c r="R79" s="711"/>
      <c r="S79" s="711"/>
      <c r="T79" s="711"/>
      <c r="U79" s="711"/>
      <c r="V79" s="713">
        <f t="shared" si="8"/>
        <v>0</v>
      </c>
      <c r="W79" s="713"/>
      <c r="X79" s="362"/>
      <c r="Y79" s="364" t="s">
        <v>114</v>
      </c>
      <c r="Z79" s="5"/>
      <c r="AA79" s="5"/>
      <c r="AB79" s="358"/>
      <c r="AC79" s="713"/>
      <c r="AD79" s="713"/>
      <c r="AE79" s="358"/>
      <c r="AF79" s="713"/>
      <c r="AG79" s="713"/>
      <c r="AH79" s="588"/>
      <c r="AK79" s="107" t="s">
        <v>171</v>
      </c>
      <c r="AL79" s="387">
        <f t="shared" ref="AL79:AL142" si="10">COUNTIFS($AK$78:$AK$143,$AK79,M$78:M$143,TRUE)</f>
        <v>0</v>
      </c>
      <c r="AM79" s="387">
        <f t="shared" ref="AM79:AM142" si="11">COUNTIFS($AK$78:$AK$143,$AK79,N$78:N$143,TRUE)</f>
        <v>0</v>
      </c>
    </row>
    <row r="80" spans="1:39" s="387" customFormat="1" ht="63" hidden="1" customHeight="1" outlineLevel="3">
      <c r="A80" s="722"/>
      <c r="B80" s="733"/>
      <c r="C80" s="735"/>
      <c r="D80" s="728" t="s">
        <v>115</v>
      </c>
      <c r="E80" s="764" t="s">
        <v>287</v>
      </c>
      <c r="F80" s="765"/>
      <c r="G80" s="710"/>
      <c r="H80" s="799" t="str">
        <f>IF(G80="","",G80/$G$160)</f>
        <v/>
      </c>
      <c r="I80" s="710"/>
      <c r="J80" s="710"/>
      <c r="K80" s="712" t="str">
        <f>IF(SUM(I80:J81)=0,"",SUM(I80:J81))</f>
        <v/>
      </c>
      <c r="L80" s="362"/>
      <c r="M80" s="796"/>
      <c r="N80" s="401" t="b">
        <v>0</v>
      </c>
      <c r="O80" s="5"/>
      <c r="P80" s="363"/>
      <c r="Q80" s="712"/>
      <c r="R80" s="710"/>
      <c r="S80" s="710"/>
      <c r="T80" s="710"/>
      <c r="U80" s="710"/>
      <c r="V80" s="712">
        <f t="shared" ref="V80:V83" si="12">IF(M80=TRUE,SUM(Q80:U80),0)</f>
        <v>0</v>
      </c>
      <c r="W80" s="712"/>
      <c r="X80" s="362"/>
      <c r="Y80" s="364" t="s">
        <v>112</v>
      </c>
      <c r="Z80" s="5"/>
      <c r="AA80" s="5"/>
      <c r="AB80" s="358"/>
      <c r="AC80" s="712"/>
      <c r="AD80" s="712"/>
      <c r="AE80" s="358"/>
      <c r="AF80" s="712" t="str">
        <f t="shared" si="9"/>
        <v/>
      </c>
      <c r="AG80" s="712" t="str">
        <f>IF(K80="","",IF(AND(W80="",AA80="",AA81="",AD80=""),"Missing Info",IF(K80-W80-AA80-AA81+AD80=0,"OK","Review emissions")))</f>
        <v/>
      </c>
      <c r="AH80" s="588"/>
      <c r="AK80" s="107" t="s">
        <v>171</v>
      </c>
      <c r="AL80" s="387">
        <f t="shared" si="10"/>
        <v>0</v>
      </c>
      <c r="AM80" s="387">
        <f t="shared" si="11"/>
        <v>0</v>
      </c>
    </row>
    <row r="81" spans="1:39" s="387" customFormat="1" ht="73" hidden="1" customHeight="1" outlineLevel="3">
      <c r="A81" s="722"/>
      <c r="B81" s="733"/>
      <c r="C81" s="735"/>
      <c r="D81" s="823"/>
      <c r="E81" s="766"/>
      <c r="F81" s="767"/>
      <c r="G81" s="711"/>
      <c r="H81" s="800"/>
      <c r="I81" s="711"/>
      <c r="J81" s="711"/>
      <c r="K81" s="713"/>
      <c r="L81" s="362"/>
      <c r="M81" s="797"/>
      <c r="N81" s="401" t="b">
        <v>0</v>
      </c>
      <c r="O81" s="5"/>
      <c r="P81" s="363"/>
      <c r="Q81" s="713"/>
      <c r="R81" s="711"/>
      <c r="S81" s="711"/>
      <c r="T81" s="711"/>
      <c r="U81" s="711"/>
      <c r="V81" s="713">
        <f t="shared" si="12"/>
        <v>0</v>
      </c>
      <c r="W81" s="713"/>
      <c r="X81" s="362"/>
      <c r="Y81" s="364" t="s">
        <v>114</v>
      </c>
      <c r="Z81" s="5"/>
      <c r="AA81" s="5"/>
      <c r="AB81" s="358"/>
      <c r="AC81" s="713"/>
      <c r="AD81" s="713"/>
      <c r="AE81" s="358"/>
      <c r="AF81" s="713"/>
      <c r="AG81" s="713"/>
      <c r="AH81" s="588"/>
      <c r="AK81" s="107" t="s">
        <v>171</v>
      </c>
      <c r="AL81" s="387">
        <f t="shared" si="10"/>
        <v>0</v>
      </c>
      <c r="AM81" s="387">
        <f t="shared" si="11"/>
        <v>0</v>
      </c>
    </row>
    <row r="82" spans="1:39" s="387" customFormat="1" ht="39" hidden="1" customHeight="1" outlineLevel="3">
      <c r="A82" s="722"/>
      <c r="B82" s="733"/>
      <c r="C82" s="735"/>
      <c r="D82" s="823"/>
      <c r="E82" s="782" t="s">
        <v>117</v>
      </c>
      <c r="F82" s="765"/>
      <c r="G82" s="710"/>
      <c r="H82" s="799" t="str">
        <f>IF(G82="","",G82/$G$160)</f>
        <v/>
      </c>
      <c r="I82" s="710"/>
      <c r="J82" s="710"/>
      <c r="K82" s="712" t="str">
        <f>IF(SUM(I82:J83)=0,"",SUM(I82:J83))</f>
        <v/>
      </c>
      <c r="L82" s="362"/>
      <c r="M82" s="796"/>
      <c r="N82" s="401" t="b">
        <v>0</v>
      </c>
      <c r="O82" s="5"/>
      <c r="P82" s="363"/>
      <c r="Q82" s="712"/>
      <c r="R82" s="710"/>
      <c r="S82" s="710"/>
      <c r="T82" s="710"/>
      <c r="U82" s="710"/>
      <c r="V82" s="712">
        <f t="shared" si="12"/>
        <v>0</v>
      </c>
      <c r="W82" s="712"/>
      <c r="X82" s="362"/>
      <c r="Y82" s="364" t="s">
        <v>112</v>
      </c>
      <c r="Z82" s="5"/>
      <c r="AA82" s="5"/>
      <c r="AB82" s="358"/>
      <c r="AC82" s="712"/>
      <c r="AD82" s="712"/>
      <c r="AE82" s="358"/>
      <c r="AF82" s="712" t="str">
        <f t="shared" si="9"/>
        <v/>
      </c>
      <c r="AG82" s="712" t="str">
        <f>IF(K82="","",IF(AND(W82="",AA82="",AA83="",AD82=""),"Missing Info",IF(K82-W82-AA82-AA83+AD82=0,"OK","Review emissions")))</f>
        <v/>
      </c>
      <c r="AH82" s="588"/>
      <c r="AK82" s="107" t="s">
        <v>171</v>
      </c>
      <c r="AL82" s="387">
        <f t="shared" si="10"/>
        <v>0</v>
      </c>
      <c r="AM82" s="387">
        <f t="shared" si="11"/>
        <v>0</v>
      </c>
    </row>
    <row r="83" spans="1:39" s="387" customFormat="1" ht="39" hidden="1" customHeight="1" outlineLevel="3">
      <c r="A83" s="723"/>
      <c r="B83" s="733"/>
      <c r="C83" s="735"/>
      <c r="D83" s="730"/>
      <c r="E83" s="783"/>
      <c r="F83" s="767"/>
      <c r="G83" s="711"/>
      <c r="H83" s="800"/>
      <c r="I83" s="711"/>
      <c r="J83" s="711"/>
      <c r="K83" s="713"/>
      <c r="L83" s="362"/>
      <c r="M83" s="797"/>
      <c r="N83" s="401" t="b">
        <v>0</v>
      </c>
      <c r="O83" s="5"/>
      <c r="P83" s="363"/>
      <c r="Q83" s="713"/>
      <c r="R83" s="711"/>
      <c r="S83" s="711"/>
      <c r="T83" s="711"/>
      <c r="U83" s="711"/>
      <c r="V83" s="713">
        <f t="shared" si="12"/>
        <v>0</v>
      </c>
      <c r="W83" s="713"/>
      <c r="X83" s="362"/>
      <c r="Y83" s="364" t="s">
        <v>114</v>
      </c>
      <c r="Z83" s="5"/>
      <c r="AA83" s="5"/>
      <c r="AB83" s="358"/>
      <c r="AC83" s="713"/>
      <c r="AD83" s="713"/>
      <c r="AE83" s="358"/>
      <c r="AF83" s="713"/>
      <c r="AG83" s="713"/>
      <c r="AH83" s="588"/>
      <c r="AK83" s="107" t="s">
        <v>171</v>
      </c>
      <c r="AL83" s="387">
        <f t="shared" si="10"/>
        <v>0</v>
      </c>
      <c r="AM83" s="387">
        <f t="shared" si="11"/>
        <v>0</v>
      </c>
    </row>
    <row r="84" spans="1:39" s="387" customFormat="1" ht="39" hidden="1" customHeight="1" outlineLevel="3">
      <c r="A84" s="721" t="s">
        <v>759</v>
      </c>
      <c r="B84" s="733"/>
      <c r="C84" s="735"/>
      <c r="D84" s="724" t="s">
        <v>762</v>
      </c>
      <c r="E84" s="725"/>
      <c r="F84" s="726"/>
      <c r="G84" s="5"/>
      <c r="H84" s="365" t="str">
        <f t="shared" ref="H84:H94" si="13">IF(G84="","",G84/$G$160)</f>
        <v/>
      </c>
      <c r="I84" s="5"/>
      <c r="J84" s="5"/>
      <c r="K84" s="557" t="str">
        <f t="shared" ref="K84:K93" si="14">IF(SUM(I84:J84)=0,"",SUM(I84:J84))</f>
        <v/>
      </c>
      <c r="L84" s="362"/>
      <c r="M84" s="401" t="b">
        <v>0</v>
      </c>
      <c r="N84" s="401" t="b">
        <v>0</v>
      </c>
      <c r="O84" s="5"/>
      <c r="P84" s="363"/>
      <c r="Q84" s="557"/>
      <c r="R84" s="5"/>
      <c r="S84" s="5"/>
      <c r="T84" s="5"/>
      <c r="U84" s="5"/>
      <c r="V84" s="557">
        <f t="shared" ref="V84:V115" si="15">IF(M84=TRUE,SUM(Q84:U84),0)</f>
        <v>0</v>
      </c>
      <c r="W84" s="5"/>
      <c r="X84" s="362"/>
      <c r="Y84" s="364" t="s">
        <v>112</v>
      </c>
      <c r="Z84" s="5"/>
      <c r="AA84" s="5"/>
      <c r="AB84" s="358"/>
      <c r="AC84" s="5"/>
      <c r="AD84" s="5"/>
      <c r="AE84" s="358"/>
      <c r="AF84" s="557" t="str">
        <f t="shared" ref="AF84:AF93" si="16">IF(G84="","",IF(AND(V84="",Z84="",AC84=""),"Missing Info",IF(G84-V84-Z84+AC84=0,"OK","Review financial exposure")))</f>
        <v/>
      </c>
      <c r="AG84" s="557" t="str">
        <f t="shared" ref="AG84:AG93" si="17">IF(K84="","",IF(AND(W84="",AA84="",AD84=""),"Missing Info",IF(K84-W84-AA84+AD84=0,"OK","Review emissions")))</f>
        <v/>
      </c>
      <c r="AH84" s="588"/>
      <c r="AK84" s="107" t="s">
        <v>172</v>
      </c>
      <c r="AL84" s="387">
        <f t="shared" si="10"/>
        <v>0</v>
      </c>
      <c r="AM84" s="387">
        <f t="shared" si="11"/>
        <v>0</v>
      </c>
    </row>
    <row r="85" spans="1:39" s="387" customFormat="1" ht="131" hidden="1" customHeight="1" outlineLevel="3">
      <c r="A85" s="722"/>
      <c r="B85" s="733"/>
      <c r="C85" s="735"/>
      <c r="D85" s="728" t="s">
        <v>761</v>
      </c>
      <c r="E85" s="762" t="s">
        <v>287</v>
      </c>
      <c r="F85" s="763"/>
      <c r="G85" s="5"/>
      <c r="H85" s="365" t="str">
        <f t="shared" si="13"/>
        <v/>
      </c>
      <c r="I85" s="5"/>
      <c r="J85" s="5"/>
      <c r="K85" s="557" t="str">
        <f t="shared" si="14"/>
        <v/>
      </c>
      <c r="L85" s="362"/>
      <c r="M85" s="401" t="b">
        <v>0</v>
      </c>
      <c r="N85" s="401" t="b">
        <v>0</v>
      </c>
      <c r="O85" s="5"/>
      <c r="P85" s="363"/>
      <c r="Q85" s="557"/>
      <c r="R85" s="5"/>
      <c r="S85" s="5"/>
      <c r="T85" s="5"/>
      <c r="U85" s="5"/>
      <c r="V85" s="557">
        <f t="shared" si="15"/>
        <v>0</v>
      </c>
      <c r="W85" s="5"/>
      <c r="X85" s="362"/>
      <c r="Y85" s="364" t="s">
        <v>112</v>
      </c>
      <c r="Z85" s="5"/>
      <c r="AA85" s="5"/>
      <c r="AB85" s="358"/>
      <c r="AC85" s="5"/>
      <c r="AD85" s="5"/>
      <c r="AE85" s="358"/>
      <c r="AF85" s="557" t="str">
        <f t="shared" si="16"/>
        <v/>
      </c>
      <c r="AG85" s="557" t="str">
        <f t="shared" si="17"/>
        <v/>
      </c>
      <c r="AH85" s="588"/>
      <c r="AK85" s="107" t="s">
        <v>172</v>
      </c>
      <c r="AL85" s="387">
        <f t="shared" si="10"/>
        <v>0</v>
      </c>
      <c r="AM85" s="387">
        <f t="shared" si="11"/>
        <v>0</v>
      </c>
    </row>
    <row r="86" spans="1:39" s="387" customFormat="1" ht="39" hidden="1" customHeight="1" outlineLevel="3">
      <c r="A86" s="723"/>
      <c r="B86" s="788"/>
      <c r="C86" s="736"/>
      <c r="D86" s="730"/>
      <c r="E86" s="762" t="s">
        <v>117</v>
      </c>
      <c r="F86" s="763"/>
      <c r="G86" s="5"/>
      <c r="H86" s="365" t="str">
        <f t="shared" si="13"/>
        <v/>
      </c>
      <c r="I86" s="5"/>
      <c r="J86" s="5"/>
      <c r="K86" s="557" t="str">
        <f t="shared" si="14"/>
        <v/>
      </c>
      <c r="L86" s="362"/>
      <c r="M86" s="401" t="b">
        <v>0</v>
      </c>
      <c r="N86" s="401" t="b">
        <v>0</v>
      </c>
      <c r="O86" s="5"/>
      <c r="P86" s="363"/>
      <c r="Q86" s="557"/>
      <c r="R86" s="5"/>
      <c r="S86" s="5"/>
      <c r="T86" s="5"/>
      <c r="U86" s="5"/>
      <c r="V86" s="557">
        <f t="shared" si="15"/>
        <v>0</v>
      </c>
      <c r="W86" s="5"/>
      <c r="X86" s="362"/>
      <c r="Y86" s="364" t="s">
        <v>112</v>
      </c>
      <c r="Z86" s="5"/>
      <c r="AA86" s="5"/>
      <c r="AB86" s="358"/>
      <c r="AC86" s="5"/>
      <c r="AD86" s="5"/>
      <c r="AE86" s="358"/>
      <c r="AF86" s="557" t="str">
        <f t="shared" si="16"/>
        <v/>
      </c>
      <c r="AG86" s="557" t="str">
        <f t="shared" si="17"/>
        <v/>
      </c>
      <c r="AH86" s="588"/>
      <c r="AK86" s="107" t="s">
        <v>172</v>
      </c>
      <c r="AL86" s="387">
        <f t="shared" si="10"/>
        <v>0</v>
      </c>
      <c r="AM86" s="387">
        <f t="shared" si="11"/>
        <v>0</v>
      </c>
    </row>
    <row r="87" spans="1:39" s="391" customFormat="1" ht="39" hidden="1" customHeight="1" outlineLevel="2" collapsed="1">
      <c r="A87" s="721" t="s">
        <v>118</v>
      </c>
      <c r="B87" s="732" t="s">
        <v>119</v>
      </c>
      <c r="C87" s="724" t="s">
        <v>120</v>
      </c>
      <c r="D87" s="725"/>
      <c r="E87" s="725"/>
      <c r="F87" s="726"/>
      <c r="G87" s="5"/>
      <c r="H87" s="365" t="str">
        <f t="shared" si="13"/>
        <v/>
      </c>
      <c r="I87" s="5"/>
      <c r="J87" s="5"/>
      <c r="K87" s="557" t="str">
        <f t="shared" si="14"/>
        <v/>
      </c>
      <c r="L87" s="362"/>
      <c r="M87" s="31" t="b">
        <v>0</v>
      </c>
      <c r="N87" s="389"/>
      <c r="O87" s="402"/>
      <c r="P87" s="363"/>
      <c r="Q87" s="557"/>
      <c r="R87" s="5"/>
      <c r="S87" s="5"/>
      <c r="T87" s="5"/>
      <c r="U87" s="5"/>
      <c r="V87" s="557">
        <f t="shared" si="15"/>
        <v>0</v>
      </c>
      <c r="W87" s="5"/>
      <c r="X87" s="362"/>
      <c r="Y87" s="557"/>
      <c r="Z87" s="557"/>
      <c r="AA87" s="557"/>
      <c r="AB87" s="390"/>
      <c r="AC87" s="557"/>
      <c r="AD87" s="557"/>
      <c r="AE87" s="362"/>
      <c r="AF87" s="557" t="str">
        <f t="shared" si="16"/>
        <v/>
      </c>
      <c r="AG87" s="557" t="str">
        <f t="shared" si="17"/>
        <v/>
      </c>
      <c r="AH87" s="589"/>
      <c r="AK87" s="107" t="s">
        <v>173</v>
      </c>
      <c r="AL87" s="387">
        <f t="shared" si="10"/>
        <v>0</v>
      </c>
      <c r="AM87" s="387">
        <f t="shared" si="11"/>
        <v>0</v>
      </c>
    </row>
    <row r="88" spans="1:39" s="391" customFormat="1" ht="146" hidden="1" customHeight="1" outlineLevel="3">
      <c r="A88" s="722"/>
      <c r="B88" s="733"/>
      <c r="C88" s="756" t="s">
        <v>122</v>
      </c>
      <c r="D88" s="757"/>
      <c r="E88" s="764" t="s">
        <v>288</v>
      </c>
      <c r="F88" s="765"/>
      <c r="G88" s="5"/>
      <c r="H88" s="365" t="str">
        <f t="shared" si="13"/>
        <v/>
      </c>
      <c r="I88" s="5"/>
      <c r="J88" s="5"/>
      <c r="K88" s="557" t="str">
        <f t="shared" si="14"/>
        <v/>
      </c>
      <c r="L88" s="362"/>
      <c r="M88" s="31" t="b">
        <v>0</v>
      </c>
      <c r="N88" s="389"/>
      <c r="O88" s="402"/>
      <c r="P88" s="363"/>
      <c r="Q88" s="557"/>
      <c r="R88" s="5"/>
      <c r="S88" s="5"/>
      <c r="T88" s="5"/>
      <c r="U88" s="5"/>
      <c r="V88" s="557">
        <f t="shared" si="15"/>
        <v>0</v>
      </c>
      <c r="W88" s="5"/>
      <c r="X88" s="362"/>
      <c r="Y88" s="557"/>
      <c r="Z88" s="557"/>
      <c r="AA88" s="557"/>
      <c r="AB88" s="390"/>
      <c r="AC88" s="557"/>
      <c r="AD88" s="557"/>
      <c r="AE88" s="362"/>
      <c r="AF88" s="557" t="str">
        <f t="shared" si="16"/>
        <v/>
      </c>
      <c r="AG88" s="557" t="str">
        <f t="shared" si="17"/>
        <v/>
      </c>
      <c r="AH88" s="589"/>
      <c r="AK88" s="107" t="s">
        <v>173</v>
      </c>
      <c r="AL88" s="387">
        <f t="shared" si="10"/>
        <v>0</v>
      </c>
      <c r="AM88" s="387">
        <f t="shared" si="11"/>
        <v>0</v>
      </c>
    </row>
    <row r="89" spans="1:39" s="391" customFormat="1" ht="39" hidden="1" customHeight="1" outlineLevel="3">
      <c r="A89" s="722"/>
      <c r="B89" s="733"/>
      <c r="C89" s="758"/>
      <c r="D89" s="759"/>
      <c r="E89" s="762" t="s">
        <v>289</v>
      </c>
      <c r="F89" s="763"/>
      <c r="G89" s="5"/>
      <c r="H89" s="365" t="str">
        <f t="shared" si="13"/>
        <v/>
      </c>
      <c r="I89" s="5"/>
      <c r="J89" s="5"/>
      <c r="K89" s="557" t="str">
        <f t="shared" si="14"/>
        <v/>
      </c>
      <c r="L89" s="362"/>
      <c r="M89" s="31" t="b">
        <v>0</v>
      </c>
      <c r="N89" s="389"/>
      <c r="O89" s="402"/>
      <c r="P89" s="363"/>
      <c r="Q89" s="557"/>
      <c r="R89" s="5"/>
      <c r="S89" s="5"/>
      <c r="T89" s="5"/>
      <c r="U89" s="5"/>
      <c r="V89" s="557">
        <f t="shared" si="15"/>
        <v>0</v>
      </c>
      <c r="W89" s="5"/>
      <c r="X89" s="362"/>
      <c r="Y89" s="557"/>
      <c r="Z89" s="557"/>
      <c r="AA89" s="557"/>
      <c r="AB89" s="390"/>
      <c r="AC89" s="557"/>
      <c r="AD89" s="557"/>
      <c r="AE89" s="362"/>
      <c r="AF89" s="557" t="str">
        <f t="shared" si="16"/>
        <v/>
      </c>
      <c r="AG89" s="557" t="str">
        <f t="shared" si="17"/>
        <v/>
      </c>
      <c r="AH89" s="589"/>
      <c r="AK89" s="107" t="s">
        <v>173</v>
      </c>
      <c r="AL89" s="387">
        <f t="shared" si="10"/>
        <v>0</v>
      </c>
      <c r="AM89" s="387">
        <f t="shared" si="11"/>
        <v>0</v>
      </c>
    </row>
    <row r="90" spans="1:39" s="391" customFormat="1" ht="39" hidden="1" customHeight="1" outlineLevel="3">
      <c r="A90" s="723"/>
      <c r="B90" s="733"/>
      <c r="C90" s="760"/>
      <c r="D90" s="761"/>
      <c r="E90" s="762" t="s">
        <v>290</v>
      </c>
      <c r="F90" s="763"/>
      <c r="G90" s="5"/>
      <c r="H90" s="365" t="str">
        <f t="shared" si="13"/>
        <v/>
      </c>
      <c r="I90" s="5"/>
      <c r="J90" s="5"/>
      <c r="K90" s="557" t="str">
        <f t="shared" si="14"/>
        <v/>
      </c>
      <c r="L90" s="362"/>
      <c r="M90" s="31" t="b">
        <v>0</v>
      </c>
      <c r="N90" s="389"/>
      <c r="O90" s="402"/>
      <c r="P90" s="363"/>
      <c r="Q90" s="557"/>
      <c r="R90" s="5"/>
      <c r="S90" s="5"/>
      <c r="T90" s="5"/>
      <c r="U90" s="5"/>
      <c r="V90" s="557">
        <f t="shared" si="15"/>
        <v>0</v>
      </c>
      <c r="W90" s="5"/>
      <c r="X90" s="362"/>
      <c r="Y90" s="557"/>
      <c r="Z90" s="557"/>
      <c r="AA90" s="557"/>
      <c r="AB90" s="390"/>
      <c r="AC90" s="557"/>
      <c r="AD90" s="557"/>
      <c r="AE90" s="362"/>
      <c r="AF90" s="557" t="str">
        <f t="shared" si="16"/>
        <v/>
      </c>
      <c r="AG90" s="557" t="str">
        <f t="shared" si="17"/>
        <v/>
      </c>
      <c r="AH90" s="589"/>
      <c r="AK90" s="107" t="s">
        <v>173</v>
      </c>
      <c r="AL90" s="387">
        <f t="shared" si="10"/>
        <v>0</v>
      </c>
      <c r="AM90" s="387">
        <f t="shared" si="11"/>
        <v>0</v>
      </c>
    </row>
    <row r="91" spans="1:39" s="391" customFormat="1" ht="39" hidden="1" customHeight="1" outlineLevel="3">
      <c r="A91" s="721" t="s">
        <v>174</v>
      </c>
      <c r="B91" s="733"/>
      <c r="C91" s="810" t="s">
        <v>175</v>
      </c>
      <c r="D91" s="737" t="s">
        <v>176</v>
      </c>
      <c r="E91" s="738"/>
      <c r="F91" s="739"/>
      <c r="G91" s="539"/>
      <c r="H91" s="365" t="str">
        <f t="shared" si="13"/>
        <v/>
      </c>
      <c r="I91" s="539"/>
      <c r="J91" s="539"/>
      <c r="K91" s="540" t="str">
        <f t="shared" si="14"/>
        <v/>
      </c>
      <c r="L91" s="362"/>
      <c r="M91" s="31" t="b">
        <v>0</v>
      </c>
      <c r="N91" s="401" t="b">
        <v>0</v>
      </c>
      <c r="O91" s="402"/>
      <c r="P91" s="363"/>
      <c r="Q91" s="540"/>
      <c r="R91" s="5"/>
      <c r="S91" s="5"/>
      <c r="T91" s="5"/>
      <c r="U91" s="5"/>
      <c r="V91" s="540">
        <f t="shared" si="15"/>
        <v>0</v>
      </c>
      <c r="W91" s="5"/>
      <c r="X91" s="362"/>
      <c r="Y91" s="364" t="s">
        <v>177</v>
      </c>
      <c r="Z91" s="5"/>
      <c r="AA91" s="5"/>
      <c r="AB91" s="392"/>
      <c r="AC91" s="5"/>
      <c r="AD91" s="5"/>
      <c r="AE91" s="362"/>
      <c r="AF91" s="557" t="str">
        <f t="shared" si="16"/>
        <v/>
      </c>
      <c r="AG91" s="557" t="str">
        <f t="shared" si="17"/>
        <v/>
      </c>
      <c r="AH91" s="589"/>
      <c r="AK91" s="107" t="s">
        <v>178</v>
      </c>
      <c r="AL91" s="387">
        <f t="shared" si="10"/>
        <v>0</v>
      </c>
      <c r="AM91" s="387">
        <f t="shared" si="11"/>
        <v>0</v>
      </c>
    </row>
    <row r="92" spans="1:39" s="391" customFormat="1" ht="122" hidden="1" customHeight="1" outlineLevel="3">
      <c r="A92" s="722"/>
      <c r="B92" s="733"/>
      <c r="C92" s="826"/>
      <c r="D92" s="734" t="s">
        <v>179</v>
      </c>
      <c r="E92" s="764" t="s">
        <v>288</v>
      </c>
      <c r="F92" s="765"/>
      <c r="G92" s="539"/>
      <c r="H92" s="365" t="str">
        <f t="shared" si="13"/>
        <v/>
      </c>
      <c r="I92" s="539"/>
      <c r="J92" s="539"/>
      <c r="K92" s="540" t="str">
        <f t="shared" si="14"/>
        <v/>
      </c>
      <c r="L92" s="362"/>
      <c r="M92" s="31" t="b">
        <v>0</v>
      </c>
      <c r="N92" s="401" t="b">
        <v>0</v>
      </c>
      <c r="O92" s="402"/>
      <c r="P92" s="363"/>
      <c r="Q92" s="540"/>
      <c r="R92" s="5"/>
      <c r="S92" s="5"/>
      <c r="T92" s="5"/>
      <c r="U92" s="5"/>
      <c r="V92" s="540">
        <f t="shared" si="15"/>
        <v>0</v>
      </c>
      <c r="W92" s="5"/>
      <c r="X92" s="362"/>
      <c r="Y92" s="364" t="s">
        <v>177</v>
      </c>
      <c r="Z92" s="5"/>
      <c r="AA92" s="5"/>
      <c r="AB92" s="392"/>
      <c r="AC92" s="5"/>
      <c r="AD92" s="5"/>
      <c r="AE92" s="362"/>
      <c r="AF92" s="557" t="str">
        <f t="shared" si="16"/>
        <v/>
      </c>
      <c r="AG92" s="557" t="str">
        <f t="shared" si="17"/>
        <v/>
      </c>
      <c r="AH92" s="589"/>
      <c r="AK92" s="107" t="s">
        <v>178</v>
      </c>
      <c r="AL92" s="387">
        <f t="shared" si="10"/>
        <v>0</v>
      </c>
      <c r="AM92" s="387">
        <f t="shared" si="11"/>
        <v>0</v>
      </c>
    </row>
    <row r="93" spans="1:39" s="391" customFormat="1" ht="39" hidden="1" customHeight="1" outlineLevel="3">
      <c r="A93" s="722"/>
      <c r="B93" s="733"/>
      <c r="C93" s="826"/>
      <c r="D93" s="736"/>
      <c r="E93" s="762" t="s">
        <v>290</v>
      </c>
      <c r="F93" s="763"/>
      <c r="G93" s="539"/>
      <c r="H93" s="365" t="str">
        <f t="shared" si="13"/>
        <v/>
      </c>
      <c r="I93" s="539"/>
      <c r="J93" s="539"/>
      <c r="K93" s="557" t="str">
        <f t="shared" si="14"/>
        <v/>
      </c>
      <c r="L93" s="362"/>
      <c r="M93" s="544" t="b">
        <v>0</v>
      </c>
      <c r="N93" s="401" t="b">
        <v>0</v>
      </c>
      <c r="O93" s="402"/>
      <c r="P93" s="363"/>
      <c r="Q93" s="557"/>
      <c r="R93" s="5"/>
      <c r="S93" s="5"/>
      <c r="T93" s="5"/>
      <c r="U93" s="5"/>
      <c r="V93" s="557">
        <f t="shared" si="15"/>
        <v>0</v>
      </c>
      <c r="W93" s="5"/>
      <c r="X93" s="362"/>
      <c r="Y93" s="364" t="s">
        <v>177</v>
      </c>
      <c r="Z93" s="5"/>
      <c r="AA93" s="5"/>
      <c r="AB93" s="392"/>
      <c r="AC93" s="5"/>
      <c r="AD93" s="5"/>
      <c r="AE93" s="363"/>
      <c r="AF93" s="557" t="str">
        <f t="shared" si="16"/>
        <v/>
      </c>
      <c r="AG93" s="557" t="str">
        <f t="shared" si="17"/>
        <v/>
      </c>
      <c r="AH93" s="589"/>
      <c r="AK93" s="107" t="s">
        <v>178</v>
      </c>
      <c r="AL93" s="387">
        <f t="shared" si="10"/>
        <v>0</v>
      </c>
      <c r="AM93" s="387">
        <f t="shared" si="11"/>
        <v>0</v>
      </c>
    </row>
    <row r="94" spans="1:39" s="391" customFormat="1" ht="39" hidden="1" customHeight="1" outlineLevel="3">
      <c r="A94" s="722"/>
      <c r="B94" s="733"/>
      <c r="C94" s="826"/>
      <c r="D94" s="740" t="s">
        <v>180</v>
      </c>
      <c r="E94" s="741"/>
      <c r="F94" s="742"/>
      <c r="G94" s="710"/>
      <c r="H94" s="799" t="str">
        <f t="shared" si="13"/>
        <v/>
      </c>
      <c r="I94" s="710"/>
      <c r="J94" s="710"/>
      <c r="K94" s="712" t="str">
        <f>IF(SUM(I94:J95)=0,"",SUM(I94:J95))</f>
        <v/>
      </c>
      <c r="L94" s="362"/>
      <c r="M94" s="808" t="b">
        <v>0</v>
      </c>
      <c r="N94" s="401" t="b">
        <v>0</v>
      </c>
      <c r="O94" s="5"/>
      <c r="P94" s="363"/>
      <c r="Q94" s="712"/>
      <c r="R94" s="710"/>
      <c r="S94" s="710"/>
      <c r="T94" s="710"/>
      <c r="U94" s="710"/>
      <c r="V94" s="712">
        <f t="shared" si="15"/>
        <v>0</v>
      </c>
      <c r="W94" s="710"/>
      <c r="X94" s="362"/>
      <c r="Y94" s="364" t="s">
        <v>181</v>
      </c>
      <c r="Z94" s="5"/>
      <c r="AA94" s="5"/>
      <c r="AB94" s="392"/>
      <c r="AC94" s="710"/>
      <c r="AD94" s="710"/>
      <c r="AE94" s="363"/>
      <c r="AF94" s="712" t="str">
        <f t="shared" ref="AF94:AF104" si="18">IF(G94="","",IF(AND(V94="",Z94="",Z95="",AC94=""),"Missing Info",IF(G94-V94-Z94-Z95+AC94=0,"OK","Review financial exposure")))</f>
        <v/>
      </c>
      <c r="AG94" s="712" t="str">
        <f>IF(K94="","",IF(AND(W94="",AA94="",AA95="",AD94=""),"Missing Info",IF(K94-W94-AA94-AA95+AD94=0,"OK","Review emissions")))</f>
        <v/>
      </c>
      <c r="AH94" s="589"/>
      <c r="AK94" s="107" t="s">
        <v>182</v>
      </c>
      <c r="AL94" s="387">
        <f t="shared" si="10"/>
        <v>0</v>
      </c>
      <c r="AM94" s="387">
        <f t="shared" si="11"/>
        <v>0</v>
      </c>
    </row>
    <row r="95" spans="1:39" s="391" customFormat="1" ht="39" hidden="1" customHeight="1" outlineLevel="3">
      <c r="A95" s="722"/>
      <c r="B95" s="733"/>
      <c r="C95" s="826"/>
      <c r="D95" s="743"/>
      <c r="E95" s="744"/>
      <c r="F95" s="745"/>
      <c r="G95" s="711"/>
      <c r="H95" s="800"/>
      <c r="I95" s="711"/>
      <c r="J95" s="711"/>
      <c r="K95" s="713"/>
      <c r="L95" s="362"/>
      <c r="M95" s="809"/>
      <c r="N95" s="401" t="b">
        <v>0</v>
      </c>
      <c r="O95" s="5"/>
      <c r="P95" s="363"/>
      <c r="Q95" s="713"/>
      <c r="R95" s="711"/>
      <c r="S95" s="711"/>
      <c r="T95" s="711"/>
      <c r="U95" s="711"/>
      <c r="V95" s="713">
        <f t="shared" si="15"/>
        <v>0</v>
      </c>
      <c r="W95" s="711"/>
      <c r="X95" s="362"/>
      <c r="Y95" s="364" t="s">
        <v>183</v>
      </c>
      <c r="Z95" s="5"/>
      <c r="AA95" s="5"/>
      <c r="AB95" s="392"/>
      <c r="AC95" s="711"/>
      <c r="AD95" s="711"/>
      <c r="AE95" s="363"/>
      <c r="AF95" s="713"/>
      <c r="AG95" s="713"/>
      <c r="AH95" s="589"/>
      <c r="AK95" s="107" t="s">
        <v>182</v>
      </c>
      <c r="AL95" s="387">
        <f t="shared" si="10"/>
        <v>0</v>
      </c>
      <c r="AM95" s="387">
        <f t="shared" si="11"/>
        <v>0</v>
      </c>
    </row>
    <row r="96" spans="1:39" s="391" customFormat="1" ht="60" hidden="1" customHeight="1" outlineLevel="3">
      <c r="A96" s="722"/>
      <c r="B96" s="733"/>
      <c r="C96" s="826"/>
      <c r="D96" s="734" t="s">
        <v>184</v>
      </c>
      <c r="E96" s="764" t="s">
        <v>288</v>
      </c>
      <c r="F96" s="765"/>
      <c r="G96" s="710"/>
      <c r="H96" s="799" t="str">
        <f>IF(G96="","",G96/$G$160)</f>
        <v/>
      </c>
      <c r="I96" s="710"/>
      <c r="J96" s="710"/>
      <c r="K96" s="712" t="str">
        <f>IF(SUM(I96:J97)=0,"",SUM(I96:J97))</f>
        <v/>
      </c>
      <c r="L96" s="362"/>
      <c r="M96" s="808" t="b">
        <v>0</v>
      </c>
      <c r="N96" s="401" t="b">
        <v>0</v>
      </c>
      <c r="O96" s="5"/>
      <c r="P96" s="363"/>
      <c r="Q96" s="712"/>
      <c r="R96" s="710"/>
      <c r="S96" s="710"/>
      <c r="T96" s="710"/>
      <c r="U96" s="710"/>
      <c r="V96" s="712">
        <f t="shared" si="15"/>
        <v>0</v>
      </c>
      <c r="W96" s="710"/>
      <c r="X96" s="362"/>
      <c r="Y96" s="364" t="s">
        <v>181</v>
      </c>
      <c r="Z96" s="5"/>
      <c r="AA96" s="5"/>
      <c r="AB96" s="392"/>
      <c r="AC96" s="710"/>
      <c r="AD96" s="710"/>
      <c r="AE96" s="363"/>
      <c r="AF96" s="712" t="str">
        <f t="shared" si="18"/>
        <v/>
      </c>
      <c r="AG96" s="712" t="str">
        <f>IF(K96="","",IF(AND(W96="",AA96="",AA97="",AD96=""),"Missing Info",IF(K96-W96-AA96-AA97+AD96=0,"OK","Review emissions")))</f>
        <v/>
      </c>
      <c r="AH96" s="589"/>
      <c r="AK96" s="107" t="s">
        <v>182</v>
      </c>
      <c r="AL96" s="387">
        <f t="shared" si="10"/>
        <v>0</v>
      </c>
      <c r="AM96" s="387">
        <f t="shared" si="11"/>
        <v>0</v>
      </c>
    </row>
    <row r="97" spans="1:39" s="391" customFormat="1" ht="60" hidden="1" customHeight="1" outlineLevel="3">
      <c r="A97" s="722"/>
      <c r="B97" s="733"/>
      <c r="C97" s="826"/>
      <c r="D97" s="735"/>
      <c r="E97" s="766"/>
      <c r="F97" s="767"/>
      <c r="G97" s="711"/>
      <c r="H97" s="800"/>
      <c r="I97" s="711"/>
      <c r="J97" s="711"/>
      <c r="K97" s="713"/>
      <c r="L97" s="362"/>
      <c r="M97" s="809"/>
      <c r="N97" s="401" t="b">
        <v>0</v>
      </c>
      <c r="O97" s="5"/>
      <c r="P97" s="363"/>
      <c r="Q97" s="713"/>
      <c r="R97" s="711"/>
      <c r="S97" s="711"/>
      <c r="T97" s="711"/>
      <c r="U97" s="711"/>
      <c r="V97" s="713">
        <f t="shared" si="15"/>
        <v>0</v>
      </c>
      <c r="W97" s="711"/>
      <c r="X97" s="362"/>
      <c r="Y97" s="364" t="s">
        <v>183</v>
      </c>
      <c r="Z97" s="5"/>
      <c r="AA97" s="5"/>
      <c r="AB97" s="392"/>
      <c r="AC97" s="711"/>
      <c r="AD97" s="711"/>
      <c r="AE97" s="363"/>
      <c r="AF97" s="713"/>
      <c r="AG97" s="713"/>
      <c r="AH97" s="589"/>
      <c r="AK97" s="107" t="s">
        <v>182</v>
      </c>
      <c r="AL97" s="387">
        <f t="shared" si="10"/>
        <v>0</v>
      </c>
      <c r="AM97" s="387">
        <f t="shared" si="11"/>
        <v>0</v>
      </c>
    </row>
    <row r="98" spans="1:39" s="391" customFormat="1" ht="39" hidden="1" customHeight="1" outlineLevel="3">
      <c r="A98" s="722"/>
      <c r="B98" s="733"/>
      <c r="C98" s="826"/>
      <c r="D98" s="735"/>
      <c r="E98" s="810" t="s">
        <v>290</v>
      </c>
      <c r="F98" s="769"/>
      <c r="G98" s="710"/>
      <c r="H98" s="799" t="str">
        <f>IF(G98="","",G98/$G$160)</f>
        <v/>
      </c>
      <c r="I98" s="710"/>
      <c r="J98" s="710"/>
      <c r="K98" s="712" t="str">
        <f>IF(SUM(I98:J99)=0,"",SUM(I98:J99))</f>
        <v/>
      </c>
      <c r="L98" s="362"/>
      <c r="M98" s="808" t="b">
        <v>0</v>
      </c>
      <c r="N98" s="401" t="b">
        <v>0</v>
      </c>
      <c r="O98" s="5"/>
      <c r="P98" s="363"/>
      <c r="Q98" s="712"/>
      <c r="R98" s="710"/>
      <c r="S98" s="710"/>
      <c r="T98" s="710"/>
      <c r="U98" s="710"/>
      <c r="V98" s="712">
        <f t="shared" si="15"/>
        <v>0</v>
      </c>
      <c r="W98" s="710"/>
      <c r="X98" s="362"/>
      <c r="Y98" s="364" t="s">
        <v>181</v>
      </c>
      <c r="Z98" s="5"/>
      <c r="AA98" s="5"/>
      <c r="AB98" s="392"/>
      <c r="AC98" s="710"/>
      <c r="AD98" s="710"/>
      <c r="AE98" s="363"/>
      <c r="AF98" s="712" t="str">
        <f t="shared" si="18"/>
        <v/>
      </c>
      <c r="AG98" s="712" t="str">
        <f>IF(K98="","",IF(AND(W98="",AA98="",AA99="",AD98=""),"Missing Info",IF(K98-W98-AA98-AA99+AD98=0,"OK","Review emissions")))</f>
        <v/>
      </c>
      <c r="AH98" s="589"/>
      <c r="AK98" s="107" t="s">
        <v>182</v>
      </c>
      <c r="AL98" s="387">
        <f t="shared" si="10"/>
        <v>0</v>
      </c>
      <c r="AM98" s="387">
        <f t="shared" si="11"/>
        <v>0</v>
      </c>
    </row>
    <row r="99" spans="1:39" s="391" customFormat="1" ht="39" hidden="1" customHeight="1" outlineLevel="3">
      <c r="A99" s="722"/>
      <c r="B99" s="733"/>
      <c r="C99" s="826"/>
      <c r="D99" s="736"/>
      <c r="E99" s="811"/>
      <c r="F99" s="771"/>
      <c r="G99" s="711"/>
      <c r="H99" s="800"/>
      <c r="I99" s="711"/>
      <c r="J99" s="711"/>
      <c r="K99" s="713"/>
      <c r="L99" s="362"/>
      <c r="M99" s="809"/>
      <c r="N99" s="401" t="b">
        <v>0</v>
      </c>
      <c r="O99" s="5"/>
      <c r="P99" s="363"/>
      <c r="Q99" s="713"/>
      <c r="R99" s="711"/>
      <c r="S99" s="711"/>
      <c r="T99" s="711"/>
      <c r="U99" s="711"/>
      <c r="V99" s="713">
        <f t="shared" si="15"/>
        <v>0</v>
      </c>
      <c r="W99" s="711"/>
      <c r="X99" s="362"/>
      <c r="Y99" s="364" t="s">
        <v>183</v>
      </c>
      <c r="Z99" s="5"/>
      <c r="AA99" s="5"/>
      <c r="AB99" s="392"/>
      <c r="AC99" s="711"/>
      <c r="AD99" s="711"/>
      <c r="AE99" s="363"/>
      <c r="AF99" s="713"/>
      <c r="AG99" s="713"/>
      <c r="AH99" s="589"/>
      <c r="AK99" s="107" t="s">
        <v>182</v>
      </c>
      <c r="AL99" s="387">
        <f t="shared" si="10"/>
        <v>0</v>
      </c>
      <c r="AM99" s="387">
        <f t="shared" si="11"/>
        <v>0</v>
      </c>
    </row>
    <row r="100" spans="1:39" s="391" customFormat="1" ht="39" hidden="1" customHeight="1" outlineLevel="3">
      <c r="A100" s="722"/>
      <c r="B100" s="733"/>
      <c r="C100" s="826"/>
      <c r="D100" s="740" t="s">
        <v>185</v>
      </c>
      <c r="E100" s="741"/>
      <c r="F100" s="742"/>
      <c r="G100" s="710"/>
      <c r="H100" s="799" t="str">
        <f>IF(G100="","",G100/$G$160)</f>
        <v/>
      </c>
      <c r="I100" s="710"/>
      <c r="J100" s="710"/>
      <c r="K100" s="712" t="str">
        <f>IF(SUM(I100:J101)=0,"",SUM(I100:J101))</f>
        <v/>
      </c>
      <c r="L100" s="362"/>
      <c r="M100" s="808" t="b">
        <v>0</v>
      </c>
      <c r="N100" s="401" t="b">
        <v>0</v>
      </c>
      <c r="O100" s="5"/>
      <c r="P100" s="363"/>
      <c r="Q100" s="712"/>
      <c r="R100" s="710"/>
      <c r="S100" s="710"/>
      <c r="T100" s="710"/>
      <c r="U100" s="710"/>
      <c r="V100" s="712">
        <f t="shared" si="15"/>
        <v>0</v>
      </c>
      <c r="W100" s="710"/>
      <c r="X100" s="362"/>
      <c r="Y100" s="364" t="s">
        <v>186</v>
      </c>
      <c r="Z100" s="5"/>
      <c r="AA100" s="5"/>
      <c r="AB100" s="392"/>
      <c r="AC100" s="710"/>
      <c r="AD100" s="710"/>
      <c r="AE100" s="363"/>
      <c r="AF100" s="712" t="str">
        <f t="shared" si="18"/>
        <v/>
      </c>
      <c r="AG100" s="712" t="str">
        <f>IF(K100="","",IF(AND(W100="",AA100="",AA101="",AD100=""),"Missing Info",IF(K100-W100-AA100-AA101+AD100=0,"OK","Review emissions")))</f>
        <v/>
      </c>
      <c r="AH100" s="589"/>
      <c r="AK100" s="107" t="s">
        <v>187</v>
      </c>
      <c r="AL100" s="387">
        <f t="shared" si="10"/>
        <v>0</v>
      </c>
      <c r="AM100" s="387">
        <f t="shared" si="11"/>
        <v>0</v>
      </c>
    </row>
    <row r="101" spans="1:39" s="391" customFormat="1" ht="39" hidden="1" customHeight="1" outlineLevel="3">
      <c r="A101" s="722"/>
      <c r="B101" s="733"/>
      <c r="C101" s="826"/>
      <c r="D101" s="743"/>
      <c r="E101" s="744"/>
      <c r="F101" s="745"/>
      <c r="G101" s="711"/>
      <c r="H101" s="800"/>
      <c r="I101" s="711"/>
      <c r="J101" s="711"/>
      <c r="K101" s="713"/>
      <c r="L101" s="362"/>
      <c r="M101" s="809"/>
      <c r="N101" s="401" t="b">
        <v>0</v>
      </c>
      <c r="O101" s="5"/>
      <c r="P101" s="363"/>
      <c r="Q101" s="713"/>
      <c r="R101" s="711"/>
      <c r="S101" s="711"/>
      <c r="T101" s="711"/>
      <c r="U101" s="711"/>
      <c r="V101" s="713">
        <f t="shared" si="15"/>
        <v>0</v>
      </c>
      <c r="W101" s="711"/>
      <c r="X101" s="362"/>
      <c r="Y101" s="364" t="s">
        <v>188</v>
      </c>
      <c r="Z101" s="5"/>
      <c r="AA101" s="5"/>
      <c r="AB101" s="392"/>
      <c r="AC101" s="711"/>
      <c r="AD101" s="711"/>
      <c r="AE101" s="363"/>
      <c r="AF101" s="713"/>
      <c r="AG101" s="713"/>
      <c r="AH101" s="589"/>
      <c r="AK101" s="107" t="s">
        <v>187</v>
      </c>
      <c r="AL101" s="387">
        <f t="shared" si="10"/>
        <v>0</v>
      </c>
      <c r="AM101" s="387">
        <f t="shared" si="11"/>
        <v>0</v>
      </c>
    </row>
    <row r="102" spans="1:39" s="391" customFormat="1" ht="50" hidden="1" customHeight="1" outlineLevel="3">
      <c r="A102" s="722"/>
      <c r="B102" s="733"/>
      <c r="C102" s="826"/>
      <c r="D102" s="734" t="s">
        <v>189</v>
      </c>
      <c r="E102" s="764" t="s">
        <v>288</v>
      </c>
      <c r="F102" s="765"/>
      <c r="G102" s="710"/>
      <c r="H102" s="799" t="str">
        <f>IF(G102="","",G102/$G$160)</f>
        <v/>
      </c>
      <c r="I102" s="710"/>
      <c r="J102" s="710"/>
      <c r="K102" s="712" t="str">
        <f>IF(SUM(I102:J103)=0,"",SUM(I102:J103))</f>
        <v/>
      </c>
      <c r="L102" s="362"/>
      <c r="M102" s="808" t="b">
        <v>0</v>
      </c>
      <c r="N102" s="401" t="b">
        <v>0</v>
      </c>
      <c r="O102" s="5"/>
      <c r="P102" s="363"/>
      <c r="Q102" s="712"/>
      <c r="R102" s="710"/>
      <c r="S102" s="710"/>
      <c r="T102" s="710"/>
      <c r="U102" s="710"/>
      <c r="V102" s="712">
        <f t="shared" si="15"/>
        <v>0</v>
      </c>
      <c r="W102" s="710"/>
      <c r="X102" s="362"/>
      <c r="Y102" s="364" t="s">
        <v>186</v>
      </c>
      <c r="Z102" s="5"/>
      <c r="AA102" s="5"/>
      <c r="AB102" s="392"/>
      <c r="AC102" s="710"/>
      <c r="AD102" s="710"/>
      <c r="AE102" s="363"/>
      <c r="AF102" s="712" t="str">
        <f t="shared" si="18"/>
        <v/>
      </c>
      <c r="AG102" s="712" t="str">
        <f>IF(K102="","",IF(AND(W102="",AA102="",AA103="",AD102=""),"Missing Info",IF(K102-W102-AA102-AA103+AD102=0,"OK","Review emissions")))</f>
        <v/>
      </c>
      <c r="AH102" s="589"/>
      <c r="AK102" s="107" t="s">
        <v>187</v>
      </c>
      <c r="AL102" s="387">
        <f t="shared" si="10"/>
        <v>0</v>
      </c>
      <c r="AM102" s="387">
        <f t="shared" si="11"/>
        <v>0</v>
      </c>
    </row>
    <row r="103" spans="1:39" s="391" customFormat="1" ht="50" hidden="1" customHeight="1" outlineLevel="3">
      <c r="A103" s="722"/>
      <c r="B103" s="733"/>
      <c r="C103" s="826"/>
      <c r="D103" s="735"/>
      <c r="E103" s="766"/>
      <c r="F103" s="767"/>
      <c r="G103" s="711"/>
      <c r="H103" s="800"/>
      <c r="I103" s="711"/>
      <c r="J103" s="711"/>
      <c r="K103" s="713"/>
      <c r="L103" s="362"/>
      <c r="M103" s="809"/>
      <c r="N103" s="401" t="b">
        <v>0</v>
      </c>
      <c r="O103" s="5"/>
      <c r="P103" s="363"/>
      <c r="Q103" s="713"/>
      <c r="R103" s="711"/>
      <c r="S103" s="711"/>
      <c r="T103" s="711"/>
      <c r="U103" s="711"/>
      <c r="V103" s="713">
        <f t="shared" si="15"/>
        <v>0</v>
      </c>
      <c r="W103" s="711"/>
      <c r="X103" s="362"/>
      <c r="Y103" s="364" t="s">
        <v>188</v>
      </c>
      <c r="Z103" s="5"/>
      <c r="AA103" s="5"/>
      <c r="AB103" s="392"/>
      <c r="AC103" s="711"/>
      <c r="AD103" s="711"/>
      <c r="AE103" s="363"/>
      <c r="AF103" s="713"/>
      <c r="AG103" s="713"/>
      <c r="AH103" s="589"/>
      <c r="AK103" s="107" t="s">
        <v>187</v>
      </c>
      <c r="AL103" s="387">
        <f t="shared" si="10"/>
        <v>0</v>
      </c>
      <c r="AM103" s="387">
        <f t="shared" si="11"/>
        <v>0</v>
      </c>
    </row>
    <row r="104" spans="1:39" s="391" customFormat="1" ht="39" hidden="1" customHeight="1" outlineLevel="3">
      <c r="A104" s="722"/>
      <c r="B104" s="733"/>
      <c r="C104" s="826"/>
      <c r="D104" s="735"/>
      <c r="E104" s="810" t="s">
        <v>290</v>
      </c>
      <c r="F104" s="769"/>
      <c r="G104" s="710"/>
      <c r="H104" s="799" t="str">
        <f>IF(G104="","",G104/$G$160)</f>
        <v/>
      </c>
      <c r="I104" s="710"/>
      <c r="J104" s="710"/>
      <c r="K104" s="712" t="str">
        <f>IF(SUM(I104:J105)=0,"",SUM(I104:J105))</f>
        <v/>
      </c>
      <c r="L104" s="362"/>
      <c r="M104" s="808" t="b">
        <v>0</v>
      </c>
      <c r="N104" s="401" t="b">
        <v>0</v>
      </c>
      <c r="O104" s="5"/>
      <c r="P104" s="363"/>
      <c r="Q104" s="712"/>
      <c r="R104" s="710"/>
      <c r="S104" s="710"/>
      <c r="T104" s="710"/>
      <c r="U104" s="710"/>
      <c r="V104" s="712">
        <f t="shared" si="15"/>
        <v>0</v>
      </c>
      <c r="W104" s="710"/>
      <c r="X104" s="362"/>
      <c r="Y104" s="364" t="s">
        <v>186</v>
      </c>
      <c r="Z104" s="5"/>
      <c r="AA104" s="5"/>
      <c r="AB104" s="392"/>
      <c r="AC104" s="710"/>
      <c r="AD104" s="710"/>
      <c r="AE104" s="363"/>
      <c r="AF104" s="712" t="str">
        <f t="shared" si="18"/>
        <v/>
      </c>
      <c r="AG104" s="712" t="str">
        <f>IF(K104="","",IF(AND(W104="",AA104="",AA105="",AD104=""),"Missing Info",IF(K104-W104-AA104-AA105+AD104=0,"OK","Review emissions")))</f>
        <v/>
      </c>
      <c r="AH104" s="589"/>
      <c r="AK104" s="107" t="s">
        <v>187</v>
      </c>
      <c r="AL104" s="387">
        <f t="shared" si="10"/>
        <v>0</v>
      </c>
      <c r="AM104" s="387">
        <f t="shared" si="11"/>
        <v>0</v>
      </c>
    </row>
    <row r="105" spans="1:39" s="391" customFormat="1" ht="39" hidden="1" customHeight="1" outlineLevel="3">
      <c r="A105" s="722"/>
      <c r="B105" s="733"/>
      <c r="C105" s="811"/>
      <c r="D105" s="736"/>
      <c r="E105" s="811"/>
      <c r="F105" s="771"/>
      <c r="G105" s="711"/>
      <c r="H105" s="800"/>
      <c r="I105" s="711"/>
      <c r="J105" s="711"/>
      <c r="K105" s="713"/>
      <c r="L105" s="362"/>
      <c r="M105" s="809"/>
      <c r="N105" s="401" t="b">
        <v>0</v>
      </c>
      <c r="O105" s="5"/>
      <c r="P105" s="363"/>
      <c r="Q105" s="713"/>
      <c r="R105" s="711"/>
      <c r="S105" s="711"/>
      <c r="T105" s="711"/>
      <c r="U105" s="711"/>
      <c r="V105" s="713">
        <f t="shared" si="15"/>
        <v>0</v>
      </c>
      <c r="W105" s="711"/>
      <c r="X105" s="362"/>
      <c r="Y105" s="364" t="s">
        <v>188</v>
      </c>
      <c r="Z105" s="5"/>
      <c r="AA105" s="5"/>
      <c r="AB105" s="392"/>
      <c r="AC105" s="711"/>
      <c r="AD105" s="711"/>
      <c r="AE105" s="363"/>
      <c r="AF105" s="713"/>
      <c r="AG105" s="713"/>
      <c r="AH105" s="589"/>
      <c r="AK105" s="107" t="s">
        <v>187</v>
      </c>
      <c r="AL105" s="387">
        <f t="shared" si="10"/>
        <v>0</v>
      </c>
      <c r="AM105" s="387">
        <f t="shared" si="11"/>
        <v>0</v>
      </c>
    </row>
    <row r="106" spans="1:39" s="391" customFormat="1" ht="39" hidden="1" customHeight="1" outlineLevel="3">
      <c r="A106" s="722"/>
      <c r="B106" s="733"/>
      <c r="C106" s="734" t="s">
        <v>190</v>
      </c>
      <c r="D106" s="737" t="s">
        <v>191</v>
      </c>
      <c r="E106" s="738"/>
      <c r="F106" s="739"/>
      <c r="G106" s="539"/>
      <c r="H106" s="365" t="str">
        <f t="shared" ref="H106:H112" si="19">IF(G106="","",G106/$G$160)</f>
        <v/>
      </c>
      <c r="I106" s="539"/>
      <c r="J106" s="539"/>
      <c r="K106" s="557" t="str">
        <f t="shared" ref="K106:K111" si="20">IF(SUM(I106:J106)=0,"",SUM(I106:J106))</f>
        <v/>
      </c>
      <c r="L106" s="362"/>
      <c r="M106" s="544" t="b">
        <v>0</v>
      </c>
      <c r="N106" s="401" t="b">
        <v>0</v>
      </c>
      <c r="O106" s="5"/>
      <c r="P106" s="363"/>
      <c r="Q106" s="557"/>
      <c r="R106" s="5"/>
      <c r="S106" s="5"/>
      <c r="T106" s="5"/>
      <c r="U106" s="5"/>
      <c r="V106" s="557">
        <f t="shared" si="15"/>
        <v>0</v>
      </c>
      <c r="W106" s="5"/>
      <c r="X106" s="362"/>
      <c r="Y106" s="364" t="s">
        <v>192</v>
      </c>
      <c r="Z106" s="5"/>
      <c r="AA106" s="5"/>
      <c r="AB106" s="392"/>
      <c r="AC106" s="5"/>
      <c r="AD106" s="5"/>
      <c r="AE106" s="363"/>
      <c r="AF106" s="557" t="str">
        <f t="shared" ref="AF106:AF111" si="21">IF(G106="","",IF(AND(V106="",Z106="",AC106=""),"Missing Info",IF(G106-V106-Z106+AC106=0,"OK","Review financial exposure")))</f>
        <v/>
      </c>
      <c r="AG106" s="557" t="str">
        <f t="shared" ref="AG106:AG111" si="22">IF(K106="","",IF(AND(W106="",AA106="",AD106=""),"Missing Info",IF(K106-W106-AA106+AD106=0,"OK","Review emissions")))</f>
        <v/>
      </c>
      <c r="AH106" s="589"/>
      <c r="AK106" s="107" t="s">
        <v>193</v>
      </c>
      <c r="AL106" s="387">
        <f t="shared" si="10"/>
        <v>0</v>
      </c>
      <c r="AM106" s="387">
        <f t="shared" si="11"/>
        <v>0</v>
      </c>
    </row>
    <row r="107" spans="1:39" s="391" customFormat="1" ht="101" hidden="1" customHeight="1" outlineLevel="3">
      <c r="A107" s="722"/>
      <c r="B107" s="733"/>
      <c r="C107" s="735"/>
      <c r="D107" s="734" t="s">
        <v>194</v>
      </c>
      <c r="E107" s="764" t="s">
        <v>288</v>
      </c>
      <c r="F107" s="765"/>
      <c r="G107" s="539"/>
      <c r="H107" s="365" t="str">
        <f t="shared" si="19"/>
        <v/>
      </c>
      <c r="I107" s="539"/>
      <c r="J107" s="539"/>
      <c r="K107" s="557" t="str">
        <f t="shared" si="20"/>
        <v/>
      </c>
      <c r="L107" s="362"/>
      <c r="M107" s="544" t="b">
        <v>0</v>
      </c>
      <c r="N107" s="401" t="b">
        <v>0</v>
      </c>
      <c r="O107" s="5"/>
      <c r="P107" s="363"/>
      <c r="Q107" s="557"/>
      <c r="R107" s="5"/>
      <c r="S107" s="5"/>
      <c r="T107" s="5"/>
      <c r="U107" s="5"/>
      <c r="V107" s="557">
        <f t="shared" si="15"/>
        <v>0</v>
      </c>
      <c r="W107" s="5"/>
      <c r="X107" s="362"/>
      <c r="Y107" s="364" t="s">
        <v>192</v>
      </c>
      <c r="Z107" s="5"/>
      <c r="AA107" s="5"/>
      <c r="AB107" s="392"/>
      <c r="AC107" s="5"/>
      <c r="AD107" s="5"/>
      <c r="AE107" s="363"/>
      <c r="AF107" s="557" t="str">
        <f t="shared" si="21"/>
        <v/>
      </c>
      <c r="AG107" s="557" t="str">
        <f t="shared" si="22"/>
        <v/>
      </c>
      <c r="AH107" s="589"/>
      <c r="AK107" s="107" t="s">
        <v>193</v>
      </c>
      <c r="AL107" s="387">
        <f t="shared" si="10"/>
        <v>0</v>
      </c>
      <c r="AM107" s="387">
        <f t="shared" si="11"/>
        <v>0</v>
      </c>
    </row>
    <row r="108" spans="1:39" s="391" customFormat="1" ht="39" hidden="1" customHeight="1" outlineLevel="3">
      <c r="A108" s="722"/>
      <c r="B108" s="733"/>
      <c r="C108" s="735"/>
      <c r="D108" s="736"/>
      <c r="E108" s="762" t="s">
        <v>290</v>
      </c>
      <c r="F108" s="763"/>
      <c r="G108" s="539"/>
      <c r="H108" s="365" t="str">
        <f t="shared" si="19"/>
        <v/>
      </c>
      <c r="I108" s="539"/>
      <c r="J108" s="539"/>
      <c r="K108" s="557" t="str">
        <f t="shared" si="20"/>
        <v/>
      </c>
      <c r="L108" s="362"/>
      <c r="M108" s="544" t="b">
        <v>0</v>
      </c>
      <c r="N108" s="401" t="b">
        <v>0</v>
      </c>
      <c r="O108" s="5"/>
      <c r="P108" s="363"/>
      <c r="Q108" s="557"/>
      <c r="R108" s="5"/>
      <c r="S108" s="5"/>
      <c r="T108" s="5"/>
      <c r="U108" s="5"/>
      <c r="V108" s="557">
        <f t="shared" si="15"/>
        <v>0</v>
      </c>
      <c r="W108" s="5"/>
      <c r="X108" s="362"/>
      <c r="Y108" s="364" t="s">
        <v>192</v>
      </c>
      <c r="Z108" s="5"/>
      <c r="AA108" s="5"/>
      <c r="AB108" s="392"/>
      <c r="AC108" s="5"/>
      <c r="AD108" s="5"/>
      <c r="AE108" s="363"/>
      <c r="AF108" s="557" t="str">
        <f t="shared" si="21"/>
        <v/>
      </c>
      <c r="AG108" s="557" t="str">
        <f t="shared" si="22"/>
        <v/>
      </c>
      <c r="AH108" s="589"/>
      <c r="AK108" s="107" t="s">
        <v>193</v>
      </c>
      <c r="AL108" s="387">
        <f t="shared" si="10"/>
        <v>0</v>
      </c>
      <c r="AM108" s="387">
        <f t="shared" si="11"/>
        <v>0</v>
      </c>
    </row>
    <row r="109" spans="1:39" s="391" customFormat="1" ht="39" hidden="1" customHeight="1" outlineLevel="3">
      <c r="A109" s="722"/>
      <c r="B109" s="733"/>
      <c r="C109" s="735"/>
      <c r="D109" s="737" t="s">
        <v>195</v>
      </c>
      <c r="E109" s="738"/>
      <c r="F109" s="739"/>
      <c r="G109" s="539"/>
      <c r="H109" s="365" t="str">
        <f t="shared" si="19"/>
        <v/>
      </c>
      <c r="I109" s="539"/>
      <c r="J109" s="539"/>
      <c r="K109" s="557" t="str">
        <f t="shared" si="20"/>
        <v/>
      </c>
      <c r="L109" s="362"/>
      <c r="M109" s="544" t="b">
        <v>0</v>
      </c>
      <c r="N109" s="401" t="b">
        <v>0</v>
      </c>
      <c r="O109" s="5"/>
      <c r="P109" s="363"/>
      <c r="Q109" s="557"/>
      <c r="R109" s="5"/>
      <c r="S109" s="5"/>
      <c r="T109" s="5"/>
      <c r="U109" s="5"/>
      <c r="V109" s="557">
        <f t="shared" si="15"/>
        <v>0</v>
      </c>
      <c r="W109" s="5"/>
      <c r="X109" s="362"/>
      <c r="Y109" s="364" t="s">
        <v>196</v>
      </c>
      <c r="Z109" s="5"/>
      <c r="AA109" s="5"/>
      <c r="AB109" s="392"/>
      <c r="AC109" s="5"/>
      <c r="AD109" s="5"/>
      <c r="AE109" s="363"/>
      <c r="AF109" s="557" t="str">
        <f t="shared" si="21"/>
        <v/>
      </c>
      <c r="AG109" s="557" t="str">
        <f t="shared" si="22"/>
        <v/>
      </c>
      <c r="AH109" s="589"/>
      <c r="AK109" s="107" t="s">
        <v>197</v>
      </c>
      <c r="AL109" s="387">
        <f t="shared" si="10"/>
        <v>0</v>
      </c>
      <c r="AM109" s="387">
        <f t="shared" si="11"/>
        <v>0</v>
      </c>
    </row>
    <row r="110" spans="1:39" s="391" customFormat="1" ht="96" hidden="1" customHeight="1" outlineLevel="3">
      <c r="A110" s="722"/>
      <c r="B110" s="733"/>
      <c r="C110" s="735"/>
      <c r="D110" s="734" t="s">
        <v>198</v>
      </c>
      <c r="E110" s="764" t="s">
        <v>288</v>
      </c>
      <c r="F110" s="765"/>
      <c r="G110" s="539"/>
      <c r="H110" s="365" t="str">
        <f t="shared" si="19"/>
        <v/>
      </c>
      <c r="I110" s="539"/>
      <c r="J110" s="539"/>
      <c r="K110" s="557" t="str">
        <f t="shared" si="20"/>
        <v/>
      </c>
      <c r="L110" s="362"/>
      <c r="M110" s="544" t="b">
        <v>0</v>
      </c>
      <c r="N110" s="401" t="b">
        <v>0</v>
      </c>
      <c r="O110" s="5"/>
      <c r="P110" s="363"/>
      <c r="Q110" s="557"/>
      <c r="R110" s="5"/>
      <c r="S110" s="5"/>
      <c r="T110" s="5"/>
      <c r="U110" s="5"/>
      <c r="V110" s="557">
        <f t="shared" si="15"/>
        <v>0</v>
      </c>
      <c r="W110" s="5"/>
      <c r="X110" s="362"/>
      <c r="Y110" s="364" t="s">
        <v>196</v>
      </c>
      <c r="Z110" s="5"/>
      <c r="AA110" s="5"/>
      <c r="AB110" s="392"/>
      <c r="AC110" s="5"/>
      <c r="AD110" s="5"/>
      <c r="AE110" s="363"/>
      <c r="AF110" s="557" t="str">
        <f t="shared" si="21"/>
        <v/>
      </c>
      <c r="AG110" s="557" t="str">
        <f t="shared" si="22"/>
        <v/>
      </c>
      <c r="AH110" s="589"/>
      <c r="AK110" s="107" t="s">
        <v>197</v>
      </c>
      <c r="AL110" s="387">
        <f t="shared" si="10"/>
        <v>0</v>
      </c>
      <c r="AM110" s="387">
        <f t="shared" si="11"/>
        <v>0</v>
      </c>
    </row>
    <row r="111" spans="1:39" s="391" customFormat="1" ht="39" hidden="1" customHeight="1" outlineLevel="3">
      <c r="A111" s="722"/>
      <c r="B111" s="733"/>
      <c r="C111" s="736"/>
      <c r="D111" s="736"/>
      <c r="E111" s="762" t="s">
        <v>290</v>
      </c>
      <c r="F111" s="763"/>
      <c r="G111" s="539"/>
      <c r="H111" s="365" t="str">
        <f t="shared" si="19"/>
        <v/>
      </c>
      <c r="I111" s="539"/>
      <c r="J111" s="539"/>
      <c r="K111" s="557" t="str">
        <f t="shared" si="20"/>
        <v/>
      </c>
      <c r="L111" s="362"/>
      <c r="M111" s="544" t="b">
        <v>0</v>
      </c>
      <c r="N111" s="401" t="b">
        <v>0</v>
      </c>
      <c r="O111" s="5"/>
      <c r="P111" s="363"/>
      <c r="Q111" s="557"/>
      <c r="R111" s="5"/>
      <c r="S111" s="5"/>
      <c r="T111" s="5"/>
      <c r="U111" s="5"/>
      <c r="V111" s="557">
        <f t="shared" si="15"/>
        <v>0</v>
      </c>
      <c r="W111" s="5"/>
      <c r="X111" s="362"/>
      <c r="Y111" s="364" t="s">
        <v>196</v>
      </c>
      <c r="Z111" s="5"/>
      <c r="AA111" s="5"/>
      <c r="AB111" s="392"/>
      <c r="AC111" s="5"/>
      <c r="AD111" s="5"/>
      <c r="AE111" s="363"/>
      <c r="AF111" s="557" t="str">
        <f t="shared" si="21"/>
        <v/>
      </c>
      <c r="AG111" s="557" t="str">
        <f t="shared" si="22"/>
        <v/>
      </c>
      <c r="AH111" s="589"/>
      <c r="AK111" s="107" t="s">
        <v>197</v>
      </c>
      <c r="AL111" s="387">
        <f t="shared" si="10"/>
        <v>0</v>
      </c>
      <c r="AM111" s="387">
        <f t="shared" si="11"/>
        <v>0</v>
      </c>
    </row>
    <row r="112" spans="1:39" s="391" customFormat="1" ht="39" hidden="1" customHeight="1" outlineLevel="3">
      <c r="A112" s="722"/>
      <c r="B112" s="733"/>
      <c r="C112" s="734" t="s">
        <v>199</v>
      </c>
      <c r="D112" s="740" t="s">
        <v>200</v>
      </c>
      <c r="E112" s="741"/>
      <c r="F112" s="742"/>
      <c r="G112" s="710"/>
      <c r="H112" s="799" t="str">
        <f t="shared" si="19"/>
        <v/>
      </c>
      <c r="I112" s="710"/>
      <c r="J112" s="710"/>
      <c r="K112" s="712" t="str">
        <f>IF(SUM(I112:J113)=0,"",SUM(I112:J113))</f>
        <v/>
      </c>
      <c r="L112" s="362"/>
      <c r="M112" s="808" t="b">
        <v>0</v>
      </c>
      <c r="N112" s="401" t="b">
        <v>0</v>
      </c>
      <c r="O112" s="5"/>
      <c r="P112" s="363"/>
      <c r="Q112" s="712"/>
      <c r="R112" s="710"/>
      <c r="S112" s="710"/>
      <c r="T112" s="710"/>
      <c r="U112" s="710"/>
      <c r="V112" s="712">
        <f t="shared" si="15"/>
        <v>0</v>
      </c>
      <c r="W112" s="710"/>
      <c r="X112" s="362"/>
      <c r="Y112" s="364" t="s">
        <v>201</v>
      </c>
      <c r="Z112" s="5"/>
      <c r="AA112" s="5"/>
      <c r="AB112" s="392"/>
      <c r="AC112" s="710"/>
      <c r="AD112" s="710"/>
      <c r="AE112" s="363"/>
      <c r="AF112" s="712" t="str">
        <f t="shared" ref="AF112:AF116" si="23">IF(G112="","",IF(AND(V112="",Z112="",Z113="",AC112=""),"Missing Info",IF(G112-V112-Z112-Z113+AC112=0,"OK","Review financial exposure")))</f>
        <v/>
      </c>
      <c r="AG112" s="712" t="str">
        <f>IF(K112="","",IF(AND(W112="",AA112="",AA113="",AD112=""),"Missing Info",IF(K112-W112-AA112-AA113+AD112=0,"OK","Review emissions")))</f>
        <v/>
      </c>
      <c r="AH112" s="589"/>
      <c r="AK112" s="107" t="s">
        <v>202</v>
      </c>
      <c r="AL112" s="387">
        <f t="shared" si="10"/>
        <v>0</v>
      </c>
      <c r="AM112" s="387">
        <f t="shared" si="11"/>
        <v>0</v>
      </c>
    </row>
    <row r="113" spans="1:39" s="391" customFormat="1" ht="39" hidden="1" customHeight="1" outlineLevel="3">
      <c r="A113" s="722"/>
      <c r="B113" s="733"/>
      <c r="C113" s="735"/>
      <c r="D113" s="743"/>
      <c r="E113" s="744"/>
      <c r="F113" s="745"/>
      <c r="G113" s="711"/>
      <c r="H113" s="800"/>
      <c r="I113" s="711"/>
      <c r="J113" s="711"/>
      <c r="K113" s="713"/>
      <c r="L113" s="362"/>
      <c r="M113" s="809"/>
      <c r="N113" s="401" t="b">
        <v>0</v>
      </c>
      <c r="O113" s="5"/>
      <c r="P113" s="363"/>
      <c r="Q113" s="713"/>
      <c r="R113" s="711"/>
      <c r="S113" s="711"/>
      <c r="T113" s="711"/>
      <c r="U113" s="711"/>
      <c r="V113" s="713">
        <f t="shared" si="15"/>
        <v>0</v>
      </c>
      <c r="W113" s="711"/>
      <c r="X113" s="362"/>
      <c r="Y113" s="364" t="s">
        <v>203</v>
      </c>
      <c r="Z113" s="5"/>
      <c r="AA113" s="5"/>
      <c r="AB113" s="392"/>
      <c r="AC113" s="711"/>
      <c r="AD113" s="711"/>
      <c r="AE113" s="363"/>
      <c r="AF113" s="713"/>
      <c r="AG113" s="713"/>
      <c r="AH113" s="589"/>
      <c r="AK113" s="107" t="s">
        <v>202</v>
      </c>
      <c r="AL113" s="387">
        <f t="shared" si="10"/>
        <v>0</v>
      </c>
      <c r="AM113" s="387">
        <f t="shared" si="11"/>
        <v>0</v>
      </c>
    </row>
    <row r="114" spans="1:39" s="391" customFormat="1" ht="60" hidden="1" customHeight="1" outlineLevel="3">
      <c r="A114" s="722"/>
      <c r="B114" s="733"/>
      <c r="C114" s="735"/>
      <c r="D114" s="734" t="s">
        <v>204</v>
      </c>
      <c r="E114" s="764" t="s">
        <v>288</v>
      </c>
      <c r="F114" s="765"/>
      <c r="G114" s="710"/>
      <c r="H114" s="799" t="str">
        <f>IF(G114="","",G114/$G$160)</f>
        <v/>
      </c>
      <c r="I114" s="710"/>
      <c r="J114" s="710"/>
      <c r="K114" s="712" t="str">
        <f>IF(SUM(I114:J115)=0,"",SUM(I114:J115))</f>
        <v/>
      </c>
      <c r="L114" s="362"/>
      <c r="M114" s="808" t="b">
        <v>0</v>
      </c>
      <c r="N114" s="401" t="b">
        <v>0</v>
      </c>
      <c r="O114" s="5"/>
      <c r="P114" s="363"/>
      <c r="Q114" s="712"/>
      <c r="R114" s="710"/>
      <c r="S114" s="710"/>
      <c r="T114" s="710"/>
      <c r="U114" s="710"/>
      <c r="V114" s="712">
        <f t="shared" si="15"/>
        <v>0</v>
      </c>
      <c r="W114" s="710"/>
      <c r="X114" s="362"/>
      <c r="Y114" s="364" t="s">
        <v>201</v>
      </c>
      <c r="Z114" s="5"/>
      <c r="AA114" s="5"/>
      <c r="AB114" s="392"/>
      <c r="AC114" s="710"/>
      <c r="AD114" s="710"/>
      <c r="AE114" s="363"/>
      <c r="AF114" s="712" t="str">
        <f t="shared" si="23"/>
        <v/>
      </c>
      <c r="AG114" s="712" t="str">
        <f>IF(K114="","",IF(AND(W114="",AA114="",AA115="",AD114=""),"Missing Info",IF(K114-W114-AA114-AA115+AD114=0,"OK","Review emissions")))</f>
        <v/>
      </c>
      <c r="AH114" s="589"/>
      <c r="AK114" s="107" t="s">
        <v>202</v>
      </c>
      <c r="AL114" s="387">
        <f t="shared" si="10"/>
        <v>0</v>
      </c>
      <c r="AM114" s="387">
        <f t="shared" si="11"/>
        <v>0</v>
      </c>
    </row>
    <row r="115" spans="1:39" s="391" customFormat="1" ht="60" hidden="1" customHeight="1" outlineLevel="3">
      <c r="A115" s="722"/>
      <c r="B115" s="733"/>
      <c r="C115" s="735"/>
      <c r="D115" s="735"/>
      <c r="E115" s="766"/>
      <c r="F115" s="767"/>
      <c r="G115" s="711"/>
      <c r="H115" s="800"/>
      <c r="I115" s="711"/>
      <c r="J115" s="711"/>
      <c r="K115" s="713"/>
      <c r="L115" s="362"/>
      <c r="M115" s="809"/>
      <c r="N115" s="401" t="b">
        <v>0</v>
      </c>
      <c r="O115" s="5"/>
      <c r="P115" s="363"/>
      <c r="Q115" s="713"/>
      <c r="R115" s="711"/>
      <c r="S115" s="711"/>
      <c r="T115" s="711"/>
      <c r="U115" s="711"/>
      <c r="V115" s="713">
        <f t="shared" si="15"/>
        <v>0</v>
      </c>
      <c r="W115" s="711"/>
      <c r="X115" s="362"/>
      <c r="Y115" s="364" t="s">
        <v>203</v>
      </c>
      <c r="Z115" s="5"/>
      <c r="AA115" s="5"/>
      <c r="AB115" s="392"/>
      <c r="AC115" s="711"/>
      <c r="AD115" s="711"/>
      <c r="AE115" s="363"/>
      <c r="AF115" s="713"/>
      <c r="AG115" s="713"/>
      <c r="AH115" s="589"/>
      <c r="AK115" s="107" t="s">
        <v>202</v>
      </c>
      <c r="AL115" s="387">
        <f t="shared" si="10"/>
        <v>0</v>
      </c>
      <c r="AM115" s="387">
        <f t="shared" si="11"/>
        <v>0</v>
      </c>
    </row>
    <row r="116" spans="1:39" s="391" customFormat="1" ht="39" hidden="1" customHeight="1" outlineLevel="3">
      <c r="A116" s="722"/>
      <c r="B116" s="733"/>
      <c r="C116" s="735"/>
      <c r="D116" s="735"/>
      <c r="E116" s="810" t="s">
        <v>290</v>
      </c>
      <c r="F116" s="769"/>
      <c r="G116" s="710"/>
      <c r="H116" s="799" t="str">
        <f>IF(G116="","",G116/$G$160)</f>
        <v/>
      </c>
      <c r="I116" s="710"/>
      <c r="J116" s="710"/>
      <c r="K116" s="712" t="str">
        <f>IF(SUM(I116:J117)=0,"",SUM(I116:J117))</f>
        <v/>
      </c>
      <c r="L116" s="362"/>
      <c r="M116" s="808" t="b">
        <v>0</v>
      </c>
      <c r="N116" s="401" t="b">
        <v>0</v>
      </c>
      <c r="O116" s="5"/>
      <c r="P116" s="363"/>
      <c r="Q116" s="712"/>
      <c r="R116" s="710"/>
      <c r="S116" s="710"/>
      <c r="T116" s="710"/>
      <c r="U116" s="710"/>
      <c r="V116" s="712">
        <f t="shared" ref="V116:V143" si="24">IF(M116=TRUE,SUM(Q116:U116),0)</f>
        <v>0</v>
      </c>
      <c r="W116" s="710"/>
      <c r="X116" s="362"/>
      <c r="Y116" s="364" t="s">
        <v>201</v>
      </c>
      <c r="Z116" s="5"/>
      <c r="AA116" s="5"/>
      <c r="AB116" s="392"/>
      <c r="AC116" s="710"/>
      <c r="AD116" s="710"/>
      <c r="AE116" s="363"/>
      <c r="AF116" s="712" t="str">
        <f t="shared" si="23"/>
        <v/>
      </c>
      <c r="AG116" s="712" t="str">
        <f>IF(K116="","",IF(AND(W116="",AA116="",AA117="",AD116=""),"Missing Info",IF(K116-W116-AA116-AA117+AD116=0,"OK","Review emissions")))</f>
        <v/>
      </c>
      <c r="AH116" s="589"/>
      <c r="AK116" s="107" t="s">
        <v>202</v>
      </c>
      <c r="AL116" s="387">
        <f t="shared" si="10"/>
        <v>0</v>
      </c>
      <c r="AM116" s="387">
        <f t="shared" si="11"/>
        <v>0</v>
      </c>
    </row>
    <row r="117" spans="1:39" s="391" customFormat="1" ht="39" hidden="1" customHeight="1" outlineLevel="3">
      <c r="A117" s="722"/>
      <c r="B117" s="733"/>
      <c r="C117" s="736"/>
      <c r="D117" s="736"/>
      <c r="E117" s="811"/>
      <c r="F117" s="771"/>
      <c r="G117" s="711"/>
      <c r="H117" s="800"/>
      <c r="I117" s="711"/>
      <c r="J117" s="711"/>
      <c r="K117" s="713"/>
      <c r="L117" s="362"/>
      <c r="M117" s="809"/>
      <c r="N117" s="401" t="b">
        <v>0</v>
      </c>
      <c r="O117" s="5"/>
      <c r="P117" s="363"/>
      <c r="Q117" s="713"/>
      <c r="R117" s="711"/>
      <c r="S117" s="711"/>
      <c r="T117" s="711"/>
      <c r="U117" s="711"/>
      <c r="V117" s="713">
        <f t="shared" si="24"/>
        <v>0</v>
      </c>
      <c r="W117" s="711"/>
      <c r="X117" s="362"/>
      <c r="Y117" s="364" t="s">
        <v>203</v>
      </c>
      <c r="Z117" s="5"/>
      <c r="AA117" s="5"/>
      <c r="AB117" s="392"/>
      <c r="AC117" s="711"/>
      <c r="AD117" s="711"/>
      <c r="AE117" s="363"/>
      <c r="AF117" s="713"/>
      <c r="AG117" s="713"/>
      <c r="AH117" s="589"/>
      <c r="AK117" s="107" t="s">
        <v>202</v>
      </c>
      <c r="AL117" s="387">
        <f t="shared" si="10"/>
        <v>0</v>
      </c>
      <c r="AM117" s="387">
        <f t="shared" si="11"/>
        <v>0</v>
      </c>
    </row>
    <row r="118" spans="1:39" s="391" customFormat="1" ht="39" hidden="1" customHeight="1" outlineLevel="3">
      <c r="A118" s="722"/>
      <c r="B118" s="733"/>
      <c r="C118" s="734" t="s">
        <v>16</v>
      </c>
      <c r="D118" s="738" t="s">
        <v>205</v>
      </c>
      <c r="E118" s="738"/>
      <c r="F118" s="739"/>
      <c r="G118" s="539"/>
      <c r="H118" s="365" t="str">
        <f t="shared" ref="H118:H131" si="25">IF(G118="","",G118/$G$160)</f>
        <v/>
      </c>
      <c r="I118" s="539"/>
      <c r="J118" s="539"/>
      <c r="K118" s="557" t="str">
        <f t="shared" ref="K118:K130" si="26">IF(SUM(I118:J118)=0,"",SUM(I118:J118))</f>
        <v/>
      </c>
      <c r="L118" s="362"/>
      <c r="M118" s="544" t="b">
        <v>0</v>
      </c>
      <c r="N118" s="401" t="b">
        <v>0</v>
      </c>
      <c r="O118" s="5"/>
      <c r="P118" s="363"/>
      <c r="Q118" s="557"/>
      <c r="R118" s="5"/>
      <c r="S118" s="5"/>
      <c r="T118" s="5"/>
      <c r="U118" s="5"/>
      <c r="V118" s="557">
        <f t="shared" si="24"/>
        <v>0</v>
      </c>
      <c r="W118" s="5"/>
      <c r="X118" s="362"/>
      <c r="Y118" s="364" t="s">
        <v>206</v>
      </c>
      <c r="Z118" s="5"/>
      <c r="AA118" s="5"/>
      <c r="AB118" s="392"/>
      <c r="AC118" s="5"/>
      <c r="AD118" s="5"/>
      <c r="AE118" s="363"/>
      <c r="AF118" s="557" t="str">
        <f t="shared" ref="AF118:AF130" si="27">IF(G118="","",IF(AND(V118="",Z118="",AC118=""),"Missing Info",IF(G118-V118-Z118+AC118=0,"OK","Review financial exposure")))</f>
        <v/>
      </c>
      <c r="AG118" s="557" t="str">
        <f t="shared" ref="AG118:AG130" si="28">IF(K118="","",IF(AND(W118="",AA118="",AD118=""),"Missing Info",IF(K118-W118-AA118+AD118=0,"OK","Review emissions")))</f>
        <v/>
      </c>
      <c r="AH118" s="589"/>
      <c r="AK118" s="107" t="s">
        <v>207</v>
      </c>
      <c r="AL118" s="387">
        <f t="shared" si="10"/>
        <v>0</v>
      </c>
      <c r="AM118" s="387">
        <f t="shared" si="11"/>
        <v>0</v>
      </c>
    </row>
    <row r="119" spans="1:39" s="391" customFormat="1" ht="102" hidden="1" customHeight="1" outlineLevel="3">
      <c r="A119" s="722"/>
      <c r="B119" s="733"/>
      <c r="C119" s="735"/>
      <c r="D119" s="734" t="s">
        <v>16</v>
      </c>
      <c r="E119" s="764" t="s">
        <v>288</v>
      </c>
      <c r="F119" s="765"/>
      <c r="G119" s="539"/>
      <c r="H119" s="365" t="str">
        <f t="shared" si="25"/>
        <v/>
      </c>
      <c r="I119" s="539"/>
      <c r="J119" s="539"/>
      <c r="K119" s="557" t="str">
        <f t="shared" si="26"/>
        <v/>
      </c>
      <c r="L119" s="362"/>
      <c r="M119" s="544" t="b">
        <v>0</v>
      </c>
      <c r="N119" s="401" t="b">
        <v>0</v>
      </c>
      <c r="O119" s="5"/>
      <c r="P119" s="363"/>
      <c r="Q119" s="557"/>
      <c r="R119" s="5"/>
      <c r="S119" s="5"/>
      <c r="T119" s="5"/>
      <c r="U119" s="5"/>
      <c r="V119" s="557">
        <f t="shared" si="24"/>
        <v>0</v>
      </c>
      <c r="W119" s="5"/>
      <c r="X119" s="362"/>
      <c r="Y119" s="364" t="s">
        <v>206</v>
      </c>
      <c r="Z119" s="5"/>
      <c r="AA119" s="5"/>
      <c r="AB119" s="392"/>
      <c r="AC119" s="5"/>
      <c r="AD119" s="5"/>
      <c r="AE119" s="363"/>
      <c r="AF119" s="557" t="str">
        <f t="shared" si="27"/>
        <v/>
      </c>
      <c r="AG119" s="557" t="str">
        <f t="shared" si="28"/>
        <v/>
      </c>
      <c r="AH119" s="589"/>
      <c r="AK119" s="107" t="s">
        <v>207</v>
      </c>
      <c r="AL119" s="387">
        <f t="shared" si="10"/>
        <v>0</v>
      </c>
      <c r="AM119" s="387">
        <f t="shared" si="11"/>
        <v>0</v>
      </c>
    </row>
    <row r="120" spans="1:39" s="391" customFormat="1" ht="39" hidden="1" customHeight="1" outlineLevel="3">
      <c r="A120" s="722"/>
      <c r="B120" s="733"/>
      <c r="C120" s="736"/>
      <c r="D120" s="736"/>
      <c r="E120" s="762" t="s">
        <v>290</v>
      </c>
      <c r="F120" s="763"/>
      <c r="G120" s="539"/>
      <c r="H120" s="365" t="str">
        <f t="shared" si="25"/>
        <v/>
      </c>
      <c r="I120" s="539"/>
      <c r="J120" s="539"/>
      <c r="K120" s="557" t="str">
        <f t="shared" si="26"/>
        <v/>
      </c>
      <c r="L120" s="362"/>
      <c r="M120" s="544" t="b">
        <v>0</v>
      </c>
      <c r="N120" s="401" t="b">
        <v>0</v>
      </c>
      <c r="O120" s="5"/>
      <c r="P120" s="363"/>
      <c r="Q120" s="557"/>
      <c r="R120" s="5"/>
      <c r="S120" s="5"/>
      <c r="T120" s="5"/>
      <c r="U120" s="5"/>
      <c r="V120" s="557">
        <f t="shared" si="24"/>
        <v>0</v>
      </c>
      <c r="W120" s="5"/>
      <c r="X120" s="362"/>
      <c r="Y120" s="364" t="s">
        <v>206</v>
      </c>
      <c r="Z120" s="5"/>
      <c r="AA120" s="5"/>
      <c r="AB120" s="392"/>
      <c r="AC120" s="5"/>
      <c r="AD120" s="5"/>
      <c r="AE120" s="363"/>
      <c r="AF120" s="557" t="str">
        <f t="shared" si="27"/>
        <v/>
      </c>
      <c r="AG120" s="557" t="str">
        <f t="shared" si="28"/>
        <v/>
      </c>
      <c r="AH120" s="589"/>
      <c r="AK120" s="107" t="s">
        <v>207</v>
      </c>
      <c r="AL120" s="387">
        <f t="shared" si="10"/>
        <v>0</v>
      </c>
      <c r="AM120" s="387">
        <f t="shared" si="11"/>
        <v>0</v>
      </c>
    </row>
    <row r="121" spans="1:39" s="391" customFormat="1" ht="39" hidden="1" customHeight="1" outlineLevel="3">
      <c r="A121" s="722"/>
      <c r="B121" s="733"/>
      <c r="C121" s="734" t="s">
        <v>208</v>
      </c>
      <c r="D121" s="737" t="s">
        <v>209</v>
      </c>
      <c r="E121" s="738"/>
      <c r="F121" s="739"/>
      <c r="G121" s="539"/>
      <c r="H121" s="365" t="str">
        <f t="shared" si="25"/>
        <v/>
      </c>
      <c r="I121" s="539"/>
      <c r="J121" s="539"/>
      <c r="K121" s="557" t="str">
        <f t="shared" si="26"/>
        <v/>
      </c>
      <c r="L121" s="362"/>
      <c r="M121" s="544" t="b">
        <v>0</v>
      </c>
      <c r="N121" s="401" t="b">
        <v>0</v>
      </c>
      <c r="O121" s="5"/>
      <c r="P121" s="363"/>
      <c r="Q121" s="557"/>
      <c r="R121" s="5"/>
      <c r="S121" s="5"/>
      <c r="T121" s="5"/>
      <c r="U121" s="5"/>
      <c r="V121" s="557">
        <f t="shared" si="24"/>
        <v>0</v>
      </c>
      <c r="W121" s="5"/>
      <c r="X121" s="362"/>
      <c r="Y121" s="394" t="s">
        <v>210</v>
      </c>
      <c r="Z121" s="5"/>
      <c r="AA121" s="5"/>
      <c r="AB121" s="392"/>
      <c r="AC121" s="5"/>
      <c r="AD121" s="5"/>
      <c r="AE121" s="363"/>
      <c r="AF121" s="557" t="str">
        <f t="shared" si="27"/>
        <v/>
      </c>
      <c r="AG121" s="557" t="str">
        <f t="shared" si="28"/>
        <v/>
      </c>
      <c r="AH121" s="589"/>
      <c r="AK121" s="107" t="s">
        <v>211</v>
      </c>
      <c r="AL121" s="387">
        <f t="shared" si="10"/>
        <v>0</v>
      </c>
      <c r="AM121" s="387">
        <f t="shared" si="11"/>
        <v>0</v>
      </c>
    </row>
    <row r="122" spans="1:39" s="391" customFormat="1" ht="93" hidden="1" customHeight="1" outlineLevel="3">
      <c r="A122" s="722"/>
      <c r="B122" s="733"/>
      <c r="C122" s="735"/>
      <c r="D122" s="784" t="s">
        <v>212</v>
      </c>
      <c r="E122" s="764" t="s">
        <v>288</v>
      </c>
      <c r="F122" s="765"/>
      <c r="G122" s="539"/>
      <c r="H122" s="365" t="str">
        <f t="shared" si="25"/>
        <v/>
      </c>
      <c r="I122" s="539"/>
      <c r="J122" s="539"/>
      <c r="K122" s="557" t="str">
        <f t="shared" si="26"/>
        <v/>
      </c>
      <c r="L122" s="362"/>
      <c r="M122" s="544" t="b">
        <v>0</v>
      </c>
      <c r="N122" s="401" t="b">
        <v>0</v>
      </c>
      <c r="O122" s="5"/>
      <c r="P122" s="363"/>
      <c r="Q122" s="557"/>
      <c r="R122" s="5"/>
      <c r="S122" s="5"/>
      <c r="T122" s="5"/>
      <c r="U122" s="5"/>
      <c r="V122" s="557">
        <f t="shared" si="24"/>
        <v>0</v>
      </c>
      <c r="W122" s="5"/>
      <c r="X122" s="362"/>
      <c r="Y122" s="394" t="s">
        <v>210</v>
      </c>
      <c r="Z122" s="5"/>
      <c r="AA122" s="5"/>
      <c r="AB122" s="392"/>
      <c r="AC122" s="5"/>
      <c r="AD122" s="5"/>
      <c r="AE122" s="363"/>
      <c r="AF122" s="557" t="str">
        <f t="shared" si="27"/>
        <v/>
      </c>
      <c r="AG122" s="557" t="str">
        <f t="shared" si="28"/>
        <v/>
      </c>
      <c r="AH122" s="589"/>
      <c r="AK122" s="107" t="s">
        <v>211</v>
      </c>
      <c r="AL122" s="387">
        <f t="shared" si="10"/>
        <v>0</v>
      </c>
      <c r="AM122" s="387">
        <f t="shared" si="11"/>
        <v>0</v>
      </c>
    </row>
    <row r="123" spans="1:39" s="391" customFormat="1" ht="39" hidden="1" customHeight="1" outlineLevel="3">
      <c r="A123" s="722"/>
      <c r="B123" s="733"/>
      <c r="C123" s="736"/>
      <c r="D123" s="786"/>
      <c r="E123" s="762" t="s">
        <v>289</v>
      </c>
      <c r="F123" s="763"/>
      <c r="G123" s="539"/>
      <c r="H123" s="365" t="str">
        <f t="shared" si="25"/>
        <v/>
      </c>
      <c r="I123" s="539"/>
      <c r="J123" s="539"/>
      <c r="K123" s="557" t="str">
        <f t="shared" si="26"/>
        <v/>
      </c>
      <c r="L123" s="362"/>
      <c r="M123" s="544" t="b">
        <v>0</v>
      </c>
      <c r="N123" s="401" t="b">
        <v>0</v>
      </c>
      <c r="O123" s="5"/>
      <c r="P123" s="363"/>
      <c r="Q123" s="557"/>
      <c r="R123" s="5"/>
      <c r="S123" s="5"/>
      <c r="T123" s="5"/>
      <c r="U123" s="5"/>
      <c r="V123" s="557">
        <f t="shared" si="24"/>
        <v>0</v>
      </c>
      <c r="W123" s="5"/>
      <c r="X123" s="362"/>
      <c r="Y123" s="394" t="s">
        <v>210</v>
      </c>
      <c r="Z123" s="5"/>
      <c r="AA123" s="5"/>
      <c r="AB123" s="392"/>
      <c r="AC123" s="5"/>
      <c r="AD123" s="5"/>
      <c r="AE123" s="363"/>
      <c r="AF123" s="557" t="str">
        <f t="shared" si="27"/>
        <v/>
      </c>
      <c r="AG123" s="557" t="str">
        <f t="shared" si="28"/>
        <v/>
      </c>
      <c r="AH123" s="589"/>
      <c r="AK123" s="107" t="s">
        <v>211</v>
      </c>
      <c r="AL123" s="387">
        <f t="shared" si="10"/>
        <v>0</v>
      </c>
      <c r="AM123" s="387">
        <f t="shared" si="11"/>
        <v>0</v>
      </c>
    </row>
    <row r="124" spans="1:39" s="391" customFormat="1" ht="39" hidden="1" customHeight="1" outlineLevel="2" collapsed="1">
      <c r="A124" s="721" t="s">
        <v>127</v>
      </c>
      <c r="B124" s="732" t="s">
        <v>128</v>
      </c>
      <c r="C124" s="724" t="s">
        <v>129</v>
      </c>
      <c r="D124" s="725"/>
      <c r="E124" s="725"/>
      <c r="F124" s="726"/>
      <c r="G124" s="5"/>
      <c r="H124" s="365" t="str">
        <f t="shared" si="25"/>
        <v/>
      </c>
      <c r="I124" s="5"/>
      <c r="J124" s="5"/>
      <c r="K124" s="557" t="str">
        <f t="shared" si="26"/>
        <v/>
      </c>
      <c r="L124" s="362"/>
      <c r="M124" s="544" t="b">
        <v>0</v>
      </c>
      <c r="N124" s="389"/>
      <c r="O124" s="5"/>
      <c r="P124" s="363"/>
      <c r="Q124" s="5"/>
      <c r="R124" s="5"/>
      <c r="S124" s="5"/>
      <c r="T124" s="5"/>
      <c r="U124" s="5"/>
      <c r="V124" s="557">
        <f t="shared" si="24"/>
        <v>0</v>
      </c>
      <c r="W124" s="5"/>
      <c r="X124" s="362"/>
      <c r="Y124" s="557"/>
      <c r="Z124" s="557"/>
      <c r="AA124" s="557"/>
      <c r="AB124" s="390"/>
      <c r="AC124" s="557"/>
      <c r="AD124" s="557"/>
      <c r="AE124" s="363"/>
      <c r="AF124" s="557" t="str">
        <f t="shared" si="27"/>
        <v/>
      </c>
      <c r="AG124" s="557" t="str">
        <f t="shared" si="28"/>
        <v/>
      </c>
      <c r="AH124" s="589"/>
      <c r="AK124" s="107" t="s">
        <v>213</v>
      </c>
      <c r="AL124" s="387">
        <f t="shared" si="10"/>
        <v>0</v>
      </c>
      <c r="AM124" s="387">
        <f t="shared" si="11"/>
        <v>0</v>
      </c>
    </row>
    <row r="125" spans="1:39" s="391" customFormat="1" ht="104" hidden="1" customHeight="1" outlineLevel="3">
      <c r="A125" s="722"/>
      <c r="B125" s="733"/>
      <c r="C125" s="746" t="s">
        <v>122</v>
      </c>
      <c r="D125" s="747"/>
      <c r="E125" s="750" t="s">
        <v>291</v>
      </c>
      <c r="F125" s="751"/>
      <c r="G125" s="5"/>
      <c r="H125" s="365" t="str">
        <f t="shared" si="25"/>
        <v/>
      </c>
      <c r="I125" s="5"/>
      <c r="J125" s="5"/>
      <c r="K125" s="557" t="str">
        <f t="shared" si="26"/>
        <v/>
      </c>
      <c r="L125" s="362"/>
      <c r="M125" s="544" t="b">
        <v>0</v>
      </c>
      <c r="N125" s="389"/>
      <c r="O125" s="5"/>
      <c r="P125" s="363"/>
      <c r="Q125" s="5"/>
      <c r="R125" s="5"/>
      <c r="S125" s="5"/>
      <c r="T125" s="5"/>
      <c r="U125" s="5"/>
      <c r="V125" s="557">
        <f t="shared" si="24"/>
        <v>0</v>
      </c>
      <c r="W125" s="5"/>
      <c r="X125" s="362"/>
      <c r="Y125" s="557"/>
      <c r="Z125" s="557"/>
      <c r="AA125" s="557"/>
      <c r="AB125" s="390"/>
      <c r="AC125" s="557"/>
      <c r="AD125" s="557"/>
      <c r="AE125" s="363"/>
      <c r="AF125" s="557" t="str">
        <f t="shared" si="27"/>
        <v/>
      </c>
      <c r="AG125" s="557" t="str">
        <f t="shared" si="28"/>
        <v/>
      </c>
      <c r="AH125" s="589"/>
      <c r="AK125" s="107" t="s">
        <v>213</v>
      </c>
      <c r="AL125" s="387">
        <f t="shared" si="10"/>
        <v>0</v>
      </c>
      <c r="AM125" s="387">
        <f t="shared" si="11"/>
        <v>0</v>
      </c>
    </row>
    <row r="126" spans="1:39" s="391" customFormat="1" ht="39" hidden="1" customHeight="1" outlineLevel="3">
      <c r="A126" s="723"/>
      <c r="B126" s="733"/>
      <c r="C126" s="748"/>
      <c r="D126" s="749"/>
      <c r="E126" s="750" t="s">
        <v>292</v>
      </c>
      <c r="F126" s="751"/>
      <c r="G126" s="5"/>
      <c r="H126" s="365" t="str">
        <f t="shared" si="25"/>
        <v/>
      </c>
      <c r="I126" s="5"/>
      <c r="J126" s="5"/>
      <c r="K126" s="557" t="str">
        <f t="shared" si="26"/>
        <v/>
      </c>
      <c r="L126" s="362"/>
      <c r="M126" s="544" t="b">
        <v>0</v>
      </c>
      <c r="N126" s="389"/>
      <c r="O126" s="5"/>
      <c r="P126" s="363"/>
      <c r="Q126" s="5"/>
      <c r="R126" s="5"/>
      <c r="S126" s="5"/>
      <c r="T126" s="5"/>
      <c r="U126" s="5"/>
      <c r="V126" s="557">
        <f t="shared" si="24"/>
        <v>0</v>
      </c>
      <c r="W126" s="5"/>
      <c r="X126" s="362"/>
      <c r="Y126" s="557"/>
      <c r="Z126" s="557"/>
      <c r="AA126" s="557"/>
      <c r="AB126" s="390"/>
      <c r="AC126" s="557"/>
      <c r="AD126" s="557"/>
      <c r="AE126" s="363"/>
      <c r="AF126" s="557" t="str">
        <f t="shared" si="27"/>
        <v/>
      </c>
      <c r="AG126" s="557" t="str">
        <f t="shared" si="28"/>
        <v/>
      </c>
      <c r="AH126" s="589"/>
      <c r="AK126" s="107" t="s">
        <v>213</v>
      </c>
      <c r="AL126" s="387">
        <f t="shared" si="10"/>
        <v>0</v>
      </c>
      <c r="AM126" s="387">
        <f t="shared" si="11"/>
        <v>0</v>
      </c>
    </row>
    <row r="127" spans="1:39" s="391" customFormat="1" ht="39" hidden="1" customHeight="1" outlineLevel="2" collapsed="1">
      <c r="A127" s="721" t="s">
        <v>133</v>
      </c>
      <c r="B127" s="732" t="s">
        <v>134</v>
      </c>
      <c r="C127" s="724" t="s">
        <v>135</v>
      </c>
      <c r="D127" s="725"/>
      <c r="E127" s="725"/>
      <c r="F127" s="726"/>
      <c r="G127" s="5"/>
      <c r="H127" s="365" t="str">
        <f t="shared" si="25"/>
        <v/>
      </c>
      <c r="I127" s="5"/>
      <c r="J127" s="5"/>
      <c r="K127" s="557" t="str">
        <f t="shared" si="26"/>
        <v/>
      </c>
      <c r="L127" s="362"/>
      <c r="M127" s="544" t="b">
        <v>0</v>
      </c>
      <c r="N127" s="389"/>
      <c r="O127" s="5"/>
      <c r="P127" s="363"/>
      <c r="Q127" s="5"/>
      <c r="R127" s="5"/>
      <c r="S127" s="5"/>
      <c r="T127" s="5"/>
      <c r="U127" s="5"/>
      <c r="V127" s="557">
        <f t="shared" si="24"/>
        <v>0</v>
      </c>
      <c r="W127" s="5"/>
      <c r="X127" s="362"/>
      <c r="Y127" s="557"/>
      <c r="Z127" s="557"/>
      <c r="AA127" s="557"/>
      <c r="AB127" s="390"/>
      <c r="AC127" s="557"/>
      <c r="AD127" s="557"/>
      <c r="AE127" s="363"/>
      <c r="AF127" s="557" t="str">
        <f t="shared" si="27"/>
        <v/>
      </c>
      <c r="AG127" s="557" t="str">
        <f t="shared" si="28"/>
        <v/>
      </c>
      <c r="AH127" s="589"/>
      <c r="AK127" s="107" t="s">
        <v>214</v>
      </c>
      <c r="AL127" s="387">
        <f t="shared" si="10"/>
        <v>0</v>
      </c>
      <c r="AM127" s="387">
        <f t="shared" si="11"/>
        <v>0</v>
      </c>
    </row>
    <row r="128" spans="1:39" s="391" customFormat="1" ht="100.25" hidden="1" customHeight="1" outlineLevel="3">
      <c r="A128" s="722"/>
      <c r="B128" s="733"/>
      <c r="C128" s="756" t="s">
        <v>122</v>
      </c>
      <c r="D128" s="757"/>
      <c r="E128" s="764" t="s">
        <v>293</v>
      </c>
      <c r="F128" s="765"/>
      <c r="G128" s="5"/>
      <c r="H128" s="365" t="str">
        <f t="shared" si="25"/>
        <v/>
      </c>
      <c r="I128" s="5"/>
      <c r="J128" s="5"/>
      <c r="K128" s="557" t="str">
        <f t="shared" si="26"/>
        <v/>
      </c>
      <c r="L128" s="362"/>
      <c r="M128" s="544" t="b">
        <v>0</v>
      </c>
      <c r="N128" s="389"/>
      <c r="O128" s="5"/>
      <c r="P128" s="363"/>
      <c r="Q128" s="5"/>
      <c r="R128" s="5"/>
      <c r="S128" s="5"/>
      <c r="T128" s="5"/>
      <c r="U128" s="5"/>
      <c r="V128" s="557">
        <f t="shared" si="24"/>
        <v>0</v>
      </c>
      <c r="W128" s="5"/>
      <c r="X128" s="362"/>
      <c r="Y128" s="557"/>
      <c r="Z128" s="557"/>
      <c r="AA128" s="557"/>
      <c r="AB128" s="390"/>
      <c r="AC128" s="557"/>
      <c r="AD128" s="557"/>
      <c r="AE128" s="363"/>
      <c r="AF128" s="557" t="str">
        <f t="shared" si="27"/>
        <v/>
      </c>
      <c r="AG128" s="557" t="str">
        <f t="shared" si="28"/>
        <v/>
      </c>
      <c r="AH128" s="589"/>
      <c r="AK128" s="107" t="s">
        <v>214</v>
      </c>
      <c r="AL128" s="387">
        <f t="shared" si="10"/>
        <v>0</v>
      </c>
      <c r="AM128" s="387">
        <f t="shared" si="11"/>
        <v>0</v>
      </c>
    </row>
    <row r="129" spans="1:39" s="391" customFormat="1" ht="39" hidden="1" customHeight="1" outlineLevel="3">
      <c r="A129" s="723"/>
      <c r="B129" s="733"/>
      <c r="C129" s="760"/>
      <c r="D129" s="761"/>
      <c r="E129" s="762" t="s">
        <v>294</v>
      </c>
      <c r="F129" s="763"/>
      <c r="G129" s="5"/>
      <c r="H129" s="365" t="str">
        <f t="shared" si="25"/>
        <v/>
      </c>
      <c r="I129" s="5"/>
      <c r="J129" s="5"/>
      <c r="K129" s="557" t="str">
        <f t="shared" si="26"/>
        <v/>
      </c>
      <c r="L129" s="362"/>
      <c r="M129" s="544" t="b">
        <v>0</v>
      </c>
      <c r="N129" s="389"/>
      <c r="O129" s="5"/>
      <c r="P129" s="363"/>
      <c r="Q129" s="5"/>
      <c r="R129" s="5"/>
      <c r="S129" s="5"/>
      <c r="T129" s="5"/>
      <c r="U129" s="5"/>
      <c r="V129" s="557">
        <f t="shared" si="24"/>
        <v>0</v>
      </c>
      <c r="W129" s="5"/>
      <c r="X129" s="362"/>
      <c r="Y129" s="557"/>
      <c r="Z129" s="557"/>
      <c r="AA129" s="557"/>
      <c r="AB129" s="390"/>
      <c r="AC129" s="557"/>
      <c r="AD129" s="557"/>
      <c r="AE129" s="363"/>
      <c r="AF129" s="557" t="str">
        <f t="shared" si="27"/>
        <v/>
      </c>
      <c r="AG129" s="557" t="str">
        <f t="shared" si="28"/>
        <v/>
      </c>
      <c r="AH129" s="589"/>
      <c r="AK129" s="107" t="s">
        <v>214</v>
      </c>
      <c r="AL129" s="387">
        <f t="shared" si="10"/>
        <v>0</v>
      </c>
      <c r="AM129" s="387">
        <f t="shared" si="11"/>
        <v>0</v>
      </c>
    </row>
    <row r="130" spans="1:39" s="391" customFormat="1" ht="135" hidden="1" customHeight="1" outlineLevel="3">
      <c r="A130" s="721" t="s">
        <v>215</v>
      </c>
      <c r="B130" s="733"/>
      <c r="C130" s="764" t="s">
        <v>175</v>
      </c>
      <c r="D130" s="545" t="s">
        <v>179</v>
      </c>
      <c r="E130" s="764" t="s">
        <v>293</v>
      </c>
      <c r="F130" s="765"/>
      <c r="G130" s="539"/>
      <c r="H130" s="365" t="str">
        <f t="shared" si="25"/>
        <v/>
      </c>
      <c r="I130" s="539"/>
      <c r="J130" s="539"/>
      <c r="K130" s="557" t="str">
        <f t="shared" si="26"/>
        <v/>
      </c>
      <c r="L130" s="362"/>
      <c r="M130" s="544" t="b">
        <v>0</v>
      </c>
      <c r="N130" s="544" t="b">
        <v>0</v>
      </c>
      <c r="O130" s="5"/>
      <c r="P130" s="363"/>
      <c r="Q130" s="5"/>
      <c r="R130" s="5"/>
      <c r="S130" s="5"/>
      <c r="T130" s="5"/>
      <c r="U130" s="5"/>
      <c r="V130" s="557">
        <f t="shared" si="24"/>
        <v>0</v>
      </c>
      <c r="W130" s="5"/>
      <c r="X130" s="362"/>
      <c r="Y130" s="364" t="s">
        <v>177</v>
      </c>
      <c r="Z130" s="5"/>
      <c r="AA130" s="5"/>
      <c r="AB130" s="392"/>
      <c r="AC130" s="5"/>
      <c r="AD130" s="5"/>
      <c r="AE130" s="363"/>
      <c r="AF130" s="557" t="str">
        <f t="shared" si="27"/>
        <v/>
      </c>
      <c r="AG130" s="557" t="str">
        <f t="shared" si="28"/>
        <v/>
      </c>
      <c r="AH130" s="589"/>
      <c r="AK130" s="107" t="s">
        <v>216</v>
      </c>
      <c r="AL130" s="387">
        <f t="shared" si="10"/>
        <v>0</v>
      </c>
      <c r="AM130" s="387">
        <f t="shared" si="11"/>
        <v>0</v>
      </c>
    </row>
    <row r="131" spans="1:39" s="391" customFormat="1" ht="50" hidden="1" customHeight="1" outlineLevel="3">
      <c r="A131" s="722"/>
      <c r="B131" s="733"/>
      <c r="C131" s="787"/>
      <c r="D131" s="784" t="s">
        <v>184</v>
      </c>
      <c r="E131" s="764" t="s">
        <v>293</v>
      </c>
      <c r="F131" s="765"/>
      <c r="G131" s="710"/>
      <c r="H131" s="799" t="str">
        <f t="shared" si="25"/>
        <v/>
      </c>
      <c r="I131" s="710"/>
      <c r="J131" s="710"/>
      <c r="K131" s="712" t="str">
        <f>IF(SUM(I131:J132)=0,"",SUM(I131:J132))</f>
        <v/>
      </c>
      <c r="L131" s="362"/>
      <c r="M131" s="808" t="b">
        <v>0</v>
      </c>
      <c r="N131" s="544" t="b">
        <v>0</v>
      </c>
      <c r="O131" s="5"/>
      <c r="P131" s="363"/>
      <c r="Q131" s="710"/>
      <c r="R131" s="710"/>
      <c r="S131" s="710"/>
      <c r="T131" s="710"/>
      <c r="U131" s="710"/>
      <c r="V131" s="712">
        <f t="shared" si="24"/>
        <v>0</v>
      </c>
      <c r="W131" s="710"/>
      <c r="X131" s="362"/>
      <c r="Y131" s="364" t="s">
        <v>181</v>
      </c>
      <c r="Z131" s="5"/>
      <c r="AA131" s="5"/>
      <c r="AB131" s="392"/>
      <c r="AC131" s="710"/>
      <c r="AD131" s="710"/>
      <c r="AE131" s="363"/>
      <c r="AF131" s="712" t="str">
        <f t="shared" ref="AF131:AF133" si="29">IF(G131="","",IF(AND(V131="",Z131="",Z132="",AC131=""),"Missing Info",IF(G131-V131-Z131-Z132+AC131=0,"OK","Review financial exposure")))</f>
        <v/>
      </c>
      <c r="AG131" s="712" t="str">
        <f>IF(K131="","",IF(AND(W131="",AA131="",AA132="",AD131=""),"Missing Info",IF(K131-W131-AA131-AA132+AD131=0,"OK","Review emissions")))</f>
        <v/>
      </c>
      <c r="AH131" s="589"/>
      <c r="AK131" s="107" t="s">
        <v>218</v>
      </c>
      <c r="AL131" s="387">
        <f t="shared" si="10"/>
        <v>0</v>
      </c>
      <c r="AM131" s="387">
        <f t="shared" si="11"/>
        <v>0</v>
      </c>
    </row>
    <row r="132" spans="1:39" s="391" customFormat="1" ht="50" hidden="1" customHeight="1" outlineLevel="3">
      <c r="A132" s="722"/>
      <c r="B132" s="733"/>
      <c r="C132" s="787"/>
      <c r="D132" s="785"/>
      <c r="E132" s="766"/>
      <c r="F132" s="767"/>
      <c r="G132" s="711"/>
      <c r="H132" s="800"/>
      <c r="I132" s="711"/>
      <c r="J132" s="711"/>
      <c r="K132" s="713"/>
      <c r="L132" s="362"/>
      <c r="M132" s="809"/>
      <c r="N132" s="544" t="b">
        <v>0</v>
      </c>
      <c r="O132" s="5"/>
      <c r="P132" s="363"/>
      <c r="Q132" s="711"/>
      <c r="R132" s="711"/>
      <c r="S132" s="711"/>
      <c r="T132" s="711"/>
      <c r="U132" s="711"/>
      <c r="V132" s="713">
        <f t="shared" si="24"/>
        <v>0</v>
      </c>
      <c r="W132" s="711"/>
      <c r="X132" s="362"/>
      <c r="Y132" s="364" t="s">
        <v>183</v>
      </c>
      <c r="Z132" s="5"/>
      <c r="AA132" s="5"/>
      <c r="AB132" s="392"/>
      <c r="AC132" s="711"/>
      <c r="AD132" s="711"/>
      <c r="AE132" s="363"/>
      <c r="AF132" s="713"/>
      <c r="AG132" s="713"/>
      <c r="AH132" s="589"/>
      <c r="AK132" s="107" t="s">
        <v>218</v>
      </c>
      <c r="AL132" s="387">
        <f t="shared" si="10"/>
        <v>0</v>
      </c>
      <c r="AM132" s="387">
        <f t="shared" si="11"/>
        <v>0</v>
      </c>
    </row>
    <row r="133" spans="1:39" s="391" customFormat="1" ht="58.25" hidden="1" customHeight="1" outlineLevel="3">
      <c r="A133" s="722"/>
      <c r="B133" s="733"/>
      <c r="C133" s="787"/>
      <c r="D133" s="784" t="s">
        <v>189</v>
      </c>
      <c r="E133" s="782" t="s">
        <v>293</v>
      </c>
      <c r="F133" s="765"/>
      <c r="G133" s="710"/>
      <c r="H133" s="799" t="str">
        <f>IF(G133="","",G133/$G$160)</f>
        <v/>
      </c>
      <c r="I133" s="710"/>
      <c r="J133" s="710"/>
      <c r="K133" s="712" t="str">
        <f>IF(SUM(I133:J134)=0,"",SUM(I133:J134))</f>
        <v/>
      </c>
      <c r="L133" s="362"/>
      <c r="M133" s="808" t="b">
        <v>0</v>
      </c>
      <c r="N133" s="544" t="b">
        <v>0</v>
      </c>
      <c r="O133" s="5"/>
      <c r="P133" s="363"/>
      <c r="Q133" s="710"/>
      <c r="R133" s="710"/>
      <c r="S133" s="710"/>
      <c r="T133" s="710"/>
      <c r="U133" s="710"/>
      <c r="V133" s="712">
        <f t="shared" si="24"/>
        <v>0</v>
      </c>
      <c r="W133" s="710"/>
      <c r="X133" s="362"/>
      <c r="Y133" s="364" t="s">
        <v>186</v>
      </c>
      <c r="Z133" s="5"/>
      <c r="AA133" s="5"/>
      <c r="AB133" s="392"/>
      <c r="AC133" s="710"/>
      <c r="AD133" s="710"/>
      <c r="AE133" s="363"/>
      <c r="AF133" s="712" t="str">
        <f t="shared" si="29"/>
        <v/>
      </c>
      <c r="AG133" s="712" t="str">
        <f>IF(K133="","",IF(AND(W133="",AA133="",AA134="",AD133=""),"Missing Info",IF(K133-W133-AA133-AA134+AD133=0,"OK","Review emissions")))</f>
        <v/>
      </c>
      <c r="AH133" s="589"/>
      <c r="AK133" s="107" t="s">
        <v>220</v>
      </c>
      <c r="AL133" s="387">
        <f t="shared" si="10"/>
        <v>0</v>
      </c>
      <c r="AM133" s="387">
        <f t="shared" si="11"/>
        <v>0</v>
      </c>
    </row>
    <row r="134" spans="1:39" s="391" customFormat="1" ht="58.25" hidden="1" customHeight="1" outlineLevel="3">
      <c r="A134" s="722"/>
      <c r="B134" s="733"/>
      <c r="C134" s="787"/>
      <c r="D134" s="785"/>
      <c r="E134" s="783"/>
      <c r="F134" s="767"/>
      <c r="G134" s="711"/>
      <c r="H134" s="800"/>
      <c r="I134" s="711"/>
      <c r="J134" s="711"/>
      <c r="K134" s="713"/>
      <c r="L134" s="362"/>
      <c r="M134" s="809"/>
      <c r="N134" s="544" t="b">
        <v>0</v>
      </c>
      <c r="O134" s="5"/>
      <c r="P134" s="363"/>
      <c r="Q134" s="711"/>
      <c r="R134" s="711"/>
      <c r="S134" s="711"/>
      <c r="T134" s="711"/>
      <c r="U134" s="711"/>
      <c r="V134" s="713">
        <f t="shared" si="24"/>
        <v>0</v>
      </c>
      <c r="W134" s="711"/>
      <c r="X134" s="362"/>
      <c r="Y134" s="364" t="s">
        <v>188</v>
      </c>
      <c r="Z134" s="5"/>
      <c r="AA134" s="5"/>
      <c r="AB134" s="392"/>
      <c r="AC134" s="711"/>
      <c r="AD134" s="711"/>
      <c r="AE134" s="363"/>
      <c r="AF134" s="713"/>
      <c r="AG134" s="713"/>
      <c r="AH134" s="589"/>
      <c r="AK134" s="107" t="s">
        <v>220</v>
      </c>
      <c r="AL134" s="387">
        <f t="shared" si="10"/>
        <v>0</v>
      </c>
      <c r="AM134" s="387">
        <f t="shared" si="11"/>
        <v>0</v>
      </c>
    </row>
    <row r="135" spans="1:39" s="391" customFormat="1" ht="100.25" hidden="1" customHeight="1" outlineLevel="3">
      <c r="A135" s="722"/>
      <c r="B135" s="733"/>
      <c r="C135" s="784" t="s">
        <v>190</v>
      </c>
      <c r="D135" s="545" t="s">
        <v>194</v>
      </c>
      <c r="E135" s="762" t="s">
        <v>293</v>
      </c>
      <c r="F135" s="763"/>
      <c r="G135" s="539"/>
      <c r="H135" s="365" t="str">
        <f>IF(G135="","",G135/$G$160)</f>
        <v/>
      </c>
      <c r="I135" s="539"/>
      <c r="J135" s="539"/>
      <c r="K135" s="557" t="str">
        <f>IF(SUM(I135:J135)=0,"",SUM(I135:J135))</f>
        <v/>
      </c>
      <c r="L135" s="362"/>
      <c r="M135" s="544" t="b">
        <v>0</v>
      </c>
      <c r="N135" s="544" t="b">
        <v>0</v>
      </c>
      <c r="O135" s="5"/>
      <c r="P135" s="363"/>
      <c r="Q135" s="5"/>
      <c r="R135" s="5"/>
      <c r="S135" s="5"/>
      <c r="T135" s="5"/>
      <c r="U135" s="5"/>
      <c r="V135" s="557">
        <f t="shared" si="24"/>
        <v>0</v>
      </c>
      <c r="W135" s="5"/>
      <c r="X135" s="362"/>
      <c r="Y135" s="364" t="s">
        <v>192</v>
      </c>
      <c r="Z135" s="5"/>
      <c r="AA135" s="5"/>
      <c r="AB135" s="392"/>
      <c r="AC135" s="5"/>
      <c r="AD135" s="5"/>
      <c r="AE135" s="363"/>
      <c r="AF135" s="557" t="str">
        <f t="shared" ref="AF135:AF136" si="30">IF(G135="","",IF(AND(V135="",Z135="",AC135=""),"Missing Info",IF(G135-V135-Z135+AC135=0,"OK","Review financial exposure")))</f>
        <v/>
      </c>
      <c r="AG135" s="557" t="str">
        <f t="shared" ref="AG135:AG136" si="31">IF(K135="","",IF(AND(W135="",AA135="",AD135=""),"Missing Info",IF(K135-W135-AA135+AD135=0,"OK","Review emissions")))</f>
        <v/>
      </c>
      <c r="AH135" s="589"/>
      <c r="AK135" s="107" t="s">
        <v>221</v>
      </c>
      <c r="AL135" s="387">
        <f t="shared" si="10"/>
        <v>0</v>
      </c>
      <c r="AM135" s="387">
        <f t="shared" si="11"/>
        <v>0</v>
      </c>
    </row>
    <row r="136" spans="1:39" s="391" customFormat="1" ht="100.25" hidden="1" customHeight="1" outlineLevel="3">
      <c r="A136" s="722"/>
      <c r="B136" s="733"/>
      <c r="C136" s="785"/>
      <c r="D136" s="545" t="s">
        <v>198</v>
      </c>
      <c r="E136" s="762" t="s">
        <v>293</v>
      </c>
      <c r="F136" s="763"/>
      <c r="G136" s="539"/>
      <c r="H136" s="365" t="str">
        <f>IF(G136="","",G136/$G$160)</f>
        <v/>
      </c>
      <c r="I136" s="539"/>
      <c r="J136" s="539"/>
      <c r="K136" s="557" t="str">
        <f>IF(SUM(I136:J136)=0,"",SUM(I136:J136))</f>
        <v/>
      </c>
      <c r="L136" s="362"/>
      <c r="M136" s="544" t="b">
        <v>0</v>
      </c>
      <c r="N136" s="544" t="b">
        <v>0</v>
      </c>
      <c r="O136" s="5"/>
      <c r="P136" s="363"/>
      <c r="Q136" s="5"/>
      <c r="R136" s="5"/>
      <c r="S136" s="5"/>
      <c r="T136" s="5"/>
      <c r="U136" s="5"/>
      <c r="V136" s="557">
        <f t="shared" si="24"/>
        <v>0</v>
      </c>
      <c r="W136" s="5"/>
      <c r="X136" s="362"/>
      <c r="Y136" s="364" t="s">
        <v>196</v>
      </c>
      <c r="Z136" s="5"/>
      <c r="AA136" s="5"/>
      <c r="AB136" s="392"/>
      <c r="AC136" s="5"/>
      <c r="AD136" s="5"/>
      <c r="AE136" s="363"/>
      <c r="AF136" s="557" t="str">
        <f t="shared" si="30"/>
        <v/>
      </c>
      <c r="AG136" s="557" t="str">
        <f t="shared" si="31"/>
        <v/>
      </c>
      <c r="AH136" s="589"/>
      <c r="AK136" s="107" t="s">
        <v>222</v>
      </c>
      <c r="AL136" s="387">
        <f t="shared" si="10"/>
        <v>0</v>
      </c>
      <c r="AM136" s="387">
        <f t="shared" si="11"/>
        <v>0</v>
      </c>
    </row>
    <row r="137" spans="1:39" s="391" customFormat="1" ht="56" hidden="1" customHeight="1" outlineLevel="3">
      <c r="A137" s="722"/>
      <c r="B137" s="733"/>
      <c r="C137" s="784" t="s">
        <v>199</v>
      </c>
      <c r="D137" s="784" t="s">
        <v>204</v>
      </c>
      <c r="E137" s="782" t="s">
        <v>293</v>
      </c>
      <c r="F137" s="765"/>
      <c r="G137" s="710"/>
      <c r="H137" s="799" t="str">
        <f>IF(G137="","",G137/$G$160)</f>
        <v/>
      </c>
      <c r="I137" s="710"/>
      <c r="J137" s="710"/>
      <c r="K137" s="712" t="str">
        <f>IF(SUM(I137:J138)=0,"",SUM(I137:J138))</f>
        <v/>
      </c>
      <c r="L137" s="362"/>
      <c r="M137" s="808" t="b">
        <v>0</v>
      </c>
      <c r="N137" s="544" t="b">
        <v>0</v>
      </c>
      <c r="O137" s="5"/>
      <c r="P137" s="363"/>
      <c r="Q137" s="710"/>
      <c r="R137" s="710"/>
      <c r="S137" s="710"/>
      <c r="T137" s="710"/>
      <c r="U137" s="710"/>
      <c r="V137" s="712">
        <f t="shared" si="24"/>
        <v>0</v>
      </c>
      <c r="W137" s="710"/>
      <c r="X137" s="362"/>
      <c r="Y137" s="364" t="s">
        <v>201</v>
      </c>
      <c r="Z137" s="5"/>
      <c r="AA137" s="5"/>
      <c r="AB137" s="392"/>
      <c r="AC137" s="710"/>
      <c r="AD137" s="710"/>
      <c r="AE137" s="363"/>
      <c r="AF137" s="712" t="str">
        <f t="shared" ref="AF137" si="32">IF(G137="","",IF(AND(V137="",Z137="",Z138="",AC137=""),"Missing Info",IF(G137-V137-Z137-Z138+AC137=0,"OK","Review financial exposure")))</f>
        <v/>
      </c>
      <c r="AG137" s="712" t="str">
        <f>IF(K137="","",IF(AND(W137="",AA137="",AA138="",AD137=""),"Missing Info",IF(K137-W137-AA137-AA138+AD137=0,"OK","Review emissions")))</f>
        <v/>
      </c>
      <c r="AH137" s="589"/>
      <c r="AK137" s="107" t="s">
        <v>223</v>
      </c>
      <c r="AL137" s="387">
        <f t="shared" si="10"/>
        <v>0</v>
      </c>
      <c r="AM137" s="387">
        <f t="shared" si="11"/>
        <v>0</v>
      </c>
    </row>
    <row r="138" spans="1:39" s="391" customFormat="1" ht="56" hidden="1" customHeight="1" outlineLevel="3">
      <c r="A138" s="722"/>
      <c r="B138" s="733"/>
      <c r="C138" s="785"/>
      <c r="D138" s="785"/>
      <c r="E138" s="783"/>
      <c r="F138" s="767"/>
      <c r="G138" s="711"/>
      <c r="H138" s="800"/>
      <c r="I138" s="711"/>
      <c r="J138" s="711"/>
      <c r="K138" s="713"/>
      <c r="L138" s="362"/>
      <c r="M138" s="809"/>
      <c r="N138" s="544" t="b">
        <v>0</v>
      </c>
      <c r="O138" s="5"/>
      <c r="P138" s="363"/>
      <c r="Q138" s="711"/>
      <c r="R138" s="711"/>
      <c r="S138" s="711"/>
      <c r="T138" s="711"/>
      <c r="U138" s="711"/>
      <c r="V138" s="713">
        <f t="shared" si="24"/>
        <v>0</v>
      </c>
      <c r="W138" s="711"/>
      <c r="X138" s="362"/>
      <c r="Y138" s="364" t="s">
        <v>203</v>
      </c>
      <c r="Z138" s="5"/>
      <c r="AA138" s="5"/>
      <c r="AB138" s="392"/>
      <c r="AC138" s="711"/>
      <c r="AD138" s="711"/>
      <c r="AE138" s="363"/>
      <c r="AF138" s="713"/>
      <c r="AG138" s="713"/>
      <c r="AH138" s="589"/>
      <c r="AK138" s="107" t="s">
        <v>223</v>
      </c>
      <c r="AL138" s="387">
        <f t="shared" si="10"/>
        <v>0</v>
      </c>
      <c r="AM138" s="387">
        <f t="shared" si="11"/>
        <v>0</v>
      </c>
    </row>
    <row r="139" spans="1:39" s="391" customFormat="1" ht="100.25" hidden="1" customHeight="1" outlineLevel="3">
      <c r="A139" s="722"/>
      <c r="B139" s="733"/>
      <c r="C139" s="764" t="s">
        <v>16</v>
      </c>
      <c r="D139" s="765"/>
      <c r="E139" s="762" t="s">
        <v>293</v>
      </c>
      <c r="F139" s="763"/>
      <c r="G139" s="539"/>
      <c r="H139" s="365" t="str">
        <f t="shared" ref="H139:H144" si="33">IF(G139="","",G139/$G$160)</f>
        <v/>
      </c>
      <c r="I139" s="539"/>
      <c r="J139" s="539"/>
      <c r="K139" s="557" t="str">
        <f>IF(SUM(I139:J139)=0,"",SUM(I139:J139))</f>
        <v/>
      </c>
      <c r="L139" s="362"/>
      <c r="M139" s="544" t="b">
        <v>0</v>
      </c>
      <c r="N139" s="544" t="b">
        <v>0</v>
      </c>
      <c r="O139" s="5"/>
      <c r="P139" s="363"/>
      <c r="Q139" s="5"/>
      <c r="R139" s="5"/>
      <c r="S139" s="5"/>
      <c r="T139" s="5"/>
      <c r="U139" s="5"/>
      <c r="V139" s="557">
        <f t="shared" si="24"/>
        <v>0</v>
      </c>
      <c r="W139" s="5"/>
      <c r="X139" s="362"/>
      <c r="Y139" s="364" t="s">
        <v>206</v>
      </c>
      <c r="Z139" s="5"/>
      <c r="AA139" s="5"/>
      <c r="AB139" s="392"/>
      <c r="AC139" s="5"/>
      <c r="AD139" s="5"/>
      <c r="AE139" s="363"/>
      <c r="AF139" s="557" t="str">
        <f t="shared" ref="AF139:AF143" si="34">IF(G139="","",IF(AND(V139="",Z139="",AC139=""),"Missing Info",IF(G139-V139-Z139+AC139=0,"OK","Review financial exposure")))</f>
        <v/>
      </c>
      <c r="AG139" s="557" t="str">
        <f t="shared" ref="AG139:AG143" si="35">IF(K139="","",IF(AND(W139="",AA139="",AD139=""),"Missing Info",IF(K139-W139-AA139+AD139=0,"OK","Review emissions")))</f>
        <v/>
      </c>
      <c r="AH139" s="589"/>
      <c r="AK139" s="107" t="s">
        <v>224</v>
      </c>
      <c r="AL139" s="387">
        <f t="shared" si="10"/>
        <v>0</v>
      </c>
      <c r="AM139" s="387">
        <f t="shared" si="11"/>
        <v>0</v>
      </c>
    </row>
    <row r="140" spans="1:39" s="391" customFormat="1" ht="39" hidden="1" customHeight="1" outlineLevel="3">
      <c r="A140" s="722"/>
      <c r="B140" s="733"/>
      <c r="C140" s="764" t="s">
        <v>208</v>
      </c>
      <c r="D140" s="737" t="s">
        <v>225</v>
      </c>
      <c r="E140" s="738"/>
      <c r="F140" s="739"/>
      <c r="G140" s="539"/>
      <c r="H140" s="365" t="str">
        <f t="shared" si="33"/>
        <v/>
      </c>
      <c r="I140" s="539"/>
      <c r="J140" s="539"/>
      <c r="K140" s="557" t="str">
        <f>IF(SUM(I140:J140)=0,"",SUM(I140:J140))</f>
        <v/>
      </c>
      <c r="L140" s="362"/>
      <c r="M140" s="544" t="b">
        <v>0</v>
      </c>
      <c r="N140" s="544" t="b">
        <v>0</v>
      </c>
      <c r="O140" s="5"/>
      <c r="P140" s="363"/>
      <c r="Q140" s="5"/>
      <c r="R140" s="5"/>
      <c r="S140" s="5"/>
      <c r="T140" s="5"/>
      <c r="U140" s="5"/>
      <c r="V140" s="557">
        <f t="shared" si="24"/>
        <v>0</v>
      </c>
      <c r="W140" s="5"/>
      <c r="X140" s="362"/>
      <c r="Y140" s="394" t="s">
        <v>210</v>
      </c>
      <c r="Z140" s="5"/>
      <c r="AA140" s="5"/>
      <c r="AB140" s="392"/>
      <c r="AC140" s="5"/>
      <c r="AD140" s="5"/>
      <c r="AE140" s="363"/>
      <c r="AF140" s="557" t="str">
        <f t="shared" si="34"/>
        <v/>
      </c>
      <c r="AG140" s="557" t="str">
        <f t="shared" si="35"/>
        <v/>
      </c>
      <c r="AH140" s="589"/>
      <c r="AK140" s="107" t="s">
        <v>226</v>
      </c>
      <c r="AL140" s="387">
        <f t="shared" si="10"/>
        <v>0</v>
      </c>
      <c r="AM140" s="387">
        <f t="shared" si="11"/>
        <v>0</v>
      </c>
    </row>
    <row r="141" spans="1:39" s="391" customFormat="1" ht="116" hidden="1" customHeight="1" outlineLevel="3">
      <c r="A141" s="722"/>
      <c r="B141" s="733"/>
      <c r="C141" s="787"/>
      <c r="D141" s="784" t="s">
        <v>212</v>
      </c>
      <c r="E141" s="764" t="s">
        <v>293</v>
      </c>
      <c r="F141" s="765"/>
      <c r="G141" s="539"/>
      <c r="H141" s="365" t="str">
        <f t="shared" si="33"/>
        <v/>
      </c>
      <c r="I141" s="539"/>
      <c r="J141" s="539"/>
      <c r="K141" s="557" t="str">
        <f>IF(SUM(I141:J141)=0,"",SUM(I141:J141))</f>
        <v/>
      </c>
      <c r="L141" s="362"/>
      <c r="M141" s="544" t="b">
        <v>0</v>
      </c>
      <c r="N141" s="544" t="b">
        <v>0</v>
      </c>
      <c r="O141" s="5"/>
      <c r="P141" s="363"/>
      <c r="Q141" s="5"/>
      <c r="R141" s="5"/>
      <c r="S141" s="5"/>
      <c r="T141" s="5"/>
      <c r="U141" s="5"/>
      <c r="V141" s="557">
        <f t="shared" si="24"/>
        <v>0</v>
      </c>
      <c r="W141" s="5"/>
      <c r="X141" s="362"/>
      <c r="Y141" s="394" t="s">
        <v>210</v>
      </c>
      <c r="Z141" s="5"/>
      <c r="AA141" s="5"/>
      <c r="AB141" s="392"/>
      <c r="AC141" s="5"/>
      <c r="AD141" s="5"/>
      <c r="AE141" s="363"/>
      <c r="AF141" s="557" t="str">
        <f t="shared" si="34"/>
        <v/>
      </c>
      <c r="AG141" s="557" t="str">
        <f t="shared" si="35"/>
        <v/>
      </c>
      <c r="AH141" s="589"/>
      <c r="AK141" s="107" t="s">
        <v>226</v>
      </c>
      <c r="AL141" s="387">
        <f t="shared" si="10"/>
        <v>0</v>
      </c>
      <c r="AM141" s="387">
        <f t="shared" si="11"/>
        <v>0</v>
      </c>
    </row>
    <row r="142" spans="1:39" s="391" customFormat="1" ht="39" hidden="1" customHeight="1" outlineLevel="3">
      <c r="A142" s="722"/>
      <c r="B142" s="733"/>
      <c r="C142" s="766"/>
      <c r="D142" s="785"/>
      <c r="E142" s="762" t="s">
        <v>294</v>
      </c>
      <c r="F142" s="763"/>
      <c r="G142" s="539"/>
      <c r="H142" s="365" t="str">
        <f t="shared" si="33"/>
        <v/>
      </c>
      <c r="I142" s="539"/>
      <c r="J142" s="539"/>
      <c r="K142" s="557" t="str">
        <f>IF(SUM(I142:J142)=0,"",SUM(I142:J142))</f>
        <v/>
      </c>
      <c r="L142" s="362"/>
      <c r="M142" s="544" t="b">
        <v>0</v>
      </c>
      <c r="N142" s="544" t="b">
        <v>0</v>
      </c>
      <c r="O142" s="5"/>
      <c r="P142" s="363"/>
      <c r="Q142" s="5"/>
      <c r="R142" s="5"/>
      <c r="S142" s="5"/>
      <c r="T142" s="5"/>
      <c r="U142" s="5"/>
      <c r="V142" s="557">
        <f t="shared" si="24"/>
        <v>0</v>
      </c>
      <c r="W142" s="5"/>
      <c r="X142" s="362"/>
      <c r="Y142" s="394" t="s">
        <v>210</v>
      </c>
      <c r="Z142" s="5"/>
      <c r="AA142" s="5"/>
      <c r="AB142" s="392"/>
      <c r="AC142" s="5"/>
      <c r="AD142" s="5"/>
      <c r="AE142" s="363"/>
      <c r="AF142" s="557" t="str">
        <f t="shared" si="34"/>
        <v/>
      </c>
      <c r="AG142" s="557" t="str">
        <f t="shared" si="35"/>
        <v/>
      </c>
      <c r="AH142" s="589"/>
      <c r="AK142" s="107" t="s">
        <v>226</v>
      </c>
      <c r="AL142" s="387">
        <f t="shared" si="10"/>
        <v>0</v>
      </c>
      <c r="AM142" s="387">
        <f t="shared" si="11"/>
        <v>0</v>
      </c>
    </row>
    <row r="143" spans="1:39" s="391" customFormat="1" ht="100.25" hidden="1" customHeight="1" outlineLevel="3">
      <c r="A143" s="722"/>
      <c r="B143" s="733"/>
      <c r="C143" s="801" t="s">
        <v>227</v>
      </c>
      <c r="D143" s="802"/>
      <c r="E143" s="764" t="s">
        <v>293</v>
      </c>
      <c r="F143" s="765"/>
      <c r="G143" s="539"/>
      <c r="H143" s="365" t="str">
        <f t="shared" si="33"/>
        <v/>
      </c>
      <c r="I143" s="539"/>
      <c r="J143" s="539"/>
      <c r="K143" s="557" t="str">
        <f>IF(SUM(I143:J143)=0,"",SUM(I143:J143))</f>
        <v/>
      </c>
      <c r="L143" s="362"/>
      <c r="M143" s="544" t="b">
        <v>0</v>
      </c>
      <c r="N143" s="389"/>
      <c r="O143" s="5"/>
      <c r="P143" s="363"/>
      <c r="Q143" s="5"/>
      <c r="R143" s="5"/>
      <c r="S143" s="5"/>
      <c r="T143" s="5"/>
      <c r="U143" s="5"/>
      <c r="V143" s="557">
        <f t="shared" si="24"/>
        <v>0</v>
      </c>
      <c r="W143" s="5"/>
      <c r="X143" s="362"/>
      <c r="Y143" s="557"/>
      <c r="Z143" s="557"/>
      <c r="AA143" s="557"/>
      <c r="AB143" s="390"/>
      <c r="AC143" s="557"/>
      <c r="AD143" s="557"/>
      <c r="AE143" s="363"/>
      <c r="AF143" s="557" t="str">
        <f t="shared" si="34"/>
        <v/>
      </c>
      <c r="AG143" s="557" t="str">
        <f t="shared" si="35"/>
        <v/>
      </c>
      <c r="AH143" s="589"/>
      <c r="AK143" s="107" t="s">
        <v>228</v>
      </c>
      <c r="AL143" s="387">
        <f t="shared" ref="AL143:AM143" si="36">COUNTIFS($AK$78:$AK$143,$AK143,M$78:M$143,TRUE)</f>
        <v>0</v>
      </c>
      <c r="AM143" s="387">
        <f t="shared" si="36"/>
        <v>0</v>
      </c>
    </row>
    <row r="144" spans="1:39" s="391" customFormat="1" ht="52.25" hidden="1" customHeight="1" outlineLevel="2">
      <c r="A144" s="752"/>
      <c r="B144" s="814" t="s">
        <v>142</v>
      </c>
      <c r="C144" s="762" t="s">
        <v>295</v>
      </c>
      <c r="D144" s="832"/>
      <c r="E144" s="832"/>
      <c r="F144" s="832"/>
      <c r="G144" s="4"/>
      <c r="H144" s="365" t="str">
        <f t="shared" si="33"/>
        <v/>
      </c>
      <c r="I144" s="557"/>
      <c r="J144" s="557"/>
      <c r="K144" s="557"/>
      <c r="L144" s="367"/>
      <c r="M144" s="557"/>
      <c r="N144" s="557"/>
      <c r="O144" s="557"/>
      <c r="P144" s="368"/>
      <c r="Q144" s="557"/>
      <c r="R144" s="557"/>
      <c r="S144" s="557"/>
      <c r="T144" s="557"/>
      <c r="U144" s="557"/>
      <c r="V144" s="557"/>
      <c r="W144" s="557"/>
      <c r="X144" s="574"/>
      <c r="Y144" s="557"/>
      <c r="Z144" s="557"/>
      <c r="AA144" s="557"/>
      <c r="AB144" s="390"/>
      <c r="AC144" s="557"/>
      <c r="AD144" s="557"/>
      <c r="AE144" s="395"/>
      <c r="AF144" s="557"/>
      <c r="AG144" s="557"/>
      <c r="AH144" s="589"/>
      <c r="AK144" s="107"/>
    </row>
    <row r="145" spans="1:37" s="391" customFormat="1" ht="52.25" hidden="1" customHeight="1" outlineLevel="2">
      <c r="A145" s="753"/>
      <c r="B145" s="815"/>
      <c r="C145" s="762" t="s">
        <v>296</v>
      </c>
      <c r="D145" s="832"/>
      <c r="E145" s="832"/>
      <c r="F145" s="832"/>
      <c r="G145" s="4"/>
      <c r="H145" s="365" t="str">
        <f t="shared" ref="H145:H151" si="37">IF(G145="","",G145/$G$160)</f>
        <v/>
      </c>
      <c r="I145" s="557"/>
      <c r="J145" s="557"/>
      <c r="K145" s="557"/>
      <c r="L145" s="367"/>
      <c r="M145" s="557"/>
      <c r="N145" s="557"/>
      <c r="O145" s="557"/>
      <c r="P145" s="368"/>
      <c r="Q145" s="557"/>
      <c r="R145" s="557"/>
      <c r="S145" s="557"/>
      <c r="T145" s="557"/>
      <c r="U145" s="557"/>
      <c r="V145" s="557"/>
      <c r="W145" s="557"/>
      <c r="X145" s="574"/>
      <c r="Y145" s="557"/>
      <c r="Z145" s="557"/>
      <c r="AA145" s="557"/>
      <c r="AB145" s="390"/>
      <c r="AC145" s="557"/>
      <c r="AD145" s="557"/>
      <c r="AE145" s="395"/>
      <c r="AF145" s="557"/>
      <c r="AG145" s="557"/>
      <c r="AH145" s="589"/>
      <c r="AK145" s="107"/>
    </row>
    <row r="146" spans="1:37" s="391" customFormat="1" ht="52.25" hidden="1" customHeight="1" outlineLevel="2">
      <c r="A146" s="753"/>
      <c r="B146" s="815"/>
      <c r="C146" s="762" t="s">
        <v>297</v>
      </c>
      <c r="D146" s="832"/>
      <c r="E146" s="832"/>
      <c r="F146" s="832"/>
      <c r="G146" s="4"/>
      <c r="H146" s="365" t="str">
        <f t="shared" si="37"/>
        <v/>
      </c>
      <c r="I146" s="557"/>
      <c r="J146" s="557"/>
      <c r="K146" s="557"/>
      <c r="L146" s="367"/>
      <c r="M146" s="557"/>
      <c r="N146" s="557"/>
      <c r="O146" s="557"/>
      <c r="P146" s="368"/>
      <c r="Q146" s="557"/>
      <c r="R146" s="557"/>
      <c r="S146" s="557"/>
      <c r="T146" s="557"/>
      <c r="U146" s="557"/>
      <c r="V146" s="557"/>
      <c r="W146" s="557"/>
      <c r="X146" s="574"/>
      <c r="Y146" s="557"/>
      <c r="Z146" s="557"/>
      <c r="AA146" s="557"/>
      <c r="AB146" s="390"/>
      <c r="AC146" s="557"/>
      <c r="AD146" s="557"/>
      <c r="AE146" s="395"/>
      <c r="AF146" s="557"/>
      <c r="AG146" s="557"/>
      <c r="AH146" s="589"/>
      <c r="AK146" s="107"/>
    </row>
    <row r="147" spans="1:37" s="391" customFormat="1" ht="52.25" hidden="1" customHeight="1" outlineLevel="2">
      <c r="A147" s="753"/>
      <c r="B147" s="815"/>
      <c r="C147" s="853" t="s">
        <v>298</v>
      </c>
      <c r="D147" s="854"/>
      <c r="E147" s="854"/>
      <c r="F147" s="855"/>
      <c r="G147" s="4"/>
      <c r="H147" s="365" t="str">
        <f t="shared" si="37"/>
        <v/>
      </c>
      <c r="I147" s="557"/>
      <c r="J147" s="557"/>
      <c r="K147" s="557"/>
      <c r="L147" s="367"/>
      <c r="M147" s="557"/>
      <c r="N147" s="557"/>
      <c r="O147" s="557"/>
      <c r="P147" s="368"/>
      <c r="Q147" s="557"/>
      <c r="R147" s="557"/>
      <c r="S147" s="557"/>
      <c r="T147" s="557"/>
      <c r="U147" s="557"/>
      <c r="V147" s="557"/>
      <c r="W147" s="557"/>
      <c r="X147" s="574"/>
      <c r="Y147" s="557"/>
      <c r="Z147" s="557"/>
      <c r="AA147" s="557"/>
      <c r="AB147" s="390"/>
      <c r="AC147" s="557"/>
      <c r="AD147" s="557"/>
      <c r="AE147" s="395"/>
      <c r="AF147" s="557"/>
      <c r="AG147" s="557"/>
      <c r="AH147" s="589"/>
      <c r="AK147" s="107"/>
    </row>
    <row r="148" spans="1:37" s="391" customFormat="1" ht="52.25" hidden="1" customHeight="1" outlineLevel="2">
      <c r="A148" s="753"/>
      <c r="B148" s="815"/>
      <c r="C148" s="853" t="s">
        <v>299</v>
      </c>
      <c r="D148" s="854"/>
      <c r="E148" s="854"/>
      <c r="F148" s="855"/>
      <c r="G148" s="4"/>
      <c r="H148" s="365" t="str">
        <f t="shared" si="37"/>
        <v/>
      </c>
      <c r="I148" s="557"/>
      <c r="J148" s="557"/>
      <c r="K148" s="557"/>
      <c r="L148" s="367"/>
      <c r="M148" s="557"/>
      <c r="N148" s="557"/>
      <c r="O148" s="557"/>
      <c r="P148" s="368"/>
      <c r="Q148" s="557"/>
      <c r="R148" s="557"/>
      <c r="S148" s="557"/>
      <c r="T148" s="557"/>
      <c r="U148" s="557"/>
      <c r="V148" s="557"/>
      <c r="W148" s="557"/>
      <c r="X148" s="574"/>
      <c r="Y148" s="557"/>
      <c r="Z148" s="557"/>
      <c r="AA148" s="557"/>
      <c r="AB148" s="390"/>
      <c r="AC148" s="557"/>
      <c r="AD148" s="557"/>
      <c r="AE148" s="395"/>
      <c r="AF148" s="557"/>
      <c r="AG148" s="557"/>
      <c r="AH148" s="589"/>
      <c r="AK148" s="107"/>
    </row>
    <row r="149" spans="1:37" s="391" customFormat="1" ht="52.25" hidden="1" customHeight="1" outlineLevel="2">
      <c r="A149" s="753"/>
      <c r="B149" s="815"/>
      <c r="C149" s="853" t="s">
        <v>300</v>
      </c>
      <c r="D149" s="854"/>
      <c r="E149" s="854"/>
      <c r="F149" s="855"/>
      <c r="G149" s="4"/>
      <c r="H149" s="365" t="str">
        <f t="shared" si="37"/>
        <v/>
      </c>
      <c r="I149" s="557"/>
      <c r="J149" s="557"/>
      <c r="K149" s="557"/>
      <c r="L149" s="367"/>
      <c r="M149" s="557"/>
      <c r="N149" s="557"/>
      <c r="O149" s="557"/>
      <c r="P149" s="368"/>
      <c r="Q149" s="557"/>
      <c r="R149" s="557"/>
      <c r="S149" s="557"/>
      <c r="T149" s="557"/>
      <c r="U149" s="557"/>
      <c r="V149" s="557"/>
      <c r="W149" s="557"/>
      <c r="X149" s="574"/>
      <c r="Y149" s="557"/>
      <c r="Z149" s="557"/>
      <c r="AA149" s="557"/>
      <c r="AB149" s="390"/>
      <c r="AC149" s="557"/>
      <c r="AD149" s="557"/>
      <c r="AE149" s="395"/>
      <c r="AF149" s="557"/>
      <c r="AG149" s="557"/>
      <c r="AH149" s="589"/>
      <c r="AK149" s="107"/>
    </row>
    <row r="150" spans="1:37" s="391" customFormat="1" ht="52.25" hidden="1" customHeight="1" outlineLevel="2">
      <c r="A150" s="753"/>
      <c r="B150" s="815"/>
      <c r="C150" s="853" t="s">
        <v>301</v>
      </c>
      <c r="D150" s="854"/>
      <c r="E150" s="854"/>
      <c r="F150" s="855"/>
      <c r="G150" s="4"/>
      <c r="H150" s="365" t="str">
        <f t="shared" si="37"/>
        <v/>
      </c>
      <c r="I150" s="557"/>
      <c r="J150" s="557"/>
      <c r="K150" s="557"/>
      <c r="L150" s="367"/>
      <c r="M150" s="557"/>
      <c r="N150" s="557"/>
      <c r="O150" s="557"/>
      <c r="P150" s="368"/>
      <c r="Q150" s="557"/>
      <c r="R150" s="557"/>
      <c r="S150" s="557"/>
      <c r="T150" s="557"/>
      <c r="U150" s="557"/>
      <c r="V150" s="557"/>
      <c r="W150" s="557"/>
      <c r="X150" s="574"/>
      <c r="Y150" s="557"/>
      <c r="Z150" s="557"/>
      <c r="AA150" s="557"/>
      <c r="AB150" s="390"/>
      <c r="AC150" s="557"/>
      <c r="AD150" s="557"/>
      <c r="AE150" s="395"/>
      <c r="AF150" s="557"/>
      <c r="AG150" s="557"/>
      <c r="AH150" s="589"/>
      <c r="AK150" s="107"/>
    </row>
    <row r="151" spans="1:37" s="391" customFormat="1" ht="52.25" hidden="1" customHeight="1" outlineLevel="2">
      <c r="A151" s="753"/>
      <c r="B151" s="815"/>
      <c r="C151" s="853" t="s">
        <v>302</v>
      </c>
      <c r="D151" s="854"/>
      <c r="E151" s="854"/>
      <c r="F151" s="855"/>
      <c r="G151" s="4"/>
      <c r="H151" s="365" t="str">
        <f t="shared" si="37"/>
        <v/>
      </c>
      <c r="I151" s="557"/>
      <c r="J151" s="557"/>
      <c r="K151" s="557"/>
      <c r="L151" s="367"/>
      <c r="M151" s="557"/>
      <c r="N151" s="557"/>
      <c r="O151" s="557"/>
      <c r="P151" s="368"/>
      <c r="Q151" s="557"/>
      <c r="R151" s="557"/>
      <c r="S151" s="557"/>
      <c r="T151" s="557"/>
      <c r="U151" s="557"/>
      <c r="V151" s="557"/>
      <c r="W151" s="557"/>
      <c r="X151" s="574"/>
      <c r="Y151" s="557"/>
      <c r="Z151" s="557"/>
      <c r="AA151" s="557"/>
      <c r="AB151" s="390"/>
      <c r="AC151" s="557"/>
      <c r="AD151" s="557"/>
      <c r="AE151" s="395"/>
      <c r="AF151" s="557"/>
      <c r="AG151" s="557"/>
      <c r="AH151" s="589"/>
      <c r="AK151" s="107"/>
    </row>
    <row r="152" spans="1:37" s="391" customFormat="1" ht="52.25" hidden="1" customHeight="1" outlineLevel="2">
      <c r="A152" s="753"/>
      <c r="B152" s="815"/>
      <c r="C152" s="762" t="s">
        <v>303</v>
      </c>
      <c r="D152" s="832"/>
      <c r="E152" s="832"/>
      <c r="F152" s="832"/>
      <c r="G152" s="4"/>
      <c r="H152" s="365" t="str">
        <f>IF(G152="","",G152/$G$160)</f>
        <v/>
      </c>
      <c r="I152" s="557"/>
      <c r="J152" s="557"/>
      <c r="K152" s="557"/>
      <c r="L152" s="367"/>
      <c r="M152" s="557"/>
      <c r="N152" s="557"/>
      <c r="O152" s="557"/>
      <c r="P152" s="368"/>
      <c r="Q152" s="557"/>
      <c r="R152" s="557"/>
      <c r="S152" s="557"/>
      <c r="T152" s="557"/>
      <c r="U152" s="557"/>
      <c r="V152" s="557"/>
      <c r="W152" s="557"/>
      <c r="X152" s="574"/>
      <c r="Y152" s="557"/>
      <c r="Z152" s="557"/>
      <c r="AA152" s="557"/>
      <c r="AB152" s="390"/>
      <c r="AC152" s="557"/>
      <c r="AD152" s="557"/>
      <c r="AE152" s="395"/>
      <c r="AF152" s="557"/>
      <c r="AG152" s="557"/>
      <c r="AH152" s="589"/>
      <c r="AK152" s="107"/>
    </row>
    <row r="153" spans="1:37" s="391" customFormat="1" ht="52.25" hidden="1" customHeight="1" outlineLevel="2">
      <c r="A153" s="753"/>
      <c r="B153" s="815"/>
      <c r="C153" s="762" t="s">
        <v>304</v>
      </c>
      <c r="D153" s="832"/>
      <c r="E153" s="832"/>
      <c r="F153" s="832"/>
      <c r="G153" s="4"/>
      <c r="H153" s="365" t="str">
        <f>IF(G153="","",G153/$G$160)</f>
        <v/>
      </c>
      <c r="I153" s="557"/>
      <c r="J153" s="557"/>
      <c r="K153" s="557"/>
      <c r="L153" s="367"/>
      <c r="M153" s="557"/>
      <c r="N153" s="557"/>
      <c r="O153" s="557"/>
      <c r="P153" s="368"/>
      <c r="Q153" s="557"/>
      <c r="R153" s="557"/>
      <c r="S153" s="557"/>
      <c r="T153" s="557"/>
      <c r="U153" s="557"/>
      <c r="V153" s="557"/>
      <c r="W153" s="557"/>
      <c r="X153" s="574"/>
      <c r="Y153" s="557"/>
      <c r="Z153" s="557"/>
      <c r="AA153" s="557"/>
      <c r="AB153" s="390"/>
      <c r="AC153" s="557"/>
      <c r="AD153" s="557"/>
      <c r="AE153" s="395"/>
      <c r="AF153" s="557"/>
      <c r="AG153" s="557"/>
      <c r="AH153" s="589"/>
      <c r="AK153" s="107"/>
    </row>
    <row r="154" spans="1:37" s="391" customFormat="1" ht="52.25" hidden="1" customHeight="1" outlineLevel="2">
      <c r="A154" s="753"/>
      <c r="B154" s="815"/>
      <c r="C154" s="762" t="s">
        <v>305</v>
      </c>
      <c r="D154" s="832"/>
      <c r="E154" s="832"/>
      <c r="F154" s="832"/>
      <c r="G154" s="4"/>
      <c r="H154" s="365"/>
      <c r="I154" s="557"/>
      <c r="J154" s="557"/>
      <c r="K154" s="557"/>
      <c r="L154" s="367"/>
      <c r="M154" s="557"/>
      <c r="N154" s="557"/>
      <c r="O154" s="557"/>
      <c r="P154" s="368"/>
      <c r="Q154" s="557"/>
      <c r="R154" s="557"/>
      <c r="S154" s="557"/>
      <c r="T154" s="557"/>
      <c r="U154" s="557"/>
      <c r="V154" s="557"/>
      <c r="W154" s="557"/>
      <c r="X154" s="589"/>
      <c r="Y154" s="557"/>
      <c r="Z154" s="557"/>
      <c r="AA154" s="557"/>
      <c r="AB154" s="395"/>
      <c r="AC154" s="557"/>
      <c r="AD154" s="557"/>
      <c r="AE154" s="395"/>
      <c r="AF154" s="557"/>
      <c r="AG154" s="557"/>
      <c r="AH154" s="589"/>
      <c r="AK154" s="107"/>
    </row>
    <row r="155" spans="1:37" s="391" customFormat="1" ht="52.25" hidden="1" customHeight="1" outlineLevel="2">
      <c r="A155" s="753"/>
      <c r="B155" s="816"/>
      <c r="C155" s="818"/>
      <c r="D155" s="819"/>
      <c r="E155" s="819"/>
      <c r="F155" s="819"/>
      <c r="G155" s="4"/>
      <c r="H155" s="365" t="str">
        <f>IF(G155="","",G155/$G$160)</f>
        <v/>
      </c>
      <c r="I155" s="557"/>
      <c r="J155" s="557"/>
      <c r="K155" s="557"/>
      <c r="L155" s="367"/>
      <c r="M155" s="557"/>
      <c r="N155" s="557"/>
      <c r="O155" s="557"/>
      <c r="P155" s="589"/>
      <c r="Q155" s="557"/>
      <c r="R155" s="557"/>
      <c r="S155" s="557"/>
      <c r="T155" s="557"/>
      <c r="U155" s="557"/>
      <c r="V155" s="557"/>
      <c r="W155" s="557"/>
      <c r="X155" s="589"/>
      <c r="Y155" s="557"/>
      <c r="Z155" s="557"/>
      <c r="AA155" s="557"/>
      <c r="AB155" s="589"/>
      <c r="AC155" s="557"/>
      <c r="AD155" s="557"/>
      <c r="AE155" s="605"/>
      <c r="AF155" s="557"/>
      <c r="AG155" s="557"/>
      <c r="AH155" s="589"/>
      <c r="AK155" s="107"/>
    </row>
    <row r="156" spans="1:37" s="391" customFormat="1" ht="16" hidden="1" outlineLevel="1">
      <c r="A156" s="575"/>
      <c r="B156" s="579"/>
      <c r="C156" s="579"/>
      <c r="D156" s="579"/>
      <c r="E156" s="579"/>
      <c r="F156" s="579"/>
      <c r="G156" s="579"/>
      <c r="H156" s="591"/>
      <c r="I156" s="591"/>
      <c r="J156" s="591"/>
      <c r="K156" s="591"/>
      <c r="L156" s="578"/>
      <c r="M156" s="579"/>
      <c r="N156" s="605"/>
      <c r="O156" s="589"/>
      <c r="P156" s="589"/>
      <c r="Q156" s="589"/>
      <c r="R156" s="589"/>
      <c r="S156" s="589"/>
      <c r="T156" s="589"/>
      <c r="U156" s="589"/>
      <c r="V156" s="589"/>
      <c r="W156" s="589"/>
      <c r="X156" s="589"/>
      <c r="Y156" s="589"/>
      <c r="Z156" s="589"/>
      <c r="AA156" s="589"/>
      <c r="AB156" s="589"/>
      <c r="AC156" s="589"/>
      <c r="AD156" s="589"/>
      <c r="AE156" s="589"/>
      <c r="AF156" s="589"/>
      <c r="AG156" s="589"/>
      <c r="AH156" s="589"/>
      <c r="AK156" s="411"/>
    </row>
    <row r="157" spans="1:37" s="391" customFormat="1" ht="34" hidden="1" outlineLevel="1">
      <c r="A157" s="575"/>
      <c r="B157" s="370" t="s">
        <v>148</v>
      </c>
      <c r="C157" s="370"/>
      <c r="D157" s="370"/>
      <c r="E157" s="370"/>
      <c r="F157" s="370"/>
      <c r="G157" s="370" t="s">
        <v>149</v>
      </c>
      <c r="H157" s="370" t="s">
        <v>150</v>
      </c>
      <c r="I157" s="371"/>
      <c r="J157" s="371"/>
      <c r="K157" s="371"/>
      <c r="L157" s="583"/>
      <c r="M157" s="14"/>
      <c r="N157" s="589"/>
      <c r="O157" s="589"/>
      <c r="P157" s="589"/>
      <c r="Q157" s="589"/>
      <c r="R157" s="589"/>
      <c r="S157" s="589"/>
      <c r="T157" s="589"/>
      <c r="U157" s="589"/>
      <c r="V157" s="589"/>
      <c r="W157" s="589"/>
      <c r="X157" s="589"/>
      <c r="Y157" s="589"/>
      <c r="Z157" s="589"/>
      <c r="AA157" s="589"/>
      <c r="AB157" s="589"/>
      <c r="AC157" s="589"/>
      <c r="AD157" s="589"/>
      <c r="AE157" s="589"/>
      <c r="AF157" s="589"/>
      <c r="AG157" s="589"/>
      <c r="AH157" s="589"/>
      <c r="AK157" s="411"/>
    </row>
    <row r="158" spans="1:37" s="391" customFormat="1" ht="33" hidden="1" customHeight="1" outlineLevel="1">
      <c r="A158" s="575"/>
      <c r="B158" s="812" t="s">
        <v>306</v>
      </c>
      <c r="C158" s="813"/>
      <c r="D158" s="813"/>
      <c r="E158" s="813"/>
      <c r="F158" s="813"/>
      <c r="G158" s="557">
        <f>IF(SUM(G78:G143)="","",SUM(G78:G143))</f>
        <v>0</v>
      </c>
      <c r="H158" s="365" t="str">
        <f>IF(G160=0,"",G158/$G$160)</f>
        <v/>
      </c>
      <c r="I158" s="374"/>
      <c r="J158" s="374"/>
      <c r="K158" s="374"/>
      <c r="L158" s="374"/>
      <c r="M158" s="14"/>
      <c r="N158" s="589"/>
      <c r="O158" s="589"/>
      <c r="P158" s="589"/>
      <c r="Q158" s="589"/>
      <c r="R158" s="589"/>
      <c r="S158" s="589"/>
      <c r="T158" s="589"/>
      <c r="U158" s="589"/>
      <c r="V158" s="589"/>
      <c r="W158" s="589"/>
      <c r="X158" s="589"/>
      <c r="Y158" s="589"/>
      <c r="Z158" s="589"/>
      <c r="AA158" s="589"/>
      <c r="AB158" s="589"/>
      <c r="AC158" s="589"/>
      <c r="AD158" s="589"/>
      <c r="AE158" s="589"/>
      <c r="AF158" s="589"/>
      <c r="AG158" s="589"/>
      <c r="AH158" s="589"/>
      <c r="AK158" s="411"/>
    </row>
    <row r="159" spans="1:37" s="391" customFormat="1" ht="33" hidden="1" customHeight="1" outlineLevel="1">
      <c r="A159" s="575"/>
      <c r="B159" s="812" t="s">
        <v>307</v>
      </c>
      <c r="C159" s="813"/>
      <c r="D159" s="813"/>
      <c r="E159" s="813"/>
      <c r="F159" s="813"/>
      <c r="G159" s="557">
        <f>+SUM(G144:G155)</f>
        <v>0</v>
      </c>
      <c r="H159" s="365" t="str">
        <f>IF(G160=0,"",G159/$G$160)</f>
        <v/>
      </c>
      <c r="I159" s="374"/>
      <c r="J159" s="374"/>
      <c r="K159" s="374"/>
      <c r="L159" s="374"/>
      <c r="M159" s="14"/>
      <c r="N159" s="589"/>
      <c r="O159" s="589"/>
      <c r="P159" s="589"/>
      <c r="Q159" s="589"/>
      <c r="R159" s="589"/>
      <c r="S159" s="589"/>
      <c r="T159" s="589"/>
      <c r="U159" s="589"/>
      <c r="V159" s="589"/>
      <c r="W159" s="589"/>
      <c r="X159" s="589"/>
      <c r="Y159" s="589"/>
      <c r="Z159" s="589"/>
      <c r="AA159" s="589"/>
      <c r="AB159" s="589"/>
      <c r="AC159" s="589"/>
      <c r="AD159" s="589"/>
      <c r="AE159" s="589"/>
      <c r="AF159" s="589"/>
      <c r="AG159" s="589"/>
      <c r="AH159" s="589"/>
      <c r="AK159" s="411"/>
    </row>
    <row r="160" spans="1:37" s="391" customFormat="1" ht="33" hidden="1" customHeight="1" outlineLevel="1">
      <c r="A160" s="575"/>
      <c r="B160" s="789" t="s">
        <v>308</v>
      </c>
      <c r="C160" s="790"/>
      <c r="D160" s="790"/>
      <c r="E160" s="790"/>
      <c r="F160" s="790"/>
      <c r="G160" s="376">
        <f>+G158+G159</f>
        <v>0</v>
      </c>
      <c r="H160" s="377"/>
      <c r="I160" s="848" t="str">
        <f>IF(G160="","",IF(G160&lt;&gt;'Financial activity types '!F12,"Error: The total must match the total in the Financial activity types tab","Exposure OK"))</f>
        <v>Exposure OK</v>
      </c>
      <c r="J160" s="848"/>
      <c r="K160" s="848"/>
      <c r="L160" s="374"/>
      <c r="M160" s="706" t="s">
        <v>154</v>
      </c>
      <c r="N160" s="706"/>
      <c r="O160" s="706"/>
      <c r="P160" s="589"/>
      <c r="Q160" s="589"/>
      <c r="R160" s="589"/>
      <c r="S160" s="589"/>
      <c r="T160" s="589"/>
      <c r="U160" s="589"/>
      <c r="V160" s="589"/>
      <c r="W160" s="589"/>
      <c r="X160" s="589"/>
      <c r="Y160" s="589"/>
      <c r="Z160" s="589"/>
      <c r="AA160" s="589"/>
      <c r="AB160" s="589"/>
      <c r="AC160" s="589"/>
      <c r="AD160" s="589"/>
      <c r="AE160" s="589"/>
      <c r="AF160" s="589"/>
      <c r="AG160" s="589"/>
      <c r="AH160" s="589"/>
      <c r="AK160" s="411"/>
    </row>
    <row r="161" spans="1:37" s="411" customFormat="1" ht="33" hidden="1" customHeight="1" outlineLevel="1">
      <c r="A161" s="575"/>
      <c r="B161" s="789" t="s">
        <v>309</v>
      </c>
      <c r="C161" s="790"/>
      <c r="D161" s="790"/>
      <c r="E161" s="790"/>
      <c r="F161" s="790"/>
      <c r="G161" s="376">
        <f>(SUMIF(M78:M126,TRUE,V78:V126)+SUMIF(N78:N126,TRUE,Z78:Z126)-SUMIFS(AC78:AC126,M78:M126,TRUE,N78:N126,TRUE)-SUMIFS(AC94,M94,TRUE,N95,TRUE)-SUMIFS(AC96,M96,TRUE,N97,TRUE)-SUMIFS(AC98,M98,TRUE,N99,TRUE)-SUMIFS(AC100,M100,TRUE,N101,TRUE)-SUMIFS(AC102,M102,TRUE,N103,TRUE)-SUMIFS(AC104,M104,TRUE,N105,TRUE)-SUMIFS(AC112,M112,TRUE,N113,TRUE)-SUMIFS(AC114,M114,TRUE,N115,TRUE)-SUMIFS(AC116,M116,TRUE,N117,TRUE))</f>
        <v>0</v>
      </c>
      <c r="H161" s="377" t="e">
        <f>G161/SUM(G78:G126)</f>
        <v>#DIV/0!</v>
      </c>
      <c r="I161" s="849" t="e">
        <f>IF(G160="","",IF(H161&lt;&gt;100%,"Error: The FI must cover 100% of segments A, B, and C","Coverage OK"))</f>
        <v>#DIV/0!</v>
      </c>
      <c r="J161" s="849"/>
      <c r="K161" s="849"/>
      <c r="L161" s="590"/>
      <c r="M161" s="706"/>
      <c r="N161" s="706"/>
      <c r="O161" s="706"/>
      <c r="P161" s="595"/>
      <c r="Q161" s="595"/>
      <c r="R161" s="595"/>
      <c r="S161" s="595"/>
      <c r="T161" s="595"/>
      <c r="U161" s="595"/>
      <c r="V161" s="595"/>
      <c r="W161" s="595"/>
      <c r="X161" s="595"/>
      <c r="Y161" s="595"/>
      <c r="Z161" s="595"/>
      <c r="AA161" s="595"/>
      <c r="AB161" s="595"/>
      <c r="AC161" s="595"/>
      <c r="AD161" s="595"/>
      <c r="AE161" s="595"/>
      <c r="AF161" s="595"/>
      <c r="AG161" s="595"/>
      <c r="AH161" s="595"/>
    </row>
    <row r="162" spans="1:37" s="408" customFormat="1" ht="51" hidden="1" customHeight="1" outlineLevel="1">
      <c r="A162" s="575"/>
      <c r="B162" s="789" t="s">
        <v>310</v>
      </c>
      <c r="C162" s="790"/>
      <c r="D162" s="790"/>
      <c r="E162" s="790"/>
      <c r="F162" s="790"/>
      <c r="G162" s="376">
        <f>(SUMIF(M78:M143,TRUE,V78:V143)+SUMIF(N78:N143,TRUE,Z78:Z143)-SUMIFS(AC78:AC143,M78:M143,TRUE,N78:N143,TRUE)-SUMIFS(AC94,M94,TRUE,N95,TRUE)-SUMIFS(AC96,M96,TRUE,N97,TRUE)-SUMIFS(AC98,M98,TRUE,N99,TRUE)-SUMIFS(AC100,M100,TRUE,N101,TRUE)-SUMIFS(AC102,M102,TRUE,N103,TRUE)-SUMIFS(AC104,M104,TRUE,N105,TRUE)-SUMIFS(AC112,M112,TRUE,N113,TRUE)-SUMIFS(AC114,M114,TRUE,N115,TRUE)-SUMIFS(AC116,M116,TRUE,N117,TRUE)-SUMIFS(AC131,M131,TRUE,N132,TRUE)-SUMIFS(AC133,M133,TRUE,N134,TRUE)-SUMIFS(AC137,M137,TRUE,N138,TRUE))</f>
        <v>0</v>
      </c>
      <c r="H162" s="377" t="e">
        <f>G162/SUM(G78:G143)</f>
        <v>#DIV/0!</v>
      </c>
      <c r="I162" s="849" t="e">
        <f>IF(G160="","",IF(H162&lt;67%,"Error: The FI must cover 67% or more of segments A, B, C, and D","Coverage OK"))</f>
        <v>#DIV/0!</v>
      </c>
      <c r="J162" s="849"/>
      <c r="K162" s="849"/>
      <c r="L162" s="586"/>
      <c r="M162" s="706"/>
      <c r="N162" s="706"/>
      <c r="O162" s="706"/>
      <c r="P162" s="599"/>
      <c r="Q162" s="599"/>
      <c r="R162" s="599"/>
      <c r="S162" s="599"/>
      <c r="T162" s="599"/>
      <c r="U162" s="599"/>
      <c r="V162" s="599"/>
      <c r="W162" s="599"/>
      <c r="X162" s="599"/>
      <c r="Y162" s="599"/>
      <c r="Z162" s="599"/>
      <c r="AA162" s="599"/>
      <c r="AB162" s="599"/>
      <c r="AC162" s="599"/>
      <c r="AD162" s="599"/>
      <c r="AE162" s="599"/>
      <c r="AF162" s="599"/>
      <c r="AG162" s="599"/>
      <c r="AH162" s="599"/>
      <c r="AK162" s="411"/>
    </row>
    <row r="163" spans="1:37" s="408" customFormat="1" ht="33" hidden="1" customHeight="1" outlineLevel="1">
      <c r="A163" s="575"/>
      <c r="B163" s="812" t="s">
        <v>157</v>
      </c>
      <c r="C163" s="813"/>
      <c r="D163" s="813"/>
      <c r="E163" s="813"/>
      <c r="F163" s="813"/>
      <c r="G163" s="557">
        <f>SUMIF(M78:M143,TRUE,V78:V143)</f>
        <v>0</v>
      </c>
      <c r="H163" s="365" t="e">
        <f>G163/SUM(G78:G143)</f>
        <v>#DIV/0!</v>
      </c>
      <c r="I163" s="396"/>
      <c r="J163" s="397"/>
      <c r="K163" s="398"/>
      <c r="L163" s="599"/>
      <c r="M163" s="706"/>
      <c r="N163" s="706"/>
      <c r="O163" s="706"/>
      <c r="P163" s="599"/>
      <c r="Q163" s="599"/>
      <c r="R163" s="599"/>
      <c r="S163" s="599"/>
      <c r="T163" s="599"/>
      <c r="U163" s="599"/>
      <c r="V163" s="599"/>
      <c r="W163" s="599"/>
      <c r="X163" s="599"/>
      <c r="Y163" s="599"/>
      <c r="Z163" s="599"/>
      <c r="AA163" s="599"/>
      <c r="AB163" s="599"/>
      <c r="AC163" s="599"/>
      <c r="AD163" s="599"/>
      <c r="AE163" s="599"/>
      <c r="AF163" s="599"/>
      <c r="AG163" s="599"/>
      <c r="AH163" s="599"/>
      <c r="AK163" s="411"/>
    </row>
    <row r="164" spans="1:37" s="386" customFormat="1" ht="33" hidden="1" customHeight="1" outlineLevel="1">
      <c r="A164" s="575"/>
      <c r="B164" s="812" t="s">
        <v>158</v>
      </c>
      <c r="C164" s="813"/>
      <c r="D164" s="813"/>
      <c r="E164" s="813"/>
      <c r="F164" s="813"/>
      <c r="G164" s="557">
        <f>SUMIF(N78:N143,TRUE,Z78:Z143)</f>
        <v>0</v>
      </c>
      <c r="H164" s="365" t="e">
        <f>G164/SUM(G78:G143)</f>
        <v>#DIV/0!</v>
      </c>
      <c r="I164" s="585"/>
      <c r="J164" s="585"/>
      <c r="K164" s="585"/>
      <c r="L164" s="600"/>
      <c r="M164" s="706"/>
      <c r="N164" s="706"/>
      <c r="O164" s="706"/>
      <c r="P164" s="600"/>
      <c r="Q164" s="600"/>
      <c r="R164" s="600"/>
      <c r="S164" s="600"/>
      <c r="T164" s="600"/>
      <c r="U164" s="600"/>
      <c r="V164" s="600"/>
      <c r="W164" s="600"/>
      <c r="X164" s="600"/>
      <c r="Y164" s="600"/>
      <c r="Z164" s="600"/>
      <c r="AA164" s="600"/>
      <c r="AB164" s="600"/>
      <c r="AC164" s="600"/>
      <c r="AD164" s="600"/>
      <c r="AE164" s="600"/>
      <c r="AF164" s="600"/>
      <c r="AG164" s="600"/>
      <c r="AH164" s="600"/>
      <c r="AK164" s="411"/>
    </row>
    <row r="165" spans="1:37" s="386" customFormat="1" ht="33" hidden="1" customHeight="1" outlineLevel="1">
      <c r="A165" s="575"/>
      <c r="B165" s="812" t="s">
        <v>159</v>
      </c>
      <c r="C165" s="813"/>
      <c r="D165" s="813"/>
      <c r="E165" s="813"/>
      <c r="F165" s="813"/>
      <c r="G165" s="557">
        <f>SUMIFS(AC78:AC143,M78:M143,TRUE,N78:N143,TRUE)</f>
        <v>0</v>
      </c>
      <c r="H165" s="365" t="e">
        <f>G165/SUM(G78:G143)</f>
        <v>#DIV/0!</v>
      </c>
      <c r="I165" s="374"/>
      <c r="J165" s="374"/>
      <c r="K165" s="374"/>
      <c r="L165" s="601"/>
      <c r="M165" s="706"/>
      <c r="N165" s="706"/>
      <c r="O165" s="706"/>
      <c r="P165" s="600"/>
      <c r="Q165" s="600"/>
      <c r="R165" s="600"/>
      <c r="S165" s="600"/>
      <c r="T165" s="600"/>
      <c r="U165" s="600"/>
      <c r="V165" s="600"/>
      <c r="W165" s="600"/>
      <c r="X165" s="600"/>
      <c r="Y165" s="600"/>
      <c r="Z165" s="600"/>
      <c r="AA165" s="600"/>
      <c r="AB165" s="600"/>
      <c r="AC165" s="600"/>
      <c r="AD165" s="600"/>
      <c r="AE165" s="600"/>
      <c r="AF165" s="600"/>
      <c r="AG165" s="600"/>
      <c r="AH165" s="600"/>
      <c r="AK165" s="411"/>
    </row>
    <row r="166" spans="1:37" ht="55.5" hidden="1" customHeight="1" outlineLevel="1">
      <c r="B166" s="791" t="s">
        <v>311</v>
      </c>
      <c r="C166" s="792"/>
      <c r="D166" s="792"/>
      <c r="E166" s="792"/>
      <c r="F166" s="792"/>
      <c r="G166" s="376">
        <f>(SUMIF(M78:M143,TRUE,W78:W143)+SUMIF(N78:N143,TRUE,AA78:AA143)-SUMIFS(AD78:AD143,M78:M143,TRUE,N78:N143,TRUE)-SUMIFS(AD94,M94,TRUE,N95,TRUE)-SUMIFS(AD96,M96,TRUE,N97,TRUE)-SUMIFS(AD98,M98,TRUE,N99,TRUE)-SUMIFS(AD100,M100,TRUE,N101,TRUE)-SUMIFS(AD102,M102,TRUE,N103,TRUE)-SUMIFS(AD104,M104,TRUE,N105,TRUE)-SUMIFS(AD112,M112,TRUE,N113,TRUE)-SUMIFS(AD114,M114,TRUE,N115,TRUE)-SUMIFS(AD116,M116,TRUE,N117,TRUE)-SUMIFS(AD131,M131,TRUE,N132,TRUE)-SUMIFS(AD133,M133,TRUE,N134,TRUE)-SUMIFS(AD137,M137,TRUE,N138,TRUE))</f>
        <v>0</v>
      </c>
      <c r="H166" s="377" t="e">
        <f>G166/SUM(K78:K143)</f>
        <v>#DIV/0!</v>
      </c>
      <c r="I166" s="849" t="e">
        <f>IF(G160="","",IF(H166&lt;67%,"Error: The FI must cover 67% or more of segments A, B, C, and D","Coverage OK"))</f>
        <v>#DIV/0!</v>
      </c>
      <c r="J166" s="849"/>
      <c r="K166" s="849"/>
      <c r="M166" s="706"/>
      <c r="N166" s="706"/>
      <c r="O166" s="706"/>
      <c r="AK166" s="408"/>
    </row>
    <row r="167" spans="1:37" ht="16" hidden="1">
      <c r="AK167" s="412"/>
    </row>
    <row r="168" spans="1:37" ht="16" hidden="1">
      <c r="AK168" s="413"/>
    </row>
    <row r="169" spans="1:37" ht="16" hidden="1">
      <c r="AK169" s="408"/>
    </row>
  </sheetData>
  <sheetProtection algorithmName="SHA-512" hashValue="+UWoP+IWJGIgcngY+9V0ZYh2g5+L20B0kFRbYA2XBT9nfEdfCpVrzT+Kdw+5xib3VyNZ4xggzkpO/0gmhs1CGw==" saltValue="VQ95RTrHVEDsOKgqvZ9V1A==" spinCount="100000" sheet="1" objects="1" scenarios="1" formatCells="0" formatColumns="0" formatRows="0" selectLockedCells="1"/>
  <mergeCells count="541">
    <mergeCell ref="A3:K3"/>
    <mergeCell ref="B166:F166"/>
    <mergeCell ref="I55:K55"/>
    <mergeCell ref="I56:K56"/>
    <mergeCell ref="I57:K57"/>
    <mergeCell ref="I61:K61"/>
    <mergeCell ref="I160:K160"/>
    <mergeCell ref="I161:K161"/>
    <mergeCell ref="I162:K162"/>
    <mergeCell ref="I166:K166"/>
    <mergeCell ref="D85:D86"/>
    <mergeCell ref="C78:C86"/>
    <mergeCell ref="K94:K95"/>
    <mergeCell ref="K96:K97"/>
    <mergeCell ref="K98:K99"/>
    <mergeCell ref="K100:K101"/>
    <mergeCell ref="K102:K103"/>
    <mergeCell ref="K104:K105"/>
    <mergeCell ref="K112:K113"/>
    <mergeCell ref="K114:K115"/>
    <mergeCell ref="K116:K117"/>
    <mergeCell ref="J94:J95"/>
    <mergeCell ref="J96:J97"/>
    <mergeCell ref="J98:J99"/>
    <mergeCell ref="D80:D83"/>
    <mergeCell ref="A29:A32"/>
    <mergeCell ref="B29:B32"/>
    <mergeCell ref="C29:F29"/>
    <mergeCell ref="A20:A25"/>
    <mergeCell ref="B20:B28"/>
    <mergeCell ref="M20:M21"/>
    <mergeCell ref="A26:A28"/>
    <mergeCell ref="C26:F26"/>
    <mergeCell ref="C27:D28"/>
    <mergeCell ref="A18:K18"/>
    <mergeCell ref="I20:I21"/>
    <mergeCell ref="I22:I23"/>
    <mergeCell ref="I24:I25"/>
    <mergeCell ref="J20:J21"/>
    <mergeCell ref="J22:J23"/>
    <mergeCell ref="J24:J25"/>
    <mergeCell ref="K20:K21"/>
    <mergeCell ref="K22:K23"/>
    <mergeCell ref="K24:K25"/>
    <mergeCell ref="C20:F21"/>
    <mergeCell ref="G20:G21"/>
    <mergeCell ref="H20:H21"/>
    <mergeCell ref="A1:L1"/>
    <mergeCell ref="A2:AF2"/>
    <mergeCell ref="A4:L4"/>
    <mergeCell ref="A6:AF6"/>
    <mergeCell ref="A7:AF7"/>
    <mergeCell ref="B12:C12"/>
    <mergeCell ref="D12:E12"/>
    <mergeCell ref="M18:O18"/>
    <mergeCell ref="B9:C9"/>
    <mergeCell ref="D9:E9"/>
    <mergeCell ref="B10:C10"/>
    <mergeCell ref="D10:E10"/>
    <mergeCell ref="B11:C11"/>
    <mergeCell ref="D11:E11"/>
    <mergeCell ref="AF18:AF19"/>
    <mergeCell ref="A19:B19"/>
    <mergeCell ref="C19:F19"/>
    <mergeCell ref="A14:AF14"/>
    <mergeCell ref="G9:M12"/>
    <mergeCell ref="Q16:W16"/>
    <mergeCell ref="Y16:AA16"/>
    <mergeCell ref="C16:K16"/>
    <mergeCell ref="M16:O16"/>
    <mergeCell ref="S20:S21"/>
    <mergeCell ref="T20:T21"/>
    <mergeCell ref="U20:U21"/>
    <mergeCell ref="V20:V21"/>
    <mergeCell ref="AF24:AF25"/>
    <mergeCell ref="W20:W21"/>
    <mergeCell ref="W22:W23"/>
    <mergeCell ref="W24:W25"/>
    <mergeCell ref="AD20:AD21"/>
    <mergeCell ref="AD22:AD23"/>
    <mergeCell ref="AD24:AD25"/>
    <mergeCell ref="A36:A38"/>
    <mergeCell ref="B36:B38"/>
    <mergeCell ref="C36:F36"/>
    <mergeCell ref="C37:D38"/>
    <mergeCell ref="E37:F37"/>
    <mergeCell ref="E38:F38"/>
    <mergeCell ref="A33:A35"/>
    <mergeCell ref="B33:B35"/>
    <mergeCell ref="C33:F33"/>
    <mergeCell ref="C34:D35"/>
    <mergeCell ref="E34:F34"/>
    <mergeCell ref="E35:F35"/>
    <mergeCell ref="M76:O76"/>
    <mergeCell ref="AF76:AF77"/>
    <mergeCell ref="AC76:AD76"/>
    <mergeCell ref="A78:A83"/>
    <mergeCell ref="B78:B86"/>
    <mergeCell ref="A39:A50"/>
    <mergeCell ref="B39:B50"/>
    <mergeCell ref="C39:F39"/>
    <mergeCell ref="C47:F47"/>
    <mergeCell ref="C48:F48"/>
    <mergeCell ref="C50:F50"/>
    <mergeCell ref="C74:K74"/>
    <mergeCell ref="M74:O74"/>
    <mergeCell ref="B61:F61"/>
    <mergeCell ref="C49:F49"/>
    <mergeCell ref="A77:B77"/>
    <mergeCell ref="A76:K76"/>
    <mergeCell ref="I78:I79"/>
    <mergeCell ref="I80:I81"/>
    <mergeCell ref="J78:J79"/>
    <mergeCell ref="J80:J81"/>
    <mergeCell ref="K78:K79"/>
    <mergeCell ref="K80:K81"/>
    <mergeCell ref="D78:F79"/>
    <mergeCell ref="C77:F77"/>
    <mergeCell ref="E82:F83"/>
    <mergeCell ref="G82:G83"/>
    <mergeCell ref="H82:H83"/>
    <mergeCell ref="AF80:AF81"/>
    <mergeCell ref="U80:U81"/>
    <mergeCell ref="V80:V81"/>
    <mergeCell ref="Q80:Q81"/>
    <mergeCell ref="Q78:Q79"/>
    <mergeCell ref="AC80:AC81"/>
    <mergeCell ref="R78:R79"/>
    <mergeCell ref="R80:R81"/>
    <mergeCell ref="T82:T83"/>
    <mergeCell ref="S80:S81"/>
    <mergeCell ref="T80:T81"/>
    <mergeCell ref="V78:V79"/>
    <mergeCell ref="AC78:AC79"/>
    <mergeCell ref="G78:G79"/>
    <mergeCell ref="H78:H79"/>
    <mergeCell ref="M78:M79"/>
    <mergeCell ref="E80:F81"/>
    <mergeCell ref="G80:G81"/>
    <mergeCell ref="H80:H81"/>
    <mergeCell ref="M80:M81"/>
    <mergeCell ref="H94:H95"/>
    <mergeCell ref="M94:M95"/>
    <mergeCell ref="Q94:Q95"/>
    <mergeCell ref="R94:R95"/>
    <mergeCell ref="I94:I95"/>
    <mergeCell ref="G94:G95"/>
    <mergeCell ref="M82:M83"/>
    <mergeCell ref="A84:A86"/>
    <mergeCell ref="E85:F85"/>
    <mergeCell ref="E86:F86"/>
    <mergeCell ref="D92:D93"/>
    <mergeCell ref="E92:F92"/>
    <mergeCell ref="E93:F93"/>
    <mergeCell ref="Q82:Q83"/>
    <mergeCell ref="R82:R83"/>
    <mergeCell ref="D84:F84"/>
    <mergeCell ref="I82:I83"/>
    <mergeCell ref="J82:J83"/>
    <mergeCell ref="K82:K83"/>
    <mergeCell ref="A87:A90"/>
    <mergeCell ref="B87:B123"/>
    <mergeCell ref="A91:A123"/>
    <mergeCell ref="G98:G99"/>
    <mergeCell ref="H98:H99"/>
    <mergeCell ref="C121:C123"/>
    <mergeCell ref="D121:F121"/>
    <mergeCell ref="D122:D123"/>
    <mergeCell ref="C118:C120"/>
    <mergeCell ref="D118:F118"/>
    <mergeCell ref="D119:D120"/>
    <mergeCell ref="E119:F119"/>
    <mergeCell ref="E120:F120"/>
    <mergeCell ref="C87:F87"/>
    <mergeCell ref="C88:D90"/>
    <mergeCell ref="E88:F88"/>
    <mergeCell ref="E89:F89"/>
    <mergeCell ref="E90:F90"/>
    <mergeCell ref="C91:C105"/>
    <mergeCell ref="C112:C117"/>
    <mergeCell ref="D112:F113"/>
    <mergeCell ref="D96:D99"/>
    <mergeCell ref="E96:F97"/>
    <mergeCell ref="E98:F99"/>
    <mergeCell ref="D94:F95"/>
    <mergeCell ref="D91:F91"/>
    <mergeCell ref="I114:I115"/>
    <mergeCell ref="G112:G113"/>
    <mergeCell ref="D114:D117"/>
    <mergeCell ref="E114:F115"/>
    <mergeCell ref="G114:G115"/>
    <mergeCell ref="J100:J101"/>
    <mergeCell ref="J102:J103"/>
    <mergeCell ref="J104:J105"/>
    <mergeCell ref="J112:J113"/>
    <mergeCell ref="J114:J115"/>
    <mergeCell ref="J116:J117"/>
    <mergeCell ref="I116:I117"/>
    <mergeCell ref="D100:F101"/>
    <mergeCell ref="E111:F111"/>
    <mergeCell ref="E107:F107"/>
    <mergeCell ref="E108:F108"/>
    <mergeCell ref="D109:F109"/>
    <mergeCell ref="D110:D111"/>
    <mergeCell ref="E110:F110"/>
    <mergeCell ref="D102:D105"/>
    <mergeCell ref="G96:G97"/>
    <mergeCell ref="H96:H97"/>
    <mergeCell ref="M96:M97"/>
    <mergeCell ref="I96:I97"/>
    <mergeCell ref="I98:I99"/>
    <mergeCell ref="I100:I101"/>
    <mergeCell ref="G100:G101"/>
    <mergeCell ref="H100:H101"/>
    <mergeCell ref="M100:M101"/>
    <mergeCell ref="T102:T103"/>
    <mergeCell ref="U102:U103"/>
    <mergeCell ref="S98:S99"/>
    <mergeCell ref="T98:T99"/>
    <mergeCell ref="U98:U99"/>
    <mergeCell ref="E104:F105"/>
    <mergeCell ref="G104:G105"/>
    <mergeCell ref="H104:H105"/>
    <mergeCell ref="M104:M105"/>
    <mergeCell ref="E102:F103"/>
    <mergeCell ref="G102:G103"/>
    <mergeCell ref="H102:H103"/>
    <mergeCell ref="M102:M103"/>
    <mergeCell ref="M98:M99"/>
    <mergeCell ref="Q98:Q99"/>
    <mergeCell ref="R98:R99"/>
    <mergeCell ref="I102:I103"/>
    <mergeCell ref="I104:I105"/>
    <mergeCell ref="Q100:Q101"/>
    <mergeCell ref="Q112:Q113"/>
    <mergeCell ref="R112:R113"/>
    <mergeCell ref="S112:S113"/>
    <mergeCell ref="T112:T113"/>
    <mergeCell ref="H112:H113"/>
    <mergeCell ref="M112:M113"/>
    <mergeCell ref="AC104:AC105"/>
    <mergeCell ref="AF104:AF105"/>
    <mergeCell ref="U104:U105"/>
    <mergeCell ref="V104:V105"/>
    <mergeCell ref="V112:V113"/>
    <mergeCell ref="AC112:AC113"/>
    <mergeCell ref="AF112:AF113"/>
    <mergeCell ref="U112:U113"/>
    <mergeCell ref="Q104:Q105"/>
    <mergeCell ref="R104:R105"/>
    <mergeCell ref="S104:S105"/>
    <mergeCell ref="T104:T105"/>
    <mergeCell ref="I112:I113"/>
    <mergeCell ref="AD112:AD113"/>
    <mergeCell ref="AF114:AF115"/>
    <mergeCell ref="E116:F117"/>
    <mergeCell ref="G116:G117"/>
    <mergeCell ref="H116:H117"/>
    <mergeCell ref="M116:M117"/>
    <mergeCell ref="Q116:Q117"/>
    <mergeCell ref="R116:R117"/>
    <mergeCell ref="S116:S117"/>
    <mergeCell ref="T116:T117"/>
    <mergeCell ref="R114:R115"/>
    <mergeCell ref="S114:S115"/>
    <mergeCell ref="T114:T115"/>
    <mergeCell ref="U114:U115"/>
    <mergeCell ref="V114:V115"/>
    <mergeCell ref="AC114:AC115"/>
    <mergeCell ref="H114:H115"/>
    <mergeCell ref="M114:M115"/>
    <mergeCell ref="Q114:Q115"/>
    <mergeCell ref="U116:U117"/>
    <mergeCell ref="V116:V117"/>
    <mergeCell ref="AC116:AC117"/>
    <mergeCell ref="AF116:AF117"/>
    <mergeCell ref="W114:W115"/>
    <mergeCell ref="W116:W117"/>
    <mergeCell ref="A124:A126"/>
    <mergeCell ref="B124:B126"/>
    <mergeCell ref="C124:F124"/>
    <mergeCell ref="C125:D126"/>
    <mergeCell ref="E125:F125"/>
    <mergeCell ref="E126:F126"/>
    <mergeCell ref="T131:T132"/>
    <mergeCell ref="AC133:AC134"/>
    <mergeCell ref="G131:G132"/>
    <mergeCell ref="H131:H132"/>
    <mergeCell ref="U131:U132"/>
    <mergeCell ref="V131:V132"/>
    <mergeCell ref="AC131:AC132"/>
    <mergeCell ref="I131:I132"/>
    <mergeCell ref="I133:I134"/>
    <mergeCell ref="J131:J132"/>
    <mergeCell ref="J133:J134"/>
    <mergeCell ref="K131:K132"/>
    <mergeCell ref="K133:K134"/>
    <mergeCell ref="W131:W132"/>
    <mergeCell ref="AF133:AF134"/>
    <mergeCell ref="G133:G134"/>
    <mergeCell ref="H133:H134"/>
    <mergeCell ref="M133:M134"/>
    <mergeCell ref="Q133:Q134"/>
    <mergeCell ref="R133:R134"/>
    <mergeCell ref="S133:S134"/>
    <mergeCell ref="T133:T134"/>
    <mergeCell ref="U133:U134"/>
    <mergeCell ref="V133:V134"/>
    <mergeCell ref="W133:W134"/>
    <mergeCell ref="AF131:AF132"/>
    <mergeCell ref="M131:M132"/>
    <mergeCell ref="Q131:Q132"/>
    <mergeCell ref="R131:R132"/>
    <mergeCell ref="S131:S132"/>
    <mergeCell ref="A127:A129"/>
    <mergeCell ref="B127:B143"/>
    <mergeCell ref="C127:F127"/>
    <mergeCell ref="C128:D129"/>
    <mergeCell ref="E128:F128"/>
    <mergeCell ref="E129:F129"/>
    <mergeCell ref="A130:A143"/>
    <mergeCell ref="C137:C138"/>
    <mergeCell ref="D137:D138"/>
    <mergeCell ref="E137:F138"/>
    <mergeCell ref="D133:D134"/>
    <mergeCell ref="E133:F134"/>
    <mergeCell ref="C130:C134"/>
    <mergeCell ref="E130:F130"/>
    <mergeCell ref="D131:D132"/>
    <mergeCell ref="E131:F132"/>
    <mergeCell ref="C135:C136"/>
    <mergeCell ref="E135:F135"/>
    <mergeCell ref="E136:F136"/>
    <mergeCell ref="U137:U138"/>
    <mergeCell ref="V137:V138"/>
    <mergeCell ref="AC137:AC138"/>
    <mergeCell ref="AF137:AF138"/>
    <mergeCell ref="C139:D139"/>
    <mergeCell ref="E139:F139"/>
    <mergeCell ref="M137:M138"/>
    <mergeCell ref="Q137:Q138"/>
    <mergeCell ref="R137:R138"/>
    <mergeCell ref="S137:S138"/>
    <mergeCell ref="T137:T138"/>
    <mergeCell ref="G137:G138"/>
    <mergeCell ref="H137:H138"/>
    <mergeCell ref="I137:I138"/>
    <mergeCell ref="J137:J138"/>
    <mergeCell ref="K137:K138"/>
    <mergeCell ref="W137:W138"/>
    <mergeCell ref="B162:F162"/>
    <mergeCell ref="C143:D143"/>
    <mergeCell ref="E143:F143"/>
    <mergeCell ref="A144:A155"/>
    <mergeCell ref="B144:B155"/>
    <mergeCell ref="C144:F144"/>
    <mergeCell ref="C152:F152"/>
    <mergeCell ref="C153:F153"/>
    <mergeCell ref="C155:F155"/>
    <mergeCell ref="C145:F145"/>
    <mergeCell ref="C146:F146"/>
    <mergeCell ref="C147:F147"/>
    <mergeCell ref="C148:F148"/>
    <mergeCell ref="C149:F149"/>
    <mergeCell ref="C150:F150"/>
    <mergeCell ref="C151:F151"/>
    <mergeCell ref="C154:F154"/>
    <mergeCell ref="B163:F163"/>
    <mergeCell ref="B164:F164"/>
    <mergeCell ref="B165:F165"/>
    <mergeCell ref="C40:F40"/>
    <mergeCell ref="C41:F41"/>
    <mergeCell ref="C42:F42"/>
    <mergeCell ref="C43:F43"/>
    <mergeCell ref="C44:F44"/>
    <mergeCell ref="C45:F45"/>
    <mergeCell ref="C46:F46"/>
    <mergeCell ref="B158:F158"/>
    <mergeCell ref="B159:F159"/>
    <mergeCell ref="B160:F160"/>
    <mergeCell ref="B161:F161"/>
    <mergeCell ref="C140:C142"/>
    <mergeCell ref="D140:F140"/>
    <mergeCell ref="D141:D142"/>
    <mergeCell ref="E141:F141"/>
    <mergeCell ref="E142:F142"/>
    <mergeCell ref="E122:F122"/>
    <mergeCell ref="E123:F123"/>
    <mergeCell ref="C106:C111"/>
    <mergeCell ref="D106:F106"/>
    <mergeCell ref="D107:D108"/>
    <mergeCell ref="AC16:AD16"/>
    <mergeCell ref="AF16:AG16"/>
    <mergeCell ref="Q18:W18"/>
    <mergeCell ref="Y18:AA18"/>
    <mergeCell ref="AC18:AD18"/>
    <mergeCell ref="AG18:AG19"/>
    <mergeCell ref="Q74:W74"/>
    <mergeCell ref="Y74:AA74"/>
    <mergeCell ref="AC74:AD74"/>
    <mergeCell ref="AF74:AG74"/>
    <mergeCell ref="A72:AF72"/>
    <mergeCell ref="B58:F58"/>
    <mergeCell ref="B59:F59"/>
    <mergeCell ref="B60:F60"/>
    <mergeCell ref="A64:AF64"/>
    <mergeCell ref="A65:AF65"/>
    <mergeCell ref="B67:C67"/>
    <mergeCell ref="D67:E67"/>
    <mergeCell ref="G67:M70"/>
    <mergeCell ref="B53:F53"/>
    <mergeCell ref="B54:F54"/>
    <mergeCell ref="B55:F55"/>
    <mergeCell ref="B56:F56"/>
    <mergeCell ref="B57:F57"/>
    <mergeCell ref="AG20:AG21"/>
    <mergeCell ref="AG22:AG23"/>
    <mergeCell ref="AG24:AG25"/>
    <mergeCell ref="B68:C68"/>
    <mergeCell ref="D68:E68"/>
    <mergeCell ref="B69:C69"/>
    <mergeCell ref="D69:E69"/>
    <mergeCell ref="U22:U23"/>
    <mergeCell ref="V22:V23"/>
    <mergeCell ref="AC22:AC23"/>
    <mergeCell ref="S22:S23"/>
    <mergeCell ref="T22:T23"/>
    <mergeCell ref="AF22:AF23"/>
    <mergeCell ref="AC20:AC21"/>
    <mergeCell ref="AF20:AF21"/>
    <mergeCell ref="C22:D25"/>
    <mergeCell ref="E22:F23"/>
    <mergeCell ref="G22:G23"/>
    <mergeCell ref="H22:H23"/>
    <mergeCell ref="M22:M23"/>
    <mergeCell ref="Q22:Q23"/>
    <mergeCell ref="R22:R23"/>
    <mergeCell ref="Q20:Q21"/>
    <mergeCell ref="R20:R21"/>
    <mergeCell ref="B70:C70"/>
    <mergeCell ref="D70:E70"/>
    <mergeCell ref="U24:U25"/>
    <mergeCell ref="V24:V25"/>
    <mergeCell ref="AC24:AC25"/>
    <mergeCell ref="Q24:Q25"/>
    <mergeCell ref="E27:F27"/>
    <mergeCell ref="E28:F28"/>
    <mergeCell ref="E24:F25"/>
    <mergeCell ref="G24:G25"/>
    <mergeCell ref="H24:H25"/>
    <mergeCell ref="M24:M25"/>
    <mergeCell ref="R24:R25"/>
    <mergeCell ref="S24:S25"/>
    <mergeCell ref="T24:T25"/>
    <mergeCell ref="E30:F30"/>
    <mergeCell ref="E31:F31"/>
    <mergeCell ref="E32:F32"/>
    <mergeCell ref="C30:D32"/>
    <mergeCell ref="M55:O61"/>
    <mergeCell ref="Q76:W76"/>
    <mergeCell ref="Y76:AA76"/>
    <mergeCell ref="V96:V97"/>
    <mergeCell ref="S96:S97"/>
    <mergeCell ref="T96:T97"/>
    <mergeCell ref="U96:U97"/>
    <mergeCell ref="T94:T95"/>
    <mergeCell ref="U94:U95"/>
    <mergeCell ref="V94:V95"/>
    <mergeCell ref="S78:S79"/>
    <mergeCell ref="T78:T79"/>
    <mergeCell ref="U78:U79"/>
    <mergeCell ref="S94:S95"/>
    <mergeCell ref="W78:W79"/>
    <mergeCell ref="U82:U83"/>
    <mergeCell ref="V82:V83"/>
    <mergeCell ref="S82:S83"/>
    <mergeCell ref="Q96:Q97"/>
    <mergeCell ref="R96:R97"/>
    <mergeCell ref="W96:W97"/>
    <mergeCell ref="AG76:AG77"/>
    <mergeCell ref="V102:V103"/>
    <mergeCell ref="AC102:AC103"/>
    <mergeCell ref="AF102:AF103"/>
    <mergeCell ref="AF100:AF101"/>
    <mergeCell ref="Q102:Q103"/>
    <mergeCell ref="R102:R103"/>
    <mergeCell ref="S102:S103"/>
    <mergeCell ref="R100:R101"/>
    <mergeCell ref="S100:S101"/>
    <mergeCell ref="T100:T101"/>
    <mergeCell ref="U100:U101"/>
    <mergeCell ref="V100:V101"/>
    <mergeCell ref="AC100:AC101"/>
    <mergeCell ref="V98:V99"/>
    <mergeCell ref="AC98:AC99"/>
    <mergeCell ref="AF98:AF99"/>
    <mergeCell ref="AC96:AC97"/>
    <mergeCell ref="AF96:AF97"/>
    <mergeCell ref="AC94:AC95"/>
    <mergeCell ref="AF94:AF95"/>
    <mergeCell ref="AC82:AC83"/>
    <mergeCell ref="AF82:AF83"/>
    <mergeCell ref="AF78:AF79"/>
    <mergeCell ref="W98:W99"/>
    <mergeCell ref="W100:W101"/>
    <mergeCell ref="W102:W103"/>
    <mergeCell ref="W104:W105"/>
    <mergeCell ref="W112:W113"/>
    <mergeCell ref="AD78:AD79"/>
    <mergeCell ref="AD80:AD81"/>
    <mergeCell ref="AD82:AD83"/>
    <mergeCell ref="AD94:AD95"/>
    <mergeCell ref="AD96:AD97"/>
    <mergeCell ref="AD98:AD99"/>
    <mergeCell ref="AD100:AD101"/>
    <mergeCell ref="AD102:AD103"/>
    <mergeCell ref="AD104:AD105"/>
    <mergeCell ref="M160:O166"/>
    <mergeCell ref="AG112:AG113"/>
    <mergeCell ref="AG114:AG115"/>
    <mergeCell ref="AG116:AG117"/>
    <mergeCell ref="AG131:AG132"/>
    <mergeCell ref="AG133:AG134"/>
    <mergeCell ref="AG137:AG138"/>
    <mergeCell ref="AG78:AG79"/>
    <mergeCell ref="AG80:AG81"/>
    <mergeCell ref="AG82:AG83"/>
    <mergeCell ref="AG94:AG95"/>
    <mergeCell ref="AG96:AG97"/>
    <mergeCell ref="AG98:AG99"/>
    <mergeCell ref="AG100:AG101"/>
    <mergeCell ref="AG102:AG103"/>
    <mergeCell ref="AG104:AG105"/>
    <mergeCell ref="AD114:AD115"/>
    <mergeCell ref="AD116:AD117"/>
    <mergeCell ref="AD131:AD132"/>
    <mergeCell ref="AD133:AD134"/>
    <mergeCell ref="AD137:AD138"/>
    <mergeCell ref="W80:W81"/>
    <mergeCell ref="W82:W83"/>
    <mergeCell ref="W94:W95"/>
  </mergeCells>
  <conditionalFormatting sqref="G20:G21 N20:N21 G26 M26:N26">
    <cfRule type="expression" dxfId="801" priority="237">
      <formula>$D$9="By sector"</formula>
    </cfRule>
    <cfRule type="expression" dxfId="800" priority="276">
      <formula>$D$9="By sub-asset class"</formula>
    </cfRule>
  </conditionalFormatting>
  <conditionalFormatting sqref="G22:G25 N22:N25 G27:G28 M27:N28">
    <cfRule type="expression" dxfId="799" priority="274">
      <formula>$D$9="By sector"</formula>
    </cfRule>
    <cfRule type="expression" dxfId="798" priority="275">
      <formula>$D$9="By sub-asset class"</formula>
    </cfRule>
  </conditionalFormatting>
  <conditionalFormatting sqref="G29 M29">
    <cfRule type="expression" dxfId="797" priority="273">
      <formula>$D$10="All of segment"</formula>
    </cfRule>
    <cfRule type="expression" dxfId="796" priority="313">
      <formula>$D$10="By sub-asset class"</formula>
    </cfRule>
  </conditionalFormatting>
  <conditionalFormatting sqref="G29:G32 M29:M32">
    <cfRule type="expression" dxfId="795" priority="314">
      <formula>$D$10="N/A"</formula>
    </cfRule>
  </conditionalFormatting>
  <conditionalFormatting sqref="G30:G32 M30:M32">
    <cfRule type="expression" dxfId="794" priority="311">
      <formula>$D$10="All of segment"</formula>
    </cfRule>
    <cfRule type="expression" dxfId="793" priority="312">
      <formula>$D$10="By sub-asset class"</formula>
    </cfRule>
  </conditionalFormatting>
  <conditionalFormatting sqref="G33 M33">
    <cfRule type="expression" dxfId="792" priority="272">
      <formula>$D$11="All of segment"</formula>
    </cfRule>
    <cfRule type="expression" dxfId="791" priority="305">
      <formula>$D$11="By sub-asset class"</formula>
    </cfRule>
  </conditionalFormatting>
  <conditionalFormatting sqref="G33:G35 M33:M35">
    <cfRule type="expression" dxfId="790" priority="306">
      <formula>$D$11="N/A"</formula>
    </cfRule>
  </conditionalFormatting>
  <conditionalFormatting sqref="G34:G35 M34:M35">
    <cfRule type="expression" dxfId="789" priority="303">
      <formula>$D$11="All of segment"</formula>
    </cfRule>
    <cfRule type="expression" dxfId="788" priority="304">
      <formula>$D$11="By sub-asset class"</formula>
    </cfRule>
  </conditionalFormatting>
  <conditionalFormatting sqref="G36 M36">
    <cfRule type="expression" dxfId="787" priority="271">
      <formula>$D$12="All of segment"</formula>
    </cfRule>
    <cfRule type="expression" dxfId="786" priority="297">
      <formula>$D$12="By sub-asset class"</formula>
    </cfRule>
  </conditionalFormatting>
  <conditionalFormatting sqref="G36:G38 M36:M38">
    <cfRule type="expression" dxfId="785" priority="298">
      <formula>$D$12="N/A"</formula>
    </cfRule>
  </conditionalFormatting>
  <conditionalFormatting sqref="G37:G38 M37:M38">
    <cfRule type="expression" dxfId="784" priority="295">
      <formula>$D$12="All of segment"</formula>
    </cfRule>
    <cfRule type="expression" dxfId="783" priority="296">
      <formula>$D$12="By sub-asset class"</formula>
    </cfRule>
  </conditionalFormatting>
  <conditionalFormatting sqref="G78:G79 I78:J79 N78:N79 G84 I84:J84 M84:N84">
    <cfRule type="expression" dxfId="782" priority="30">
      <formula>$D$67="By sector"</formula>
    </cfRule>
    <cfRule type="expression" dxfId="781" priority="31">
      <formula>$D$67="By sub-asset class"</formula>
    </cfRule>
  </conditionalFormatting>
  <conditionalFormatting sqref="G78:G83 N78:N86">
    <cfRule type="expression" dxfId="780" priority="244">
      <formula>$D$67="Climate-alignment only"</formula>
    </cfRule>
  </conditionalFormatting>
  <conditionalFormatting sqref="G78:G86 N78:N86 M84:M86">
    <cfRule type="expression" dxfId="779" priority="197">
      <formula>$D$67="N/A"</formula>
    </cfRule>
  </conditionalFormatting>
  <conditionalFormatting sqref="G78:G86 N78:N86">
    <cfRule type="expression" dxfId="778" priority="246">
      <formula>$D$67="Sector only"</formula>
    </cfRule>
  </conditionalFormatting>
  <conditionalFormatting sqref="G80:G83 I80:J83 N80:N83 G85:G86 I85:J86 M85:N86">
    <cfRule type="expression" dxfId="777" priority="28">
      <formula>$D$67="By sector"</formula>
    </cfRule>
    <cfRule type="expression" dxfId="776" priority="29">
      <formula>$D$67="By sub-asset class"</formula>
    </cfRule>
  </conditionalFormatting>
  <conditionalFormatting sqref="G80:G83 N80:N83">
    <cfRule type="expression" dxfId="775" priority="230">
      <formula>$G$78&gt;0</formula>
    </cfRule>
  </conditionalFormatting>
  <conditionalFormatting sqref="G84 I84:J84 M84:N84">
    <cfRule type="expression" dxfId="774" priority="32">
      <formula>$G$85&gt;0</formula>
    </cfRule>
    <cfRule type="expression" dxfId="773" priority="33">
      <formula>$G$86&gt;0</formula>
    </cfRule>
  </conditionalFormatting>
  <conditionalFormatting sqref="G84:G86 M84:M86">
    <cfRule type="expression" dxfId="772" priority="229">
      <formula>$D$67="Climate-alignment only"</formula>
    </cfRule>
  </conditionalFormatting>
  <conditionalFormatting sqref="G85:G86 M85:N86">
    <cfRule type="expression" dxfId="771" priority="198">
      <formula>$G$84&gt;0</formula>
    </cfRule>
  </conditionalFormatting>
  <conditionalFormatting sqref="G87 I87:J87 M87">
    <cfRule type="expression" dxfId="770" priority="25">
      <formula>$D$68="All of segment"</formula>
    </cfRule>
    <cfRule type="expression" dxfId="769" priority="26">
      <formula>$D$68="By sub-asset class"</formula>
    </cfRule>
    <cfRule type="expression" dxfId="768" priority="27">
      <formula>$D$68="By sector"</formula>
    </cfRule>
  </conditionalFormatting>
  <conditionalFormatting sqref="G87 M87">
    <cfRule type="expression" dxfId="767" priority="318">
      <formula>$D$68="Both climate-alignment and sector"</formula>
    </cfRule>
  </conditionalFormatting>
  <conditionalFormatting sqref="G87:G90 M87:M123">
    <cfRule type="expression" dxfId="766" priority="317">
      <formula>$D$68="Sector only"</formula>
    </cfRule>
  </conditionalFormatting>
  <conditionalFormatting sqref="G87:G91 M87:M91 G94 I94:J94 M94 G100 I100:J100 M100 G106 I106:J106 M106 G109 I109:J109 M109 G112 I112:J112 M112 G118 I118:J118 M118 G121 I121:J121 M121">
    <cfRule type="expression" dxfId="765" priority="235">
      <formula>$D$68="Climate-alignment only"</formula>
    </cfRule>
  </conditionalFormatting>
  <conditionalFormatting sqref="G87:G123 I87:J123 M87:M123 N91:N123">
    <cfRule type="expression" dxfId="764" priority="228">
      <formula>$D$68="N/A"</formula>
    </cfRule>
  </conditionalFormatting>
  <conditionalFormatting sqref="G88:G90 I88:J90 M88:M90">
    <cfRule type="expression" dxfId="763" priority="23">
      <formula>$D$68="By sub-asset class"</formula>
    </cfRule>
    <cfRule type="expression" dxfId="762" priority="24">
      <formula>$D$68="By sector"</formula>
    </cfRule>
  </conditionalFormatting>
  <conditionalFormatting sqref="G88:G123 I88:J123 M88:N123">
    <cfRule type="expression" dxfId="761" priority="231">
      <formula>$G$87&gt;0</formula>
    </cfRule>
  </conditionalFormatting>
  <conditionalFormatting sqref="G88:G123 M88:M123 N91:N123">
    <cfRule type="expression" dxfId="760" priority="236">
      <formula>$D$68="Both climate-alignment and sector"</formula>
    </cfRule>
  </conditionalFormatting>
  <conditionalFormatting sqref="G91 I91:J91 M91:N91">
    <cfRule type="expression" dxfId="759" priority="19">
      <formula>$G$92&gt;0</formula>
    </cfRule>
    <cfRule type="expression" dxfId="758" priority="20">
      <formula>$G$93&gt;0</formula>
    </cfRule>
  </conditionalFormatting>
  <conditionalFormatting sqref="G91:G123 I91:J123 M91:N123">
    <cfRule type="expression" dxfId="757" priority="227">
      <formula>$D$68="By sector"</formula>
    </cfRule>
  </conditionalFormatting>
  <conditionalFormatting sqref="G91:G123 N91:N123">
    <cfRule type="expression" dxfId="756" priority="234">
      <formula>$D$68="Sector only"</formula>
    </cfRule>
  </conditionalFormatting>
  <conditionalFormatting sqref="G92:G93 I92:J93 M92:N93">
    <cfRule type="expression" dxfId="755" priority="21">
      <formula>$G$91&gt;0</formula>
    </cfRule>
  </conditionalFormatting>
  <conditionalFormatting sqref="G94 I94:J94 M94 N94:N95">
    <cfRule type="expression" dxfId="754" priority="68">
      <formula>$G$96&gt;0</formula>
    </cfRule>
    <cfRule type="expression" dxfId="753" priority="69">
      <formula>$G$98&gt;0</formula>
    </cfRule>
  </conditionalFormatting>
  <conditionalFormatting sqref="G96:G99 I96:J99 M96:N99">
    <cfRule type="expression" dxfId="752" priority="70">
      <formula>$G$94&gt;0</formula>
    </cfRule>
  </conditionalFormatting>
  <conditionalFormatting sqref="G100 I100:J100 M100 N100:N101">
    <cfRule type="expression" dxfId="751" priority="66">
      <formula>$G$102&gt;0</formula>
    </cfRule>
    <cfRule type="expression" dxfId="750" priority="67">
      <formula>$G$104&gt;0</formula>
    </cfRule>
  </conditionalFormatting>
  <conditionalFormatting sqref="G102:G105 I102:J105 M102:N105">
    <cfRule type="expression" dxfId="749" priority="71">
      <formula>$G$100&gt;0</formula>
    </cfRule>
  </conditionalFormatting>
  <conditionalFormatting sqref="G106 I106:J106 M106:N106">
    <cfRule type="expression" dxfId="748" priority="64">
      <formula>$G$107&gt;0</formula>
    </cfRule>
    <cfRule type="expression" dxfId="747" priority="65">
      <formula>$G$108&gt;0</formula>
    </cfRule>
  </conditionalFormatting>
  <conditionalFormatting sqref="G107:G108 M107:N108">
    <cfRule type="expression" dxfId="746" priority="110">
      <formula>$G$106&gt;0</formula>
    </cfRule>
  </conditionalFormatting>
  <conditionalFormatting sqref="G109 I109:J109 M109:N109">
    <cfRule type="expression" dxfId="745" priority="62">
      <formula>$G$110&gt;0</formula>
    </cfRule>
    <cfRule type="expression" dxfId="744" priority="63">
      <formula>$G$111&gt;0</formula>
    </cfRule>
  </conditionalFormatting>
  <conditionalFormatting sqref="G112 I112:J112 M112 N112:N113">
    <cfRule type="expression" dxfId="743" priority="60">
      <formula>$G$114&gt;0</formula>
    </cfRule>
    <cfRule type="expression" dxfId="742" priority="61">
      <formula>$G$116&gt;0</formula>
    </cfRule>
  </conditionalFormatting>
  <conditionalFormatting sqref="G118 I118:J118 M118:N118">
    <cfRule type="expression" dxfId="741" priority="58">
      <formula>$G$119&gt;0</formula>
    </cfRule>
    <cfRule type="expression" dxfId="740" priority="59">
      <formula>$G$120&gt;0</formula>
    </cfRule>
  </conditionalFormatting>
  <conditionalFormatting sqref="G121 I121:J121 M121:N121">
    <cfRule type="expression" dxfId="739" priority="56">
      <formula>$G$122&gt;0</formula>
    </cfRule>
    <cfRule type="expression" dxfId="738" priority="57">
      <formula>$G$123&gt;0</formula>
    </cfRule>
  </conditionalFormatting>
  <conditionalFormatting sqref="G124 I124:J124 M124">
    <cfRule type="expression" dxfId="737" priority="218">
      <formula>$D$69="By sub-asset class"</formula>
    </cfRule>
  </conditionalFormatting>
  <conditionalFormatting sqref="G124:G126 I124:J126 M124:M126">
    <cfRule type="expression" dxfId="736" priority="219">
      <formula>$D$69="N/A"</formula>
    </cfRule>
  </conditionalFormatting>
  <conditionalFormatting sqref="G125:G126 I125:J126 M125:M126">
    <cfRule type="expression" dxfId="735" priority="217">
      <formula>$D$69="By sub-asset class"</formula>
    </cfRule>
  </conditionalFormatting>
  <conditionalFormatting sqref="G127 I127:J127 M127">
    <cfRule type="expression" dxfId="734" priority="15">
      <formula>$D$70="All of segment"</formula>
    </cfRule>
    <cfRule type="expression" dxfId="733" priority="16">
      <formula>$D$70="By sub-asset class"</formula>
    </cfRule>
    <cfRule type="expression" dxfId="732" priority="17">
      <formula>$D$70="By sector"</formula>
    </cfRule>
  </conditionalFormatting>
  <conditionalFormatting sqref="G127 I127:J127">
    <cfRule type="expression" dxfId="731" priority="18">
      <formula>$D$70="N/A"</formula>
    </cfRule>
  </conditionalFormatting>
  <conditionalFormatting sqref="G127 M127">
    <cfRule type="expression" dxfId="730" priority="212">
      <formula>$D$70="Both climate-alignment and sector"</formula>
    </cfRule>
  </conditionalFormatting>
  <conditionalFormatting sqref="G127:G129 M127:M143 G143 I143:J143">
    <cfRule type="expression" dxfId="729" priority="211">
      <formula>$D$70="Sector only"</formula>
    </cfRule>
  </conditionalFormatting>
  <conditionalFormatting sqref="G127:G140 M127:M140 G143 M143 I143:J143">
    <cfRule type="expression" dxfId="728" priority="209">
      <formula>$D$70="Climate-alignment only"</formula>
    </cfRule>
  </conditionalFormatting>
  <conditionalFormatting sqref="G128:G129 I128:J129 M128:M129">
    <cfRule type="expression" dxfId="727" priority="13">
      <formula>$D$70="By sub-asset class"</formula>
    </cfRule>
    <cfRule type="expression" dxfId="726" priority="14">
      <formula>$D$70="By sector"</formula>
    </cfRule>
  </conditionalFormatting>
  <conditionalFormatting sqref="G128:G143 I128:J143 M128:M143">
    <cfRule type="expression" dxfId="725" priority="12">
      <formula>$D$70="All of segment"</formula>
    </cfRule>
  </conditionalFormatting>
  <conditionalFormatting sqref="G128:G143 M128:M143 N130:N142">
    <cfRule type="expression" dxfId="724" priority="210">
      <formula>$D$70="Both climate-alignment and sector"</formula>
    </cfRule>
  </conditionalFormatting>
  <conditionalFormatting sqref="G128:G143 M128:N143">
    <cfRule type="expression" dxfId="723" priority="206">
      <formula>$G$127&gt;0</formula>
    </cfRule>
  </conditionalFormatting>
  <conditionalFormatting sqref="G130:G142 N130:N142">
    <cfRule type="expression" dxfId="722" priority="208">
      <formula>$D$70="Sector only"</formula>
    </cfRule>
  </conditionalFormatting>
  <conditionalFormatting sqref="G140 I140:J140 M140:N140">
    <cfRule type="expression" dxfId="721" priority="9">
      <formula>$G$141&gt;0</formula>
    </cfRule>
    <cfRule type="expression" dxfId="720" priority="10">
      <formula>$G$142&gt;0</formula>
    </cfRule>
  </conditionalFormatting>
  <conditionalFormatting sqref="G141:G142 I141:J142 M141:N142">
    <cfRule type="expression" dxfId="719" priority="11">
      <formula>$G$140&gt;0</formula>
    </cfRule>
  </conditionalFormatting>
  <conditionalFormatting sqref="I55:I57 I61 I160:I162 I166">
    <cfRule type="containsText" dxfId="718" priority="315" operator="containsText" text="OK">
      <formula>NOT(ISERROR(SEARCH("OK",I55)))</formula>
    </cfRule>
    <cfRule type="containsText" dxfId="717" priority="316" operator="containsText" text="Error">
      <formula>NOT(ISERROR(SEARCH("Error",I55)))</formula>
    </cfRule>
  </conditionalFormatting>
  <conditionalFormatting sqref="I20:J21 I26:J26">
    <cfRule type="expression" dxfId="716" priority="157">
      <formula>$D$9="By sector"</formula>
    </cfRule>
    <cfRule type="expression" dxfId="715" priority="163">
      <formula>$D$9="By sub-asset class"</formula>
    </cfRule>
  </conditionalFormatting>
  <conditionalFormatting sqref="I20:J28">
    <cfRule type="expression" dxfId="714" priority="164">
      <formula>$D$9="N/A"</formula>
    </cfRule>
  </conditionalFormatting>
  <conditionalFormatting sqref="I22:J25 I27:J28">
    <cfRule type="expression" dxfId="713" priority="161">
      <formula>$D$9="By sector"</formula>
    </cfRule>
    <cfRule type="expression" dxfId="712" priority="162">
      <formula>$D$9="By sub-asset class"</formula>
    </cfRule>
  </conditionalFormatting>
  <conditionalFormatting sqref="I29:J29">
    <cfRule type="expression" dxfId="711" priority="160">
      <formula>$D$10="All of segment"</formula>
    </cfRule>
    <cfRule type="expression" dxfId="710" priority="175">
      <formula>$D$10="By sub-asset class"</formula>
    </cfRule>
  </conditionalFormatting>
  <conditionalFormatting sqref="I29:J32">
    <cfRule type="expression" dxfId="709" priority="176">
      <formula>$D$10="N/A"</formula>
    </cfRule>
  </conditionalFormatting>
  <conditionalFormatting sqref="I30:J32">
    <cfRule type="expression" dxfId="708" priority="173">
      <formula>$D$10="All of segment"</formula>
    </cfRule>
    <cfRule type="expression" dxfId="707" priority="174">
      <formula>$D$10="By sub-asset class"</formula>
    </cfRule>
  </conditionalFormatting>
  <conditionalFormatting sqref="I33:J33">
    <cfRule type="expression" dxfId="706" priority="159">
      <formula>$D$11="All of segment"</formula>
    </cfRule>
    <cfRule type="expression" dxfId="705" priority="171">
      <formula>$D$11="By sub-asset class"</formula>
    </cfRule>
  </conditionalFormatting>
  <conditionalFormatting sqref="I33:J35">
    <cfRule type="expression" dxfId="704" priority="172">
      <formula>$D$11="N/A"</formula>
    </cfRule>
  </conditionalFormatting>
  <conditionalFormatting sqref="I34:J35">
    <cfRule type="expression" dxfId="703" priority="169">
      <formula>$D$11="All of segment"</formula>
    </cfRule>
    <cfRule type="expression" dxfId="702" priority="170">
      <formula>$D$11="By sub-asset class"</formula>
    </cfRule>
  </conditionalFormatting>
  <conditionalFormatting sqref="I36:J36">
    <cfRule type="expression" dxfId="701" priority="158">
      <formula>$D$12="All of segment"</formula>
    </cfRule>
    <cfRule type="expression" dxfId="700" priority="167">
      <formula>$D$12="By sub-asset class"</formula>
    </cfRule>
  </conditionalFormatting>
  <conditionalFormatting sqref="I36:J38">
    <cfRule type="expression" dxfId="699" priority="168">
      <formula>$D$12="N/A"</formula>
    </cfRule>
  </conditionalFormatting>
  <conditionalFormatting sqref="I37:J38">
    <cfRule type="expression" dxfId="698" priority="165">
      <formula>$D$12="All of segment"</formula>
    </cfRule>
    <cfRule type="expression" dxfId="697" priority="166">
      <formula>$D$12="By sub-asset class"</formula>
    </cfRule>
  </conditionalFormatting>
  <conditionalFormatting sqref="I78:J83">
    <cfRule type="expression" dxfId="696" priority="109">
      <formula>$D$67="Climate-alignment only"</formula>
    </cfRule>
  </conditionalFormatting>
  <conditionalFormatting sqref="I78:J86">
    <cfRule type="expression" dxfId="695" priority="115">
      <formula>$D$67="Sector only"</formula>
    </cfRule>
    <cfRule type="expression" dxfId="694" priority="116">
      <formula>$D$67="Both climate-alignment and sector"</formula>
    </cfRule>
    <cfRule type="expression" dxfId="693" priority="117">
      <formula>$D$67="N/A"</formula>
    </cfRule>
  </conditionalFormatting>
  <conditionalFormatting sqref="I80:J83">
    <cfRule type="expression" dxfId="692" priority="83">
      <formula>$G$78&gt;0</formula>
    </cfRule>
  </conditionalFormatting>
  <conditionalFormatting sqref="I84:J86">
    <cfRule type="expression" dxfId="691" priority="108">
      <formula>$D$67="Climate-alignment only"</formula>
    </cfRule>
  </conditionalFormatting>
  <conditionalFormatting sqref="I85:J86">
    <cfRule type="expression" dxfId="690" priority="84">
      <formula>$G$84&gt;0</formula>
    </cfRule>
  </conditionalFormatting>
  <conditionalFormatting sqref="I87:J87">
    <cfRule type="expression" dxfId="689" priority="118">
      <formula>$D$68="Both climate-alignment and sector"</formula>
    </cfRule>
  </conditionalFormatting>
  <conditionalFormatting sqref="I87:J90">
    <cfRule type="expression" dxfId="688" priority="113">
      <formula>$D$68="Sector only"</formula>
    </cfRule>
  </conditionalFormatting>
  <conditionalFormatting sqref="I87:J91">
    <cfRule type="expression" dxfId="687" priority="112">
      <formula>$D$68="Climate-alignment only"</formula>
    </cfRule>
  </conditionalFormatting>
  <conditionalFormatting sqref="I87:J123">
    <cfRule type="expression" dxfId="686" priority="220">
      <formula>$D$68="N/A"</formula>
    </cfRule>
  </conditionalFormatting>
  <conditionalFormatting sqref="I88:J90 M88:M90 G88:G123">
    <cfRule type="expression" dxfId="685" priority="22">
      <formula>$D$68="All of segment"</formula>
    </cfRule>
  </conditionalFormatting>
  <conditionalFormatting sqref="I88:J123">
    <cfRule type="expression" dxfId="684" priority="119">
      <formula>$D$68="Both climate-alignment and sector"</formula>
    </cfRule>
  </conditionalFormatting>
  <conditionalFormatting sqref="I91:J123 G91:G123 M91:N123">
    <cfRule type="expression" dxfId="683" priority="226">
      <formula>$D$68="By sub-asset class"</formula>
    </cfRule>
  </conditionalFormatting>
  <conditionalFormatting sqref="I91:J123 M91:N123">
    <cfRule type="expression" dxfId="682" priority="225">
      <formula>$D$68="All of segment"</formula>
    </cfRule>
  </conditionalFormatting>
  <conditionalFormatting sqref="I91:J123">
    <cfRule type="expression" dxfId="681" priority="114">
      <formula>$D$68="Sector only"</formula>
    </cfRule>
  </conditionalFormatting>
  <conditionalFormatting sqref="I92:J93">
    <cfRule type="expression" dxfId="680" priority="111">
      <formula>$D$68="Climate-alignment only"</formula>
    </cfRule>
  </conditionalFormatting>
  <conditionalFormatting sqref="I107:J108">
    <cfRule type="expression" dxfId="679" priority="103">
      <formula>$G$106&gt;0</formula>
    </cfRule>
  </conditionalFormatting>
  <conditionalFormatting sqref="I110:J111 G110:G111 M110:N111">
    <cfRule type="expression" dxfId="678" priority="221">
      <formula>$G$109&gt;0</formula>
    </cfRule>
  </conditionalFormatting>
  <conditionalFormatting sqref="I110:J111">
    <cfRule type="expression" dxfId="677" priority="104">
      <formula>$G$109&gt;0</formula>
    </cfRule>
  </conditionalFormatting>
  <conditionalFormatting sqref="I114:J117 G114:G117 M114:N117">
    <cfRule type="expression" dxfId="676" priority="222">
      <formula>$G$112&gt;0</formula>
    </cfRule>
  </conditionalFormatting>
  <conditionalFormatting sqref="I114:J117">
    <cfRule type="expression" dxfId="675" priority="105">
      <formula>$G$112&gt;0</formula>
    </cfRule>
  </conditionalFormatting>
  <conditionalFormatting sqref="I119:J120 G119:G120 M119:N120">
    <cfRule type="expression" dxfId="674" priority="223">
      <formula>$G$118&gt;0</formula>
    </cfRule>
  </conditionalFormatting>
  <conditionalFormatting sqref="I119:J120">
    <cfRule type="expression" dxfId="673" priority="106">
      <formula>$G$118&gt;0</formula>
    </cfRule>
  </conditionalFormatting>
  <conditionalFormatting sqref="I122:J123 G122:G123 M122:N123">
    <cfRule type="expression" dxfId="672" priority="224">
      <formula>$G$121&gt;0</formula>
    </cfRule>
  </conditionalFormatting>
  <conditionalFormatting sqref="I122:J123">
    <cfRule type="expression" dxfId="671" priority="107">
      <formula>$G$121&gt;0</formula>
    </cfRule>
  </conditionalFormatting>
  <conditionalFormatting sqref="I124:J124 G124 M124">
    <cfRule type="expression" dxfId="670" priority="215">
      <formula>$D$69="All of segment"</formula>
    </cfRule>
  </conditionalFormatting>
  <conditionalFormatting sqref="I124:J124">
    <cfRule type="expression" dxfId="669" priority="94">
      <formula>$D$69="All of segment"</formula>
    </cfRule>
    <cfRule type="expression" dxfId="668" priority="97">
      <formula>$D$69="By sub-asset class"</formula>
    </cfRule>
  </conditionalFormatting>
  <conditionalFormatting sqref="I124:J126">
    <cfRule type="expression" dxfId="667" priority="98">
      <formula>$D$69="N/A"</formula>
    </cfRule>
  </conditionalFormatting>
  <conditionalFormatting sqref="I125:J126 G125:G126 M125:M126">
    <cfRule type="expression" dxfId="666" priority="216">
      <formula>$D$69="All of segment"</formula>
    </cfRule>
  </conditionalFormatting>
  <conditionalFormatting sqref="I125:J126">
    <cfRule type="expression" dxfId="665" priority="95">
      <formula>$D$69="All of segment"</formula>
    </cfRule>
    <cfRule type="expression" dxfId="664" priority="96">
      <formula>$D$69="By sub-asset class"</formula>
    </cfRule>
  </conditionalFormatting>
  <conditionalFormatting sqref="I127:J127">
    <cfRule type="expression" dxfId="663" priority="92">
      <formula>$D$70="Both climate-alignment and sector"</formula>
    </cfRule>
  </conditionalFormatting>
  <conditionalFormatting sqref="I127:J129">
    <cfRule type="expression" dxfId="662" priority="90">
      <formula>$D$70="Sector only"</formula>
    </cfRule>
  </conditionalFormatting>
  <conditionalFormatting sqref="I127:J140">
    <cfRule type="expression" dxfId="661" priority="89">
      <formula>$D$70="Climate-alignment only"</formula>
    </cfRule>
  </conditionalFormatting>
  <conditionalFormatting sqref="I127:J143">
    <cfRule type="expression" dxfId="660" priority="204">
      <formula>$D$70="N/A"</formula>
    </cfRule>
  </conditionalFormatting>
  <conditionalFormatting sqref="I128:J143">
    <cfRule type="expression" dxfId="659" priority="85">
      <formula>$G$127&gt;0</formula>
    </cfRule>
    <cfRule type="expression" dxfId="658" priority="93">
      <formula>$D$70="Both climate-alignment and sector"</formula>
    </cfRule>
  </conditionalFormatting>
  <conditionalFormatting sqref="I130:J142">
    <cfRule type="expression" dxfId="657" priority="91">
      <formula>$D$70="Sector only"</formula>
    </cfRule>
  </conditionalFormatting>
  <conditionalFormatting sqref="I130:J143 N130:N142 G130:G143 M130:M143">
    <cfRule type="expression" dxfId="656" priority="87">
      <formula>$D$70="By sector"</formula>
    </cfRule>
  </conditionalFormatting>
  <conditionalFormatting sqref="I141:J142">
    <cfRule type="expression" dxfId="655" priority="88">
      <formula>$D$70="Climate-alignment only"</formula>
    </cfRule>
  </conditionalFormatting>
  <conditionalFormatting sqref="M84:M86">
    <cfRule type="expression" dxfId="654" priority="245">
      <formula>$D$67="Sector only"</formula>
    </cfRule>
  </conditionalFormatting>
  <conditionalFormatting sqref="M127:M143 G128:G143 N130:N142">
    <cfRule type="expression" dxfId="653" priority="205">
      <formula>$D$70="N/A"</formula>
    </cfRule>
  </conditionalFormatting>
  <conditionalFormatting sqref="M84:N86 N78:N83 G78:G86">
    <cfRule type="expression" dxfId="652" priority="247">
      <formula>$D$67="Both climate-alignment and sector"</formula>
    </cfRule>
  </conditionalFormatting>
  <conditionalFormatting sqref="N20:N25 G20:G28 M26:N28">
    <cfRule type="expression" dxfId="651" priority="279">
      <formula>$D$9="N/A"</formula>
    </cfRule>
  </conditionalFormatting>
  <conditionalFormatting sqref="N91:N123 G92:G93 M92:M93 G96:G99 I96:J99 M96:M99 G102:G105 I102:J105 M102:M105 G107:G108 I107:J108 M107:M108 G110:G111 I110:J111 M110:M111 G114:G117 I114:J117 M114:M117 G119:G120 I119:J120 M119:M120 G122:G123 I122:J123 M122:M123">
    <cfRule type="expression" dxfId="650" priority="233">
      <formula>$D$68="Climate-alignment only"</formula>
    </cfRule>
  </conditionalFormatting>
  <conditionalFormatting sqref="N130:N142 G130:G143 I130:J143 M130:M143">
    <cfRule type="expression" dxfId="649" priority="55">
      <formula>$D$70="By sub-asset class"</formula>
    </cfRule>
  </conditionalFormatting>
  <conditionalFormatting sqref="N130:N142 G141:G142 M141:M142">
    <cfRule type="expression" dxfId="648" priority="207">
      <formula>$D$70="Climate-alignment only"</formula>
    </cfRule>
  </conditionalFormatting>
  <conditionalFormatting sqref="N130:N142">
    <cfRule type="expression" dxfId="647" priority="54">
      <formula>$D$70="All of segment"</formula>
    </cfRule>
  </conditionalFormatting>
  <conditionalFormatting sqref="O20:O38 O78:O143">
    <cfRule type="expression" dxfId="646" priority="250">
      <formula>M20=TRUE</formula>
    </cfRule>
    <cfRule type="expression" dxfId="645" priority="251">
      <formula>N20=TRUE</formula>
    </cfRule>
    <cfRule type="expression" dxfId="644" priority="252">
      <formula>AND(M20=FALSE,N20=FALSE)</formula>
    </cfRule>
  </conditionalFormatting>
  <conditionalFormatting sqref="Q33:Q38">
    <cfRule type="expression" dxfId="643" priority="72">
      <formula>G33&gt;0</formula>
    </cfRule>
  </conditionalFormatting>
  <conditionalFormatting sqref="Q124:Q143">
    <cfRule type="expression" dxfId="642" priority="79">
      <formula>G124&gt;0</formula>
    </cfRule>
  </conditionalFormatting>
  <conditionalFormatting sqref="Q161:U162">
    <cfRule type="containsText" dxfId="641" priority="319" operator="containsText" text="OK">
      <formula>NOT(ISERROR(SEARCH("OK",Q161)))</formula>
    </cfRule>
    <cfRule type="containsText" dxfId="640" priority="320" operator="containsText" text="Error">
      <formula>NOT(ISERROR(SEARCH("Error",Q161)))</formula>
    </cfRule>
  </conditionalFormatting>
  <conditionalFormatting sqref="R20:R38">
    <cfRule type="expression" dxfId="639" priority="1">
      <formula>G20&gt;0</formula>
    </cfRule>
  </conditionalFormatting>
  <conditionalFormatting sqref="R78:R143">
    <cfRule type="expression" dxfId="638" priority="5">
      <formula>G78&gt;0</formula>
    </cfRule>
  </conditionalFormatting>
  <conditionalFormatting sqref="S20:S38">
    <cfRule type="expression" dxfId="637" priority="2">
      <formula>G20&gt;0</formula>
    </cfRule>
  </conditionalFormatting>
  <conditionalFormatting sqref="S78:S143">
    <cfRule type="expression" dxfId="636" priority="6">
      <formula>G78&gt;0</formula>
    </cfRule>
  </conditionalFormatting>
  <conditionalFormatting sqref="T20:T38">
    <cfRule type="expression" dxfId="635" priority="3">
      <formula>G20&gt;0</formula>
    </cfRule>
  </conditionalFormatting>
  <conditionalFormatting sqref="T78:T143">
    <cfRule type="expression" dxfId="634" priority="7">
      <formula>G78&gt;0</formula>
    </cfRule>
  </conditionalFormatting>
  <conditionalFormatting sqref="U20:U25">
    <cfRule type="expression" dxfId="633" priority="4">
      <formula>G20&gt;0</formula>
    </cfRule>
  </conditionalFormatting>
  <conditionalFormatting sqref="U26:U38">
    <cfRule type="expression" dxfId="632" priority="253" stopIfTrue="1">
      <formula>G26&gt;0</formula>
    </cfRule>
  </conditionalFormatting>
  <conditionalFormatting sqref="U78:U83">
    <cfRule type="expression" dxfId="631" priority="8">
      <formula>G78&gt;0</formula>
    </cfRule>
  </conditionalFormatting>
  <conditionalFormatting sqref="U84:U143">
    <cfRule type="expression" dxfId="630" priority="201" stopIfTrue="1">
      <formula>G84&gt;0</formula>
    </cfRule>
  </conditionalFormatting>
  <conditionalFormatting sqref="W26:W38">
    <cfRule type="expression" dxfId="629" priority="45">
      <formula>M26=TRUE</formula>
    </cfRule>
    <cfRule type="expression" dxfId="628" priority="46">
      <formula>M26=FALSE</formula>
    </cfRule>
  </conditionalFormatting>
  <conditionalFormatting sqref="W84:W143">
    <cfRule type="expression" dxfId="627" priority="41">
      <formula>M84=TRUE</formula>
    </cfRule>
    <cfRule type="expression" dxfId="626" priority="42">
      <formula>M84=FALSE</formula>
    </cfRule>
  </conditionalFormatting>
  <conditionalFormatting sqref="Z20:Z28 Z78:Z86 Z91:Z123 Z130:Z142">
    <cfRule type="expression" dxfId="625" priority="39">
      <formula>N20=TRUE</formula>
    </cfRule>
    <cfRule type="expression" dxfId="624" priority="40">
      <formula>N20=FALSE</formula>
    </cfRule>
  </conditionalFormatting>
  <conditionalFormatting sqref="AA20:AA28 AA78:AA86 AA91:AA123 AA130:AA142">
    <cfRule type="expression" dxfId="623" priority="289">
      <formula>N20=TRUE</formula>
    </cfRule>
    <cfRule type="expression" dxfId="622" priority="290">
      <formula>N20=FALSE</formula>
    </cfRule>
  </conditionalFormatting>
  <conditionalFormatting sqref="AC26:AC28 AC84:AC86 AC91:AC123 AC130:AC142">
    <cfRule type="expression" dxfId="621" priority="36">
      <formula>AND(M26=TRUE,N26=TRUE)</formula>
    </cfRule>
    <cfRule type="expression" dxfId="620" priority="37">
      <formula>M26=FALSE</formula>
    </cfRule>
    <cfRule type="expression" dxfId="619" priority="38">
      <formula>N26=FALSE</formula>
    </cfRule>
  </conditionalFormatting>
  <conditionalFormatting sqref="AC94:AC105 AC112:AC117 AC131:AC138">
    <cfRule type="expression" dxfId="618" priority="35">
      <formula>AND(M94=TRUE,N95=TRUE)</formula>
    </cfRule>
  </conditionalFormatting>
  <conditionalFormatting sqref="AD26:AD28 AD84:AD86 AD91:AD123 AD130:AD142">
    <cfRule type="expression" dxfId="617" priority="286">
      <formula>AND(M26=TRUE,N26=TRUE)</formula>
    </cfRule>
    <cfRule type="expression" dxfId="616" priority="287">
      <formula>M26=FALSE</formula>
    </cfRule>
    <cfRule type="expression" dxfId="615" priority="288">
      <formula>N26=FALSE</formula>
    </cfRule>
  </conditionalFormatting>
  <conditionalFormatting sqref="AD94:AD105 AD112:AD117 AD131:AD138">
    <cfRule type="expression" dxfId="614" priority="34">
      <formula>AND(M94=TRUE,N95=TRUE)</formula>
    </cfRule>
  </conditionalFormatting>
  <conditionalFormatting sqref="AF20:AG35 AF78:AG126">
    <cfRule type="containsText" dxfId="613" priority="291" operator="containsText" text="Review">
      <formula>NOT(ISERROR(SEARCH("Review",AF20)))</formula>
    </cfRule>
    <cfRule type="expression" dxfId="612" priority="292">
      <formula>AF20="OK"</formula>
    </cfRule>
  </conditionalFormatting>
  <dataValidations count="5">
    <dataValidation type="list" allowBlank="1" showInputMessage="1" showErrorMessage="1" sqref="D9:E9" xr:uid="{00000000-0002-0000-0600-000000000000}">
      <formula1>"By sector, By sub-asset class, N/A"</formula1>
    </dataValidation>
    <dataValidation type="list" allowBlank="1" showInputMessage="1" showErrorMessage="1" sqref="D10:E12 D69:E69" xr:uid="{00000000-0002-0000-0600-000001000000}">
      <formula1>"All of segment, By sub-asset class, N/A"</formula1>
    </dataValidation>
    <dataValidation type="list" allowBlank="1" showInputMessage="1" showErrorMessage="1" sqref="Y115 Y113 Y138 Y117" xr:uid="{00000000-0002-0000-0600-000002000000}">
      <formula1>"tCO2e/ MWh,% zero carbon generation"</formula1>
    </dataValidation>
    <dataValidation type="list" allowBlank="1" showInputMessage="1" showErrorMessage="1" sqref="D68:E68 D70:E70" xr:uid="{00000000-0002-0000-0600-000003000000}">
      <formula1>"All of segment,By sub-asset class, By sector,N/A"</formula1>
    </dataValidation>
    <dataValidation type="list" allowBlank="1" showInputMessage="1" showErrorMessage="1" sqref="D67:E67" xr:uid="{00000000-0002-0000-0600-000004000000}">
      <formula1>"By sector,By sub-asset class,N/A"</formula1>
    </dataValidation>
  </dataValidation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3289B7"/>
    <outlinePr summaryBelow="0" summaryRight="0"/>
  </sheetPr>
  <dimension ref="A1:AV1048576"/>
  <sheetViews>
    <sheetView zoomScale="80" zoomScaleNormal="80" workbookViewId="0">
      <selection activeCell="D9" sqref="D9:E9"/>
    </sheetView>
  </sheetViews>
  <sheetFormatPr baseColWidth="10" defaultColWidth="0" defaultRowHeight="14" zeroHeight="1" outlineLevelRow="3"/>
  <cols>
    <col min="1" max="1" width="15.5" style="12" customWidth="1"/>
    <col min="2" max="11" width="15.5" style="399" customWidth="1"/>
    <col min="12" max="12" width="4.6640625" style="347" customWidth="1"/>
    <col min="13" max="15" width="16.1640625" style="399" customWidth="1"/>
    <col min="16" max="16" width="2" style="347" customWidth="1"/>
    <col min="17" max="17" width="15.33203125" style="399" bestFit="1" customWidth="1"/>
    <col min="18" max="18" width="12.6640625" style="399" bestFit="1" customWidth="1"/>
    <col min="19" max="19" width="13.1640625" style="399" bestFit="1" customWidth="1"/>
    <col min="20" max="20" width="10.5" style="399" bestFit="1" customWidth="1"/>
    <col min="21" max="21" width="14.6640625" style="399" bestFit="1" customWidth="1"/>
    <col min="22" max="22" width="19.5" style="399" bestFit="1" customWidth="1"/>
    <col min="23" max="23" width="19.5" style="399" customWidth="1"/>
    <col min="24" max="24" width="2.6640625" style="347" customWidth="1"/>
    <col min="25" max="25" width="22.33203125" style="347" bestFit="1" customWidth="1"/>
    <col min="26" max="26" width="15.1640625" style="399" bestFit="1" customWidth="1"/>
    <col min="27" max="27" width="15.1640625" style="399" customWidth="1"/>
    <col min="28" max="28" width="5.1640625" style="400" customWidth="1"/>
    <col min="29" max="30" width="15.5" style="399" customWidth="1"/>
    <col min="31" max="31" width="5" style="347" customWidth="1"/>
    <col min="32" max="33" width="20.5" style="347" customWidth="1"/>
    <col min="34" max="34" width="24.5" style="347" customWidth="1"/>
    <col min="35" max="35" width="18" style="348" hidden="1" customWidth="1"/>
    <col min="36" max="36" width="23.5" style="348" hidden="1" customWidth="1"/>
    <col min="37" max="37" width="24.5" style="348" hidden="1" customWidth="1"/>
    <col min="38" max="38" width="37.83203125" style="348" hidden="1" customWidth="1"/>
    <col min="39" max="41" width="14.5" style="348" hidden="1" customWidth="1"/>
    <col min="42" max="42" width="17.5" style="348" hidden="1" customWidth="1"/>
    <col min="43" max="43" width="18.33203125" style="348" hidden="1" customWidth="1"/>
    <col min="44" max="44" width="21.5" style="348" hidden="1" customWidth="1"/>
    <col min="45" max="47" width="14.5" style="348" hidden="1" customWidth="1"/>
    <col min="48" max="48" width="10.6640625" style="348" hidden="1" customWidth="1"/>
    <col min="49" max="16384" width="14.5" style="348" hidden="1"/>
  </cols>
  <sheetData>
    <row r="1" spans="1:34" s="346" customFormat="1" ht="34.25" customHeight="1">
      <c r="A1" s="692" t="s">
        <v>78</v>
      </c>
      <c r="B1" s="692"/>
      <c r="C1" s="692"/>
      <c r="D1" s="692"/>
      <c r="E1" s="692"/>
      <c r="F1" s="692"/>
      <c r="G1" s="692"/>
      <c r="H1" s="692"/>
      <c r="I1" s="692"/>
      <c r="J1" s="692"/>
      <c r="K1" s="692"/>
      <c r="L1" s="692"/>
      <c r="M1" s="344"/>
      <c r="N1" s="345"/>
      <c r="O1" s="345"/>
      <c r="P1" s="344"/>
      <c r="Q1" s="345"/>
      <c r="R1" s="345"/>
      <c r="S1" s="345"/>
      <c r="T1" s="345"/>
      <c r="U1" s="345"/>
      <c r="V1" s="345"/>
      <c r="W1" s="345"/>
      <c r="X1" s="344"/>
      <c r="Y1" s="344"/>
      <c r="Z1" s="345"/>
      <c r="AA1" s="345"/>
      <c r="AB1" s="344"/>
      <c r="AC1" s="345"/>
      <c r="AD1" s="345"/>
      <c r="AE1" s="344"/>
      <c r="AF1" s="344"/>
      <c r="AG1" s="344"/>
    </row>
    <row r="2" spans="1:34" ht="87" customHeight="1">
      <c r="A2" s="731" t="s">
        <v>797</v>
      </c>
      <c r="B2" s="731"/>
      <c r="C2" s="731"/>
      <c r="D2" s="731"/>
      <c r="E2" s="731"/>
      <c r="F2" s="731"/>
      <c r="G2" s="731"/>
      <c r="H2" s="731"/>
      <c r="I2" s="731"/>
      <c r="J2" s="731"/>
      <c r="K2" s="731"/>
      <c r="L2" s="731"/>
      <c r="M2" s="731"/>
      <c r="N2" s="731"/>
      <c r="O2" s="731"/>
      <c r="P2" s="731"/>
      <c r="Q2" s="731"/>
      <c r="R2" s="731"/>
      <c r="S2" s="731"/>
      <c r="T2" s="731"/>
      <c r="U2" s="731"/>
      <c r="V2" s="731"/>
      <c r="W2" s="731"/>
      <c r="X2" s="731"/>
      <c r="Y2" s="731"/>
      <c r="Z2" s="731"/>
      <c r="AA2" s="731"/>
      <c r="AB2" s="731"/>
      <c r="AC2" s="731"/>
      <c r="AD2" s="731"/>
      <c r="AE2" s="731"/>
      <c r="AF2" s="731"/>
      <c r="AG2" s="547"/>
    </row>
    <row r="3" spans="1:34" ht="44" customHeight="1">
      <c r="A3" s="795" t="s">
        <v>314</v>
      </c>
      <c r="B3" s="795"/>
      <c r="C3" s="795"/>
      <c r="D3" s="795"/>
      <c r="E3" s="795"/>
      <c r="F3" s="795"/>
      <c r="G3" s="795"/>
      <c r="H3" s="795"/>
      <c r="I3" s="549"/>
      <c r="J3" s="549"/>
      <c r="K3" s="549"/>
      <c r="L3" s="349"/>
      <c r="M3" s="349"/>
      <c r="N3" s="349"/>
      <c r="O3" s="349"/>
      <c r="P3" s="349"/>
      <c r="Q3" s="349"/>
      <c r="R3" s="349"/>
      <c r="S3" s="349"/>
      <c r="T3" s="349"/>
      <c r="U3" s="349"/>
      <c r="V3" s="349"/>
      <c r="W3" s="349"/>
      <c r="X3" s="349"/>
      <c r="Y3" s="349"/>
      <c r="Z3" s="350"/>
      <c r="AA3" s="350"/>
      <c r="AB3" s="351"/>
      <c r="AC3" s="350"/>
      <c r="AD3" s="350"/>
      <c r="AE3" s="351"/>
      <c r="AF3" s="351"/>
      <c r="AG3" s="351"/>
    </row>
    <row r="4" spans="1:34" ht="34.25" customHeight="1">
      <c r="A4" s="852" t="str">
        <f>"Based on Table 1.5 in the Financial Institutions Net-Zero Standard.     Financial metric: "&amp;'Financial activity types '!G11&amp;" in "&amp;'Financial activity types '!C13&amp;"     Base year: "&amp;'Financial activity types '!C7</f>
        <v xml:space="preserve">Based on Table 1.5 in the Financial Institutions Net-Zero Standard.     Financial metric:  in      Base year: </v>
      </c>
      <c r="B4" s="852"/>
      <c r="C4" s="852"/>
      <c r="D4" s="852"/>
      <c r="E4" s="852"/>
      <c r="F4" s="852"/>
      <c r="G4" s="852"/>
      <c r="H4" s="852"/>
      <c r="I4" s="852"/>
      <c r="J4" s="852"/>
      <c r="K4" s="852"/>
      <c r="L4" s="852"/>
      <c r="M4" s="552"/>
      <c r="N4" s="552"/>
      <c r="O4" s="552"/>
      <c r="P4" s="552"/>
      <c r="Q4" s="352"/>
      <c r="R4" s="352"/>
      <c r="S4" s="352"/>
      <c r="T4" s="352"/>
      <c r="U4" s="352"/>
      <c r="V4" s="352"/>
      <c r="W4" s="352"/>
      <c r="X4" s="552"/>
      <c r="Y4" s="552"/>
      <c r="Z4" s="350"/>
      <c r="AA4" s="350"/>
      <c r="AB4" s="351"/>
      <c r="AC4" s="350"/>
      <c r="AD4" s="350"/>
      <c r="AE4" s="351"/>
      <c r="AF4" s="351"/>
      <c r="AG4" s="351"/>
    </row>
    <row r="5" spans="1:34" s="356" customFormat="1">
      <c r="A5" s="12"/>
      <c r="B5" s="12"/>
      <c r="C5" s="12"/>
      <c r="D5" s="12"/>
      <c r="E5" s="12"/>
      <c r="F5" s="12"/>
      <c r="G5" s="12"/>
      <c r="H5" s="12"/>
      <c r="I5" s="12"/>
      <c r="J5" s="12"/>
      <c r="K5" s="12"/>
      <c r="L5" s="353"/>
      <c r="M5" s="12"/>
      <c r="N5" s="12"/>
      <c r="O5" s="12"/>
      <c r="P5" s="353"/>
      <c r="Q5" s="354"/>
      <c r="R5" s="354"/>
      <c r="S5" s="12"/>
      <c r="T5" s="354"/>
      <c r="U5" s="354"/>
      <c r="V5" s="354"/>
      <c r="W5" s="354"/>
      <c r="X5" s="353"/>
      <c r="Y5" s="353"/>
      <c r="Z5" s="12"/>
      <c r="AA5" s="12"/>
      <c r="AB5" s="353"/>
      <c r="AC5" s="12"/>
      <c r="AD5" s="12"/>
      <c r="AE5" s="353"/>
      <c r="AF5" s="353"/>
      <c r="AG5" s="353"/>
      <c r="AH5" s="355"/>
    </row>
    <row r="6" spans="1:34" s="356" customFormat="1" ht="24" customHeight="1" collapsed="1">
      <c r="A6" s="793" t="s">
        <v>80</v>
      </c>
      <c r="B6" s="793"/>
      <c r="C6" s="793"/>
      <c r="D6" s="793"/>
      <c r="E6" s="793"/>
      <c r="F6" s="793"/>
      <c r="G6" s="793"/>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552"/>
      <c r="AH6" s="355"/>
    </row>
    <row r="7" spans="1:34" s="356" customFormat="1" ht="43.25" hidden="1" customHeight="1" outlineLevel="1" collapsed="1">
      <c r="A7" s="731" t="s">
        <v>81</v>
      </c>
      <c r="B7" s="731"/>
      <c r="C7" s="731"/>
      <c r="D7" s="731"/>
      <c r="E7" s="731"/>
      <c r="F7" s="731"/>
      <c r="G7" s="731"/>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547"/>
      <c r="AH7" s="355"/>
    </row>
    <row r="8" spans="1:34" s="356" customFormat="1" ht="18" hidden="1" outlineLevel="2">
      <c r="A8" s="357"/>
      <c r="B8" s="357"/>
      <c r="C8" s="357"/>
      <c r="D8" s="357"/>
      <c r="E8" s="357"/>
      <c r="F8" s="357"/>
      <c r="G8" s="357"/>
      <c r="H8" s="357"/>
      <c r="I8" s="357"/>
      <c r="J8" s="357"/>
      <c r="K8" s="357"/>
      <c r="L8" s="357"/>
      <c r="M8" s="357"/>
      <c r="N8" s="357"/>
      <c r="O8" s="357"/>
      <c r="P8" s="357"/>
      <c r="Q8" s="357"/>
      <c r="R8" s="357"/>
      <c r="S8" s="357"/>
      <c r="T8" s="357"/>
      <c r="U8" s="357"/>
      <c r="V8" s="357"/>
      <c r="W8" s="357"/>
      <c r="X8" s="357"/>
      <c r="Y8" s="357"/>
      <c r="Z8" s="12"/>
      <c r="AA8" s="12"/>
      <c r="AB8" s="358"/>
      <c r="AC8" s="12"/>
      <c r="AD8" s="12"/>
      <c r="AE8" s="358"/>
      <c r="AF8" s="353"/>
      <c r="AG8" s="353"/>
      <c r="AH8" s="355"/>
    </row>
    <row r="9" spans="1:34" s="356" customFormat="1" ht="53.25" hidden="1" customHeight="1" outlineLevel="2">
      <c r="A9" s="357"/>
      <c r="B9" s="714" t="s">
        <v>82</v>
      </c>
      <c r="C9" s="715"/>
      <c r="D9" s="719"/>
      <c r="E9" s="720"/>
      <c r="F9" s="357"/>
      <c r="G9" s="824" t="s">
        <v>83</v>
      </c>
      <c r="H9" s="825"/>
      <c r="I9" s="825"/>
      <c r="J9" s="825"/>
      <c r="K9" s="825"/>
      <c r="L9" s="825"/>
      <c r="M9" s="825"/>
      <c r="N9" s="357"/>
      <c r="O9" s="357"/>
      <c r="P9" s="357"/>
      <c r="Q9" s="357"/>
      <c r="R9" s="357"/>
      <c r="S9" s="357"/>
      <c r="T9" s="357"/>
      <c r="U9" s="357"/>
      <c r="V9" s="357"/>
      <c r="W9" s="357"/>
      <c r="X9" s="357"/>
      <c r="Y9" s="357"/>
      <c r="Z9" s="12"/>
      <c r="AA9" s="12"/>
      <c r="AB9" s="358"/>
      <c r="AC9" s="12"/>
      <c r="AD9" s="12"/>
      <c r="AE9" s="358"/>
      <c r="AF9" s="353"/>
      <c r="AG9" s="353"/>
      <c r="AH9" s="355"/>
    </row>
    <row r="10" spans="1:34" s="356" customFormat="1" ht="53.25" hidden="1" customHeight="1" outlineLevel="2">
      <c r="A10" s="357"/>
      <c r="B10" s="714" t="s">
        <v>84</v>
      </c>
      <c r="C10" s="715"/>
      <c r="D10" s="719"/>
      <c r="E10" s="720"/>
      <c r="F10" s="357"/>
      <c r="G10" s="825"/>
      <c r="H10" s="825"/>
      <c r="I10" s="825"/>
      <c r="J10" s="825"/>
      <c r="K10" s="825"/>
      <c r="L10" s="825"/>
      <c r="M10" s="825"/>
      <c r="N10" s="357"/>
      <c r="O10" s="357"/>
      <c r="P10" s="357"/>
      <c r="Q10" s="357"/>
      <c r="R10" s="357"/>
      <c r="S10" s="357"/>
      <c r="T10" s="357"/>
      <c r="U10" s="357"/>
      <c r="V10" s="357"/>
      <c r="W10" s="357"/>
      <c r="X10" s="357"/>
      <c r="Y10" s="357"/>
      <c r="Z10" s="12"/>
      <c r="AA10" s="12"/>
      <c r="AB10" s="358"/>
      <c r="AC10" s="12"/>
      <c r="AD10" s="12"/>
      <c r="AE10" s="358"/>
      <c r="AF10" s="353"/>
      <c r="AG10" s="353"/>
      <c r="AH10" s="355"/>
    </row>
    <row r="11" spans="1:34" s="356" customFormat="1" ht="53.25" hidden="1" customHeight="1" outlineLevel="2">
      <c r="A11" s="357"/>
      <c r="B11" s="714" t="s">
        <v>85</v>
      </c>
      <c r="C11" s="715"/>
      <c r="D11" s="719"/>
      <c r="E11" s="720"/>
      <c r="F11" s="357"/>
      <c r="G11" s="825"/>
      <c r="H11" s="825"/>
      <c r="I11" s="825"/>
      <c r="J11" s="825"/>
      <c r="K11" s="825"/>
      <c r="L11" s="825"/>
      <c r="M11" s="825"/>
      <c r="N11" s="357"/>
      <c r="O11" s="357"/>
      <c r="P11" s="357"/>
      <c r="Q11" s="357"/>
      <c r="R11" s="357"/>
      <c r="S11" s="357"/>
      <c r="T11" s="357"/>
      <c r="U11" s="357"/>
      <c r="V11" s="357"/>
      <c r="W11" s="357"/>
      <c r="X11" s="357"/>
      <c r="Y11" s="357"/>
      <c r="Z11" s="12"/>
      <c r="AA11" s="12"/>
      <c r="AB11" s="358"/>
      <c r="AC11" s="12"/>
      <c r="AD11" s="12"/>
      <c r="AE11" s="358"/>
      <c r="AF11" s="353"/>
      <c r="AG11" s="353"/>
      <c r="AH11" s="355"/>
    </row>
    <row r="12" spans="1:34" s="356" customFormat="1" ht="53.25" hidden="1" customHeight="1" outlineLevel="2">
      <c r="A12" s="357"/>
      <c r="B12" s="714" t="s">
        <v>86</v>
      </c>
      <c r="C12" s="715"/>
      <c r="D12" s="719"/>
      <c r="E12" s="720"/>
      <c r="F12" s="357"/>
      <c r="G12" s="825"/>
      <c r="H12" s="825"/>
      <c r="I12" s="825"/>
      <c r="J12" s="825"/>
      <c r="K12" s="825"/>
      <c r="L12" s="825"/>
      <c r="M12" s="825"/>
      <c r="N12" s="357"/>
      <c r="O12" s="357"/>
      <c r="P12" s="357"/>
      <c r="Q12" s="357"/>
      <c r="R12" s="357"/>
      <c r="S12" s="357"/>
      <c r="T12" s="357"/>
      <c r="U12" s="357"/>
      <c r="V12" s="357"/>
      <c r="W12" s="357"/>
      <c r="X12" s="357"/>
      <c r="Y12" s="357"/>
      <c r="Z12" s="12"/>
      <c r="AA12" s="12"/>
      <c r="AB12" s="358"/>
      <c r="AC12" s="12"/>
      <c r="AD12" s="12"/>
      <c r="AE12" s="358"/>
      <c r="AF12" s="353"/>
      <c r="AG12" s="353"/>
      <c r="AH12" s="355"/>
    </row>
    <row r="13" spans="1:34" s="356" customFormat="1" ht="53.25" hidden="1" customHeight="1" outlineLevel="2">
      <c r="A13" s="357"/>
      <c r="B13" s="13"/>
      <c r="C13" s="13"/>
      <c r="D13" s="13"/>
      <c r="E13" s="13"/>
      <c r="F13" s="357"/>
      <c r="G13" s="357"/>
      <c r="H13" s="357"/>
      <c r="I13" s="357"/>
      <c r="J13" s="357"/>
      <c r="K13" s="357"/>
      <c r="L13" s="357"/>
      <c r="M13" s="357"/>
      <c r="N13" s="357"/>
      <c r="O13" s="357"/>
      <c r="P13" s="357"/>
      <c r="Q13" s="357"/>
      <c r="R13" s="357"/>
      <c r="S13" s="357"/>
      <c r="T13" s="357"/>
      <c r="U13" s="357"/>
      <c r="V13" s="357"/>
      <c r="W13" s="357"/>
      <c r="X13" s="357"/>
      <c r="Y13" s="357"/>
      <c r="Z13" s="12"/>
      <c r="AA13" s="12"/>
      <c r="AB13" s="358"/>
      <c r="AC13" s="12"/>
      <c r="AD13" s="12"/>
      <c r="AE13" s="358"/>
      <c r="AF13" s="353"/>
      <c r="AG13" s="353"/>
      <c r="AH13" s="355"/>
    </row>
    <row r="14" spans="1:34" s="356" customFormat="1" ht="20" hidden="1" customHeight="1" outlineLevel="2">
      <c r="A14" s="794" t="s">
        <v>87</v>
      </c>
      <c r="B14" s="731"/>
      <c r="C14" s="731"/>
      <c r="D14" s="731"/>
      <c r="E14" s="731"/>
      <c r="F14" s="731"/>
      <c r="G14" s="731"/>
      <c r="H14" s="731"/>
      <c r="I14" s="731"/>
      <c r="J14" s="731"/>
      <c r="K14" s="731"/>
      <c r="L14" s="731"/>
      <c r="M14" s="731"/>
      <c r="N14" s="731"/>
      <c r="O14" s="731"/>
      <c r="P14" s="731"/>
      <c r="Q14" s="731"/>
      <c r="R14" s="731"/>
      <c r="S14" s="731"/>
      <c r="T14" s="731"/>
      <c r="U14" s="731"/>
      <c r="V14" s="731"/>
      <c r="W14" s="731"/>
      <c r="X14" s="731"/>
      <c r="Y14" s="731"/>
      <c r="Z14" s="731"/>
      <c r="AA14" s="731"/>
      <c r="AB14" s="731"/>
      <c r="AC14" s="731"/>
      <c r="AD14" s="731"/>
      <c r="AE14" s="731"/>
      <c r="AF14" s="731"/>
      <c r="AG14" s="547"/>
      <c r="AH14" s="355"/>
    </row>
    <row r="15" spans="1:34" s="356" customFormat="1" ht="22.25" hidden="1" customHeight="1" outlineLevel="2">
      <c r="A15" s="359"/>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5"/>
    </row>
    <row r="16" spans="1:34" s="356" customFormat="1" ht="409.25" hidden="1" customHeight="1" outlineLevel="2">
      <c r="A16" s="355"/>
      <c r="B16" s="360"/>
      <c r="C16" s="706" t="s">
        <v>88</v>
      </c>
      <c r="D16" s="706"/>
      <c r="E16" s="706"/>
      <c r="F16" s="706"/>
      <c r="G16" s="706"/>
      <c r="H16" s="706"/>
      <c r="I16" s="706"/>
      <c r="J16" s="706"/>
      <c r="K16" s="706"/>
      <c r="L16" s="17"/>
      <c r="M16" s="706" t="s">
        <v>89</v>
      </c>
      <c r="N16" s="706"/>
      <c r="O16" s="706"/>
      <c r="P16" s="17"/>
      <c r="Q16" s="706" t="s">
        <v>90</v>
      </c>
      <c r="R16" s="706"/>
      <c r="S16" s="706"/>
      <c r="T16" s="706"/>
      <c r="U16" s="706"/>
      <c r="V16" s="706"/>
      <c r="W16" s="706"/>
      <c r="X16" s="17"/>
      <c r="Y16" s="706" t="s">
        <v>91</v>
      </c>
      <c r="Z16" s="706"/>
      <c r="AA16" s="706"/>
      <c r="AB16" s="17"/>
      <c r="AC16" s="706" t="s">
        <v>92</v>
      </c>
      <c r="AD16" s="706"/>
      <c r="AE16" s="17"/>
      <c r="AF16" s="709" t="s">
        <v>93</v>
      </c>
      <c r="AG16" s="706"/>
      <c r="AH16" s="355"/>
    </row>
    <row r="17" spans="1:37" s="356" customFormat="1" hidden="1" outlineLevel="2">
      <c r="A17" s="355"/>
      <c r="B17" s="355"/>
      <c r="C17" s="355"/>
      <c r="D17" s="355"/>
      <c r="E17" s="355"/>
      <c r="F17" s="355"/>
      <c r="G17" s="355"/>
      <c r="H17" s="355"/>
      <c r="I17" s="355"/>
      <c r="J17" s="355"/>
      <c r="K17" s="355"/>
      <c r="L17" s="355"/>
      <c r="M17" s="355"/>
      <c r="N17" s="355"/>
      <c r="O17" s="355"/>
      <c r="P17" s="355"/>
      <c r="Q17" s="355"/>
      <c r="R17" s="355"/>
      <c r="S17" s="355"/>
      <c r="T17" s="355"/>
      <c r="U17" s="355"/>
      <c r="V17" s="355"/>
      <c r="W17" s="355"/>
      <c r="X17" s="355"/>
      <c r="Y17" s="353"/>
      <c r="Z17" s="12"/>
      <c r="AA17" s="12"/>
      <c r="AB17" s="355"/>
      <c r="AC17" s="355"/>
      <c r="AD17" s="355"/>
      <c r="AE17" s="355"/>
      <c r="AF17" s="355"/>
      <c r="AG17" s="355"/>
      <c r="AH17" s="355"/>
    </row>
    <row r="18" spans="1:37" s="356" customFormat="1" ht="16.25" hidden="1" customHeight="1" outlineLevel="2">
      <c r="A18" s="714" t="s">
        <v>94</v>
      </c>
      <c r="B18" s="718"/>
      <c r="C18" s="718"/>
      <c r="D18" s="718"/>
      <c r="E18" s="718"/>
      <c r="F18" s="718"/>
      <c r="G18" s="718"/>
      <c r="H18" s="718"/>
      <c r="I18" s="718"/>
      <c r="J18" s="718"/>
      <c r="K18" s="715"/>
      <c r="L18" s="361"/>
      <c r="M18" s="714" t="s">
        <v>95</v>
      </c>
      <c r="N18" s="718"/>
      <c r="O18" s="715"/>
      <c r="P18" s="13"/>
      <c r="Q18" s="714" t="s">
        <v>96</v>
      </c>
      <c r="R18" s="718"/>
      <c r="S18" s="718"/>
      <c r="T18" s="718"/>
      <c r="U18" s="718"/>
      <c r="V18" s="718"/>
      <c r="W18" s="715"/>
      <c r="X18" s="572"/>
      <c r="Y18" s="714" t="s">
        <v>97</v>
      </c>
      <c r="Z18" s="718"/>
      <c r="AA18" s="715"/>
      <c r="AB18" s="358"/>
      <c r="AC18" s="714" t="s">
        <v>98</v>
      </c>
      <c r="AD18" s="715"/>
      <c r="AE18" s="358"/>
      <c r="AF18" s="716" t="s">
        <v>798</v>
      </c>
      <c r="AG18" s="716" t="s">
        <v>799</v>
      </c>
      <c r="AH18" s="355"/>
    </row>
    <row r="19" spans="1:37" s="356" customFormat="1" ht="289" hidden="1" outlineLevel="2">
      <c r="A19" s="798" t="s">
        <v>99</v>
      </c>
      <c r="B19" s="798"/>
      <c r="C19" s="714" t="s">
        <v>100</v>
      </c>
      <c r="D19" s="718"/>
      <c r="E19" s="718"/>
      <c r="F19" s="715"/>
      <c r="G19" s="546" t="s">
        <v>763</v>
      </c>
      <c r="H19" s="546" t="s">
        <v>778</v>
      </c>
      <c r="I19" s="554" t="s">
        <v>764</v>
      </c>
      <c r="J19" s="554" t="s">
        <v>765</v>
      </c>
      <c r="K19" s="554" t="s">
        <v>779</v>
      </c>
      <c r="L19" s="361"/>
      <c r="M19" s="546" t="s">
        <v>768</v>
      </c>
      <c r="N19" s="546" t="s">
        <v>769</v>
      </c>
      <c r="O19" s="554" t="s">
        <v>770</v>
      </c>
      <c r="P19" s="13"/>
      <c r="Q19" s="554" t="s">
        <v>101</v>
      </c>
      <c r="R19" s="554" t="s">
        <v>102</v>
      </c>
      <c r="S19" s="558" t="s">
        <v>103</v>
      </c>
      <c r="T19" s="558" t="s">
        <v>104</v>
      </c>
      <c r="U19" s="554" t="s">
        <v>105</v>
      </c>
      <c r="V19" s="546" t="s">
        <v>106</v>
      </c>
      <c r="W19" s="554" t="s">
        <v>771</v>
      </c>
      <c r="X19" s="573"/>
      <c r="Y19" s="546" t="s">
        <v>107</v>
      </c>
      <c r="Z19" s="546" t="s">
        <v>772</v>
      </c>
      <c r="AA19" s="546" t="s">
        <v>773</v>
      </c>
      <c r="AB19" s="358"/>
      <c r="AC19" s="546" t="s">
        <v>774</v>
      </c>
      <c r="AD19" s="546" t="s">
        <v>775</v>
      </c>
      <c r="AE19" s="358"/>
      <c r="AF19" s="717"/>
      <c r="AG19" s="717"/>
      <c r="AH19" s="355"/>
    </row>
    <row r="20" spans="1:37" s="356" customFormat="1" ht="18.75" hidden="1" customHeight="1" outlineLevel="2">
      <c r="A20" s="721" t="s">
        <v>109</v>
      </c>
      <c r="B20" s="733" t="s">
        <v>110</v>
      </c>
      <c r="C20" s="756" t="s">
        <v>111</v>
      </c>
      <c r="D20" s="820"/>
      <c r="E20" s="820"/>
      <c r="F20" s="757"/>
      <c r="G20" s="710"/>
      <c r="H20" s="799" t="str">
        <f>IF(G20="","",G20/$G$57)</f>
        <v/>
      </c>
      <c r="I20" s="710"/>
      <c r="J20" s="710"/>
      <c r="K20" s="712" t="str">
        <f>IF(SUM(I20:J21)=0,"",SUM(I20:J21))</f>
        <v/>
      </c>
      <c r="L20" s="362"/>
      <c r="M20" s="796"/>
      <c r="N20" s="401" t="b">
        <v>0</v>
      </c>
      <c r="O20" s="5"/>
      <c r="P20" s="363"/>
      <c r="Q20" s="712"/>
      <c r="R20" s="710"/>
      <c r="S20" s="710"/>
      <c r="T20" s="710"/>
      <c r="U20" s="710"/>
      <c r="V20" s="712">
        <f t="shared" ref="V20:V21" si="0">IF(M20=TRUE,SUM(Q20:U20),0)</f>
        <v>0</v>
      </c>
      <c r="W20" s="712"/>
      <c r="X20" s="362"/>
      <c r="Y20" s="364" t="s">
        <v>112</v>
      </c>
      <c r="Z20" s="5"/>
      <c r="AA20" s="5"/>
      <c r="AB20" s="358"/>
      <c r="AC20" s="712"/>
      <c r="AD20" s="712"/>
      <c r="AE20" s="358"/>
      <c r="AF20" s="712" t="str">
        <f t="shared" ref="AF20:AF26" si="1">IF(G20="","",IF(AND(V20="",Z20="",Z21="",AC20=""),"Missing Info",IF(G20-V20-Z20-Z21+AC20=0,"OK","Review financial exposure")))</f>
        <v/>
      </c>
      <c r="AG20" s="712" t="str">
        <f>IF(K20="","",IF(AND(W20="",AA20="",AA21="",AD20=""),"Missing Info",IF(K20-W20-AA20-AA21+AD20=0,"OK","Review emissions")))</f>
        <v/>
      </c>
      <c r="AH20" s="355"/>
      <c r="AK20" s="108" t="s">
        <v>113</v>
      </c>
    </row>
    <row r="21" spans="1:37" s="356" customFormat="1" ht="18" hidden="1" customHeight="1" outlineLevel="2">
      <c r="A21" s="722"/>
      <c r="B21" s="733"/>
      <c r="C21" s="760"/>
      <c r="D21" s="821"/>
      <c r="E21" s="821"/>
      <c r="F21" s="761"/>
      <c r="G21" s="711"/>
      <c r="H21" s="800"/>
      <c r="I21" s="711"/>
      <c r="J21" s="711"/>
      <c r="K21" s="713"/>
      <c r="L21" s="362"/>
      <c r="M21" s="797"/>
      <c r="N21" s="401" t="b">
        <v>0</v>
      </c>
      <c r="O21" s="5"/>
      <c r="P21" s="363"/>
      <c r="Q21" s="713"/>
      <c r="R21" s="711"/>
      <c r="S21" s="711"/>
      <c r="T21" s="711"/>
      <c r="U21" s="711"/>
      <c r="V21" s="713">
        <f t="shared" si="0"/>
        <v>0</v>
      </c>
      <c r="W21" s="713"/>
      <c r="X21" s="362"/>
      <c r="Y21" s="364" t="s">
        <v>114</v>
      </c>
      <c r="Z21" s="5"/>
      <c r="AA21" s="5"/>
      <c r="AB21" s="358"/>
      <c r="AC21" s="713"/>
      <c r="AD21" s="713"/>
      <c r="AE21" s="358"/>
      <c r="AF21" s="713"/>
      <c r="AG21" s="713"/>
      <c r="AH21" s="355"/>
      <c r="AK21" s="108" t="s">
        <v>113</v>
      </c>
    </row>
    <row r="22" spans="1:37" s="356" customFormat="1" ht="33" hidden="1" customHeight="1" outlineLevel="2">
      <c r="A22" s="722"/>
      <c r="B22" s="733"/>
      <c r="C22" s="727" t="s">
        <v>115</v>
      </c>
      <c r="D22" s="728"/>
      <c r="E22" s="764" t="s">
        <v>315</v>
      </c>
      <c r="F22" s="765"/>
      <c r="G22" s="710"/>
      <c r="H22" s="799" t="str">
        <f>IF(G22="","",G22/$G$57)</f>
        <v/>
      </c>
      <c r="I22" s="710"/>
      <c r="J22" s="710"/>
      <c r="K22" s="712" t="str">
        <f>IF(SUM(I22:J23)=0,"",SUM(I22:J23))</f>
        <v/>
      </c>
      <c r="L22" s="362"/>
      <c r="M22" s="796"/>
      <c r="N22" s="401" t="b">
        <v>0</v>
      </c>
      <c r="O22" s="5"/>
      <c r="P22" s="363"/>
      <c r="Q22" s="712"/>
      <c r="R22" s="710"/>
      <c r="S22" s="710"/>
      <c r="T22" s="710"/>
      <c r="U22" s="710"/>
      <c r="V22" s="712">
        <f t="shared" ref="V22:V27" si="2">IF(M22=TRUE,SUM(Q22:U22),0)</f>
        <v>0</v>
      </c>
      <c r="W22" s="712"/>
      <c r="X22" s="362"/>
      <c r="Y22" s="364" t="s">
        <v>112</v>
      </c>
      <c r="Z22" s="5"/>
      <c r="AA22" s="5"/>
      <c r="AB22" s="358"/>
      <c r="AC22" s="712"/>
      <c r="AD22" s="712"/>
      <c r="AE22" s="358"/>
      <c r="AF22" s="712" t="str">
        <f t="shared" si="1"/>
        <v/>
      </c>
      <c r="AG22" s="712" t="str">
        <f>IF(K22="","",IF(AND(W22="",AA22="",AA23="",AD22=""),"Missing Info",IF(K22-W22-AA22-AA23+AD22=0,"OK","Review emissions")))</f>
        <v/>
      </c>
      <c r="AH22" s="355"/>
      <c r="AK22" s="108" t="s">
        <v>113</v>
      </c>
    </row>
    <row r="23" spans="1:37" s="356" customFormat="1" ht="33" hidden="1" customHeight="1" outlineLevel="2">
      <c r="A23" s="722"/>
      <c r="B23" s="733"/>
      <c r="C23" s="822"/>
      <c r="D23" s="823"/>
      <c r="E23" s="766"/>
      <c r="F23" s="767"/>
      <c r="G23" s="711"/>
      <c r="H23" s="800"/>
      <c r="I23" s="711"/>
      <c r="J23" s="711"/>
      <c r="K23" s="713"/>
      <c r="L23" s="362"/>
      <c r="M23" s="797"/>
      <c r="N23" s="401" t="b">
        <v>0</v>
      </c>
      <c r="O23" s="5"/>
      <c r="P23" s="363"/>
      <c r="Q23" s="713"/>
      <c r="R23" s="711"/>
      <c r="S23" s="711"/>
      <c r="T23" s="711"/>
      <c r="U23" s="711"/>
      <c r="V23" s="713">
        <f t="shared" si="2"/>
        <v>0</v>
      </c>
      <c r="W23" s="713"/>
      <c r="X23" s="362"/>
      <c r="Y23" s="364" t="s">
        <v>114</v>
      </c>
      <c r="Z23" s="5"/>
      <c r="AA23" s="5"/>
      <c r="AB23" s="358"/>
      <c r="AC23" s="713"/>
      <c r="AD23" s="713"/>
      <c r="AE23" s="358"/>
      <c r="AF23" s="713"/>
      <c r="AG23" s="713"/>
      <c r="AH23" s="355"/>
      <c r="AK23" s="108" t="s">
        <v>113</v>
      </c>
    </row>
    <row r="24" spans="1:37" s="356" customFormat="1" ht="33" hidden="1" customHeight="1" outlineLevel="2">
      <c r="A24" s="722"/>
      <c r="B24" s="733"/>
      <c r="C24" s="822"/>
      <c r="D24" s="823"/>
      <c r="E24" s="764" t="s">
        <v>316</v>
      </c>
      <c r="F24" s="765"/>
      <c r="G24" s="710"/>
      <c r="H24" s="799" t="str">
        <f>IF(G24="","",G24/$G$57)</f>
        <v/>
      </c>
      <c r="I24" s="710"/>
      <c r="J24" s="710"/>
      <c r="K24" s="712" t="str">
        <f>IF(SUM(I24:J25)=0,"",SUM(I24:J25))</f>
        <v/>
      </c>
      <c r="L24" s="362"/>
      <c r="M24" s="796"/>
      <c r="N24" s="401" t="b">
        <v>0</v>
      </c>
      <c r="O24" s="5"/>
      <c r="P24" s="363"/>
      <c r="Q24" s="712"/>
      <c r="R24" s="710"/>
      <c r="S24" s="710"/>
      <c r="T24" s="710"/>
      <c r="U24" s="710"/>
      <c r="V24" s="712">
        <f t="shared" si="2"/>
        <v>0</v>
      </c>
      <c r="W24" s="712"/>
      <c r="X24" s="362"/>
      <c r="Y24" s="364" t="s">
        <v>112</v>
      </c>
      <c r="Z24" s="5"/>
      <c r="AA24" s="5"/>
      <c r="AB24" s="358"/>
      <c r="AC24" s="712"/>
      <c r="AD24" s="712"/>
      <c r="AE24" s="358"/>
      <c r="AF24" s="712" t="str">
        <f t="shared" si="1"/>
        <v/>
      </c>
      <c r="AG24" s="712" t="str">
        <f>IF(K24="","",IF(AND(W24="",AA24="",AA25="",AD24=""),"Missing Info",IF(K24-W24-AA24-AA25+AD24=0,"OK","Review emissions")))</f>
        <v/>
      </c>
      <c r="AH24" s="355"/>
      <c r="AK24" s="108" t="s">
        <v>113</v>
      </c>
    </row>
    <row r="25" spans="1:37" s="356" customFormat="1" ht="33" hidden="1" customHeight="1" outlineLevel="2">
      <c r="A25" s="722"/>
      <c r="B25" s="733"/>
      <c r="C25" s="822"/>
      <c r="D25" s="823"/>
      <c r="E25" s="766"/>
      <c r="F25" s="767"/>
      <c r="G25" s="711"/>
      <c r="H25" s="800"/>
      <c r="I25" s="711"/>
      <c r="J25" s="711"/>
      <c r="K25" s="713"/>
      <c r="L25" s="362"/>
      <c r="M25" s="797"/>
      <c r="N25" s="401" t="b">
        <v>0</v>
      </c>
      <c r="O25" s="5"/>
      <c r="P25" s="363"/>
      <c r="Q25" s="713"/>
      <c r="R25" s="711"/>
      <c r="S25" s="711"/>
      <c r="T25" s="711"/>
      <c r="U25" s="711"/>
      <c r="V25" s="713">
        <f t="shared" si="2"/>
        <v>0</v>
      </c>
      <c r="W25" s="713"/>
      <c r="X25" s="362"/>
      <c r="Y25" s="364" t="s">
        <v>114</v>
      </c>
      <c r="Z25" s="5"/>
      <c r="AA25" s="5"/>
      <c r="AB25" s="358"/>
      <c r="AC25" s="713"/>
      <c r="AD25" s="713"/>
      <c r="AE25" s="358"/>
      <c r="AF25" s="713"/>
      <c r="AG25" s="713"/>
      <c r="AH25" s="355"/>
      <c r="AK25" s="108" t="s">
        <v>113</v>
      </c>
    </row>
    <row r="26" spans="1:37" s="356" customFormat="1" ht="33" hidden="1" customHeight="1" outlineLevel="2">
      <c r="A26" s="722"/>
      <c r="B26" s="733"/>
      <c r="C26" s="822"/>
      <c r="D26" s="823"/>
      <c r="E26" s="764" t="s">
        <v>317</v>
      </c>
      <c r="F26" s="765"/>
      <c r="G26" s="710"/>
      <c r="H26" s="799" t="str">
        <f>IF(G26="","",G26/$G$57)</f>
        <v/>
      </c>
      <c r="I26" s="710"/>
      <c r="J26" s="710"/>
      <c r="K26" s="712" t="str">
        <f>IF(SUM(I26:J27)=0,"",SUM(I26:J27))</f>
        <v/>
      </c>
      <c r="L26" s="362"/>
      <c r="M26" s="796"/>
      <c r="N26" s="401" t="b">
        <v>0</v>
      </c>
      <c r="O26" s="5"/>
      <c r="P26" s="363"/>
      <c r="Q26" s="712"/>
      <c r="R26" s="710"/>
      <c r="S26" s="710"/>
      <c r="T26" s="710"/>
      <c r="U26" s="710"/>
      <c r="V26" s="712">
        <f t="shared" si="2"/>
        <v>0</v>
      </c>
      <c r="W26" s="712"/>
      <c r="X26" s="362"/>
      <c r="Y26" s="364" t="s">
        <v>112</v>
      </c>
      <c r="Z26" s="5"/>
      <c r="AA26" s="5"/>
      <c r="AB26" s="358"/>
      <c r="AC26" s="712"/>
      <c r="AD26" s="712"/>
      <c r="AE26" s="358"/>
      <c r="AF26" s="712" t="str">
        <f t="shared" si="1"/>
        <v/>
      </c>
      <c r="AG26" s="712" t="str">
        <f>IF(K26="","",IF(AND(W26="",AA26="",AA27="",AD26=""),"Missing Info",IF(K26-W26-AA26-AA27+AD26=0,"OK","Review emissions")))</f>
        <v/>
      </c>
      <c r="AH26" s="355"/>
      <c r="AK26" s="108" t="s">
        <v>113</v>
      </c>
    </row>
    <row r="27" spans="1:37" s="356" customFormat="1" ht="33" hidden="1" customHeight="1" outlineLevel="2">
      <c r="A27" s="723"/>
      <c r="B27" s="733"/>
      <c r="C27" s="729"/>
      <c r="D27" s="730"/>
      <c r="E27" s="766"/>
      <c r="F27" s="767"/>
      <c r="G27" s="711"/>
      <c r="H27" s="800"/>
      <c r="I27" s="711"/>
      <c r="J27" s="711"/>
      <c r="K27" s="713"/>
      <c r="L27" s="362"/>
      <c r="M27" s="797"/>
      <c r="N27" s="401" t="b">
        <v>0</v>
      </c>
      <c r="O27" s="5"/>
      <c r="P27" s="363"/>
      <c r="Q27" s="713"/>
      <c r="R27" s="711"/>
      <c r="S27" s="711"/>
      <c r="T27" s="711"/>
      <c r="U27" s="711"/>
      <c r="V27" s="713">
        <f t="shared" si="2"/>
        <v>0</v>
      </c>
      <c r="W27" s="713"/>
      <c r="X27" s="362"/>
      <c r="Y27" s="364" t="s">
        <v>114</v>
      </c>
      <c r="Z27" s="5"/>
      <c r="AA27" s="5"/>
      <c r="AB27" s="358"/>
      <c r="AC27" s="713"/>
      <c r="AD27" s="713"/>
      <c r="AE27" s="358"/>
      <c r="AF27" s="713"/>
      <c r="AG27" s="713"/>
      <c r="AH27" s="355"/>
      <c r="AK27" s="108" t="s">
        <v>113</v>
      </c>
    </row>
    <row r="28" spans="1:37" s="356" customFormat="1" ht="33" hidden="1" customHeight="1" outlineLevel="2">
      <c r="A28" s="721" t="s">
        <v>759</v>
      </c>
      <c r="B28" s="733"/>
      <c r="C28" s="724" t="s">
        <v>762</v>
      </c>
      <c r="D28" s="725"/>
      <c r="E28" s="725"/>
      <c r="F28" s="726"/>
      <c r="G28" s="5"/>
      <c r="H28" s="365" t="str">
        <f t="shared" ref="H28:H50" si="3">IF(G28="","",G28/$G$57)</f>
        <v/>
      </c>
      <c r="I28" s="5"/>
      <c r="J28" s="5"/>
      <c r="K28" s="557" t="str">
        <f t="shared" ref="K28:K44" si="4">IF(SUM(I28:J28)=0,"",SUM(I28:J28))</f>
        <v/>
      </c>
      <c r="L28" s="362"/>
      <c r="M28" s="401" t="b">
        <v>0</v>
      </c>
      <c r="N28" s="401" t="b">
        <v>0</v>
      </c>
      <c r="O28" s="5"/>
      <c r="P28" s="363"/>
      <c r="Q28" s="557"/>
      <c r="R28" s="5"/>
      <c r="S28" s="5"/>
      <c r="T28" s="5"/>
      <c r="U28" s="5"/>
      <c r="V28" s="557">
        <f t="shared" ref="V28:V44" si="5">IF(M28=TRUE,SUM(Q28:U28),0)</f>
        <v>0</v>
      </c>
      <c r="W28" s="5"/>
      <c r="X28" s="362"/>
      <c r="Y28" s="364" t="s">
        <v>112</v>
      </c>
      <c r="Z28" s="5"/>
      <c r="AA28" s="5"/>
      <c r="AB28" s="358"/>
      <c r="AC28" s="5"/>
      <c r="AD28" s="5"/>
      <c r="AE28" s="358"/>
      <c r="AF28" s="557" t="str">
        <f t="shared" ref="AF28:AF44" si="6">IF(G28="","",IF(AND(V28="",Z28="",AC28=""),"Missing Info",IF(G28-V28-Z28+AC28=0,"OK","Review financial exposure")))</f>
        <v/>
      </c>
      <c r="AG28" s="557" t="str">
        <f t="shared" ref="AG28:AG44" si="7">IF(K28="","",IF(AND(W28="",AA28="",AD28=""),"Missing Info",IF(K28-W28-AA28+AD28=0,"OK","Review emissions")))</f>
        <v/>
      </c>
      <c r="AH28" s="355"/>
      <c r="AK28" s="108" t="s">
        <v>113</v>
      </c>
    </row>
    <row r="29" spans="1:37" s="356" customFormat="1" ht="68" hidden="1" customHeight="1" outlineLevel="2">
      <c r="A29" s="722"/>
      <c r="B29" s="733"/>
      <c r="C29" s="727" t="s">
        <v>761</v>
      </c>
      <c r="D29" s="728"/>
      <c r="E29" s="762" t="s">
        <v>315</v>
      </c>
      <c r="F29" s="763"/>
      <c r="G29" s="5"/>
      <c r="H29" s="365" t="str">
        <f t="shared" si="3"/>
        <v/>
      </c>
      <c r="I29" s="5"/>
      <c r="J29" s="5"/>
      <c r="K29" s="557" t="str">
        <f t="shared" si="4"/>
        <v/>
      </c>
      <c r="L29" s="362"/>
      <c r="M29" s="401" t="b">
        <v>0</v>
      </c>
      <c r="N29" s="401" t="b">
        <v>0</v>
      </c>
      <c r="O29" s="5"/>
      <c r="P29" s="363"/>
      <c r="Q29" s="557"/>
      <c r="R29" s="5"/>
      <c r="S29" s="5"/>
      <c r="T29" s="5"/>
      <c r="U29" s="5"/>
      <c r="V29" s="557">
        <f t="shared" si="5"/>
        <v>0</v>
      </c>
      <c r="W29" s="5"/>
      <c r="X29" s="362"/>
      <c r="Y29" s="364" t="s">
        <v>112</v>
      </c>
      <c r="Z29" s="5"/>
      <c r="AA29" s="5"/>
      <c r="AB29" s="358"/>
      <c r="AC29" s="5"/>
      <c r="AD29" s="5"/>
      <c r="AE29" s="358"/>
      <c r="AF29" s="557" t="str">
        <f t="shared" si="6"/>
        <v/>
      </c>
      <c r="AG29" s="557" t="str">
        <f t="shared" si="7"/>
        <v/>
      </c>
      <c r="AH29" s="355"/>
      <c r="AK29" s="108" t="s">
        <v>113</v>
      </c>
    </row>
    <row r="30" spans="1:37" s="356" customFormat="1" ht="68" hidden="1" customHeight="1" outlineLevel="2">
      <c r="A30" s="722"/>
      <c r="B30" s="733"/>
      <c r="C30" s="822"/>
      <c r="D30" s="823"/>
      <c r="E30" s="762" t="s">
        <v>316</v>
      </c>
      <c r="F30" s="763"/>
      <c r="G30" s="5"/>
      <c r="H30" s="365" t="str">
        <f t="shared" si="3"/>
        <v/>
      </c>
      <c r="I30" s="5"/>
      <c r="J30" s="5"/>
      <c r="K30" s="557" t="str">
        <f t="shared" si="4"/>
        <v/>
      </c>
      <c r="L30" s="362"/>
      <c r="M30" s="401" t="b">
        <v>0</v>
      </c>
      <c r="N30" s="401" t="b">
        <v>0</v>
      </c>
      <c r="O30" s="5"/>
      <c r="P30" s="363"/>
      <c r="Q30" s="557"/>
      <c r="R30" s="5"/>
      <c r="S30" s="5"/>
      <c r="T30" s="5"/>
      <c r="U30" s="5"/>
      <c r="V30" s="557">
        <f t="shared" si="5"/>
        <v>0</v>
      </c>
      <c r="W30" s="5"/>
      <c r="X30" s="362"/>
      <c r="Y30" s="364" t="s">
        <v>112</v>
      </c>
      <c r="Z30" s="5"/>
      <c r="AA30" s="5"/>
      <c r="AB30" s="358"/>
      <c r="AC30" s="5"/>
      <c r="AD30" s="5"/>
      <c r="AE30" s="358"/>
      <c r="AF30" s="557" t="str">
        <f t="shared" si="6"/>
        <v/>
      </c>
      <c r="AG30" s="557" t="str">
        <f t="shared" si="7"/>
        <v/>
      </c>
      <c r="AH30" s="355"/>
      <c r="AK30" s="108" t="s">
        <v>113</v>
      </c>
    </row>
    <row r="31" spans="1:37" s="356" customFormat="1" ht="33" hidden="1" customHeight="1" outlineLevel="2">
      <c r="A31" s="723"/>
      <c r="B31" s="788"/>
      <c r="C31" s="729"/>
      <c r="D31" s="730"/>
      <c r="E31" s="762" t="s">
        <v>317</v>
      </c>
      <c r="F31" s="763"/>
      <c r="G31" s="5"/>
      <c r="H31" s="365" t="str">
        <f t="shared" si="3"/>
        <v/>
      </c>
      <c r="I31" s="5"/>
      <c r="J31" s="5"/>
      <c r="K31" s="557" t="str">
        <f t="shared" si="4"/>
        <v/>
      </c>
      <c r="L31" s="362"/>
      <c r="M31" s="401" t="b">
        <v>0</v>
      </c>
      <c r="N31" s="401" t="b">
        <v>0</v>
      </c>
      <c r="O31" s="5"/>
      <c r="P31" s="363"/>
      <c r="Q31" s="557"/>
      <c r="R31" s="5"/>
      <c r="S31" s="5"/>
      <c r="T31" s="5"/>
      <c r="U31" s="5"/>
      <c r="V31" s="557">
        <f t="shared" si="5"/>
        <v>0</v>
      </c>
      <c r="W31" s="5"/>
      <c r="X31" s="362"/>
      <c r="Y31" s="364" t="s">
        <v>112</v>
      </c>
      <c r="Z31" s="5"/>
      <c r="AA31" s="5"/>
      <c r="AB31" s="358"/>
      <c r="AC31" s="5"/>
      <c r="AD31" s="5"/>
      <c r="AE31" s="358"/>
      <c r="AF31" s="557" t="str">
        <f t="shared" si="6"/>
        <v/>
      </c>
      <c r="AG31" s="557" t="str">
        <f t="shared" si="7"/>
        <v/>
      </c>
      <c r="AH31" s="355"/>
      <c r="AK31" s="108" t="s">
        <v>113</v>
      </c>
    </row>
    <row r="32" spans="1:37" s="356" customFormat="1" ht="33" hidden="1" customHeight="1" outlineLevel="2">
      <c r="A32" s="721" t="s">
        <v>118</v>
      </c>
      <c r="B32" s="732" t="s">
        <v>119</v>
      </c>
      <c r="C32" s="724" t="s">
        <v>120</v>
      </c>
      <c r="D32" s="725"/>
      <c r="E32" s="725"/>
      <c r="F32" s="726"/>
      <c r="G32" s="5"/>
      <c r="H32" s="365" t="str">
        <f t="shared" si="3"/>
        <v/>
      </c>
      <c r="I32" s="5"/>
      <c r="J32" s="5"/>
      <c r="K32" s="557" t="str">
        <f t="shared" si="4"/>
        <v/>
      </c>
      <c r="L32" s="362"/>
      <c r="M32" s="401" t="b">
        <v>0</v>
      </c>
      <c r="N32" s="366"/>
      <c r="O32" s="5"/>
      <c r="P32" s="363"/>
      <c r="Q32" s="557"/>
      <c r="R32" s="5"/>
      <c r="S32" s="5"/>
      <c r="T32" s="5"/>
      <c r="U32" s="5"/>
      <c r="V32" s="557">
        <f t="shared" si="5"/>
        <v>0</v>
      </c>
      <c r="W32" s="5"/>
      <c r="X32" s="362"/>
      <c r="Y32" s="557"/>
      <c r="Z32" s="557"/>
      <c r="AA32" s="557"/>
      <c r="AB32" s="358"/>
      <c r="AC32" s="557"/>
      <c r="AD32" s="557"/>
      <c r="AE32" s="358"/>
      <c r="AF32" s="557" t="str">
        <f t="shared" si="6"/>
        <v/>
      </c>
      <c r="AG32" s="557" t="str">
        <f t="shared" si="7"/>
        <v/>
      </c>
      <c r="AH32" s="355"/>
      <c r="AK32" s="108" t="s">
        <v>121</v>
      </c>
    </row>
    <row r="33" spans="1:37" s="356" customFormat="1" ht="80" hidden="1" customHeight="1" outlineLevel="2">
      <c r="A33" s="722"/>
      <c r="B33" s="733"/>
      <c r="C33" s="756" t="s">
        <v>122</v>
      </c>
      <c r="D33" s="757"/>
      <c r="E33" s="762" t="s">
        <v>318</v>
      </c>
      <c r="F33" s="763"/>
      <c r="G33" s="5"/>
      <c r="H33" s="365" t="str">
        <f t="shared" si="3"/>
        <v/>
      </c>
      <c r="I33" s="5"/>
      <c r="J33" s="5"/>
      <c r="K33" s="557" t="str">
        <f t="shared" si="4"/>
        <v/>
      </c>
      <c r="L33" s="362"/>
      <c r="M33" s="401" t="b">
        <v>0</v>
      </c>
      <c r="N33" s="366"/>
      <c r="O33" s="5"/>
      <c r="P33" s="363"/>
      <c r="Q33" s="557"/>
      <c r="R33" s="5"/>
      <c r="S33" s="5"/>
      <c r="T33" s="5"/>
      <c r="U33" s="5"/>
      <c r="V33" s="557">
        <f t="shared" si="5"/>
        <v>0</v>
      </c>
      <c r="W33" s="5"/>
      <c r="X33" s="362"/>
      <c r="Y33" s="557"/>
      <c r="Z33" s="557"/>
      <c r="AA33" s="557"/>
      <c r="AB33" s="358"/>
      <c r="AC33" s="557"/>
      <c r="AD33" s="557"/>
      <c r="AE33" s="358"/>
      <c r="AF33" s="557" t="str">
        <f t="shared" si="6"/>
        <v/>
      </c>
      <c r="AG33" s="557" t="str">
        <f t="shared" si="7"/>
        <v/>
      </c>
      <c r="AH33" s="355"/>
      <c r="AK33" s="108" t="s">
        <v>121</v>
      </c>
    </row>
    <row r="34" spans="1:37" s="356" customFormat="1" ht="80" hidden="1" customHeight="1" outlineLevel="2">
      <c r="A34" s="722"/>
      <c r="B34" s="733"/>
      <c r="C34" s="758"/>
      <c r="D34" s="759"/>
      <c r="E34" s="762" t="s">
        <v>319</v>
      </c>
      <c r="F34" s="763"/>
      <c r="G34" s="5"/>
      <c r="H34" s="365" t="str">
        <f t="shared" si="3"/>
        <v/>
      </c>
      <c r="I34" s="5"/>
      <c r="J34" s="5"/>
      <c r="K34" s="557" t="str">
        <f t="shared" si="4"/>
        <v/>
      </c>
      <c r="L34" s="362"/>
      <c r="M34" s="401" t="b">
        <v>0</v>
      </c>
      <c r="N34" s="366"/>
      <c r="O34" s="5"/>
      <c r="P34" s="363"/>
      <c r="Q34" s="557"/>
      <c r="R34" s="5"/>
      <c r="S34" s="5"/>
      <c r="T34" s="5"/>
      <c r="U34" s="5"/>
      <c r="V34" s="557">
        <f t="shared" si="5"/>
        <v>0</v>
      </c>
      <c r="W34" s="5"/>
      <c r="X34" s="362"/>
      <c r="Y34" s="557"/>
      <c r="Z34" s="557"/>
      <c r="AA34" s="557"/>
      <c r="AB34" s="358"/>
      <c r="AC34" s="557"/>
      <c r="AD34" s="557"/>
      <c r="AE34" s="358"/>
      <c r="AF34" s="557" t="str">
        <f t="shared" si="6"/>
        <v/>
      </c>
      <c r="AG34" s="557" t="str">
        <f t="shared" si="7"/>
        <v/>
      </c>
      <c r="AH34" s="355"/>
      <c r="AK34" s="108" t="s">
        <v>121</v>
      </c>
    </row>
    <row r="35" spans="1:37" s="356" customFormat="1" ht="33" hidden="1" customHeight="1" outlineLevel="2">
      <c r="A35" s="722"/>
      <c r="B35" s="733"/>
      <c r="C35" s="758"/>
      <c r="D35" s="759"/>
      <c r="E35" s="762" t="s">
        <v>320</v>
      </c>
      <c r="F35" s="763"/>
      <c r="G35" s="5"/>
      <c r="H35" s="365" t="str">
        <f t="shared" si="3"/>
        <v/>
      </c>
      <c r="I35" s="5"/>
      <c r="J35" s="5"/>
      <c r="K35" s="557" t="str">
        <f t="shared" si="4"/>
        <v/>
      </c>
      <c r="L35" s="362"/>
      <c r="M35" s="401" t="b">
        <v>0</v>
      </c>
      <c r="N35" s="366"/>
      <c r="O35" s="5"/>
      <c r="P35" s="363"/>
      <c r="Q35" s="557"/>
      <c r="R35" s="5"/>
      <c r="S35" s="5"/>
      <c r="T35" s="5"/>
      <c r="U35" s="5"/>
      <c r="V35" s="557">
        <f t="shared" si="5"/>
        <v>0</v>
      </c>
      <c r="W35" s="5"/>
      <c r="X35" s="362"/>
      <c r="Y35" s="557"/>
      <c r="Z35" s="557"/>
      <c r="AA35" s="557"/>
      <c r="AB35" s="358"/>
      <c r="AC35" s="557"/>
      <c r="AD35" s="557"/>
      <c r="AE35" s="358"/>
      <c r="AF35" s="557" t="str">
        <f t="shared" si="6"/>
        <v/>
      </c>
      <c r="AG35" s="557" t="str">
        <f t="shared" si="7"/>
        <v/>
      </c>
      <c r="AH35" s="355"/>
      <c r="AK35" s="108" t="s">
        <v>121</v>
      </c>
    </row>
    <row r="36" spans="1:37" s="356" customFormat="1" ht="33" hidden="1" customHeight="1" outlineLevel="2">
      <c r="A36" s="723"/>
      <c r="B36" s="788"/>
      <c r="C36" s="760"/>
      <c r="D36" s="761"/>
      <c r="E36" s="762" t="s">
        <v>321</v>
      </c>
      <c r="F36" s="763"/>
      <c r="G36" s="5"/>
      <c r="H36" s="365" t="str">
        <f t="shared" si="3"/>
        <v/>
      </c>
      <c r="I36" s="5"/>
      <c r="J36" s="5"/>
      <c r="K36" s="557" t="str">
        <f t="shared" si="4"/>
        <v/>
      </c>
      <c r="L36" s="362"/>
      <c r="M36" s="401" t="b">
        <v>0</v>
      </c>
      <c r="N36" s="366"/>
      <c r="O36" s="5"/>
      <c r="P36" s="363"/>
      <c r="Q36" s="557"/>
      <c r="R36" s="5"/>
      <c r="S36" s="5"/>
      <c r="T36" s="5"/>
      <c r="U36" s="5"/>
      <c r="V36" s="557">
        <f t="shared" si="5"/>
        <v>0</v>
      </c>
      <c r="W36" s="5"/>
      <c r="X36" s="362"/>
      <c r="Y36" s="557"/>
      <c r="Z36" s="557"/>
      <c r="AA36" s="557"/>
      <c r="AB36" s="358"/>
      <c r="AC36" s="557"/>
      <c r="AD36" s="557"/>
      <c r="AE36" s="358"/>
      <c r="AF36" s="557" t="str">
        <f t="shared" si="6"/>
        <v/>
      </c>
      <c r="AG36" s="557" t="str">
        <f t="shared" si="7"/>
        <v/>
      </c>
      <c r="AH36" s="355"/>
      <c r="AK36" s="108" t="s">
        <v>121</v>
      </c>
    </row>
    <row r="37" spans="1:37" s="356" customFormat="1" ht="33" hidden="1" customHeight="1" outlineLevel="2">
      <c r="A37" s="721" t="s">
        <v>127</v>
      </c>
      <c r="B37" s="732" t="s">
        <v>128</v>
      </c>
      <c r="C37" s="724" t="s">
        <v>129</v>
      </c>
      <c r="D37" s="725"/>
      <c r="E37" s="725"/>
      <c r="F37" s="726"/>
      <c r="G37" s="5"/>
      <c r="H37" s="365" t="str">
        <f t="shared" si="3"/>
        <v/>
      </c>
      <c r="I37" s="5"/>
      <c r="J37" s="5"/>
      <c r="K37" s="557" t="str">
        <f t="shared" si="4"/>
        <v/>
      </c>
      <c r="L37" s="362"/>
      <c r="M37" s="401" t="b">
        <v>0</v>
      </c>
      <c r="N37" s="366"/>
      <c r="O37" s="5"/>
      <c r="P37" s="363"/>
      <c r="Q37" s="5"/>
      <c r="R37" s="5"/>
      <c r="S37" s="5"/>
      <c r="T37" s="5"/>
      <c r="U37" s="5"/>
      <c r="V37" s="557">
        <f t="shared" si="5"/>
        <v>0</v>
      </c>
      <c r="W37" s="5"/>
      <c r="X37" s="362"/>
      <c r="Y37" s="557"/>
      <c r="Z37" s="557"/>
      <c r="AA37" s="557"/>
      <c r="AB37" s="358"/>
      <c r="AC37" s="557"/>
      <c r="AD37" s="557"/>
      <c r="AE37" s="358"/>
      <c r="AF37" s="557" t="str">
        <f t="shared" si="6"/>
        <v/>
      </c>
      <c r="AG37" s="557" t="str">
        <f t="shared" si="7"/>
        <v/>
      </c>
      <c r="AH37" s="355"/>
      <c r="AK37" s="108" t="s">
        <v>130</v>
      </c>
    </row>
    <row r="38" spans="1:37" s="356" customFormat="1" ht="64.25" hidden="1" customHeight="1" outlineLevel="2">
      <c r="A38" s="722"/>
      <c r="B38" s="733"/>
      <c r="C38" s="746" t="s">
        <v>122</v>
      </c>
      <c r="D38" s="747"/>
      <c r="E38" s="762" t="s">
        <v>322</v>
      </c>
      <c r="F38" s="763"/>
      <c r="G38" s="5"/>
      <c r="H38" s="365" t="str">
        <f t="shared" si="3"/>
        <v/>
      </c>
      <c r="I38" s="5"/>
      <c r="J38" s="5"/>
      <c r="K38" s="557" t="str">
        <f t="shared" si="4"/>
        <v/>
      </c>
      <c r="L38" s="362"/>
      <c r="M38" s="401" t="b">
        <v>0</v>
      </c>
      <c r="N38" s="366"/>
      <c r="O38" s="5"/>
      <c r="P38" s="363"/>
      <c r="Q38" s="5"/>
      <c r="R38" s="5"/>
      <c r="S38" s="5"/>
      <c r="T38" s="5"/>
      <c r="U38" s="5"/>
      <c r="V38" s="557">
        <f t="shared" si="5"/>
        <v>0</v>
      </c>
      <c r="W38" s="5"/>
      <c r="X38" s="362"/>
      <c r="Y38" s="557"/>
      <c r="Z38" s="557"/>
      <c r="AA38" s="557"/>
      <c r="AB38" s="358"/>
      <c r="AC38" s="557"/>
      <c r="AD38" s="557"/>
      <c r="AE38" s="358"/>
      <c r="AF38" s="557" t="str">
        <f t="shared" si="6"/>
        <v/>
      </c>
      <c r="AG38" s="557" t="str">
        <f t="shared" si="7"/>
        <v/>
      </c>
      <c r="AH38" s="355"/>
      <c r="AK38" s="108" t="s">
        <v>130</v>
      </c>
    </row>
    <row r="39" spans="1:37" s="356" customFormat="1" ht="64.25" hidden="1" customHeight="1" outlineLevel="2">
      <c r="A39" s="722"/>
      <c r="B39" s="733"/>
      <c r="C39" s="830"/>
      <c r="D39" s="831"/>
      <c r="E39" s="762" t="s">
        <v>323</v>
      </c>
      <c r="F39" s="763"/>
      <c r="G39" s="5"/>
      <c r="H39" s="365" t="str">
        <f t="shared" si="3"/>
        <v/>
      </c>
      <c r="I39" s="5"/>
      <c r="J39" s="5"/>
      <c r="K39" s="557" t="str">
        <f t="shared" si="4"/>
        <v/>
      </c>
      <c r="L39" s="362"/>
      <c r="M39" s="401" t="b">
        <v>0</v>
      </c>
      <c r="N39" s="366"/>
      <c r="O39" s="5"/>
      <c r="P39" s="363"/>
      <c r="Q39" s="5"/>
      <c r="R39" s="5"/>
      <c r="S39" s="5"/>
      <c r="T39" s="5"/>
      <c r="U39" s="5"/>
      <c r="V39" s="557">
        <f t="shared" si="5"/>
        <v>0</v>
      </c>
      <c r="W39" s="5"/>
      <c r="X39" s="362"/>
      <c r="Y39" s="557"/>
      <c r="Z39" s="557"/>
      <c r="AA39" s="557"/>
      <c r="AB39" s="358"/>
      <c r="AC39" s="557"/>
      <c r="AD39" s="557"/>
      <c r="AE39" s="358"/>
      <c r="AF39" s="557" t="str">
        <f t="shared" si="6"/>
        <v/>
      </c>
      <c r="AG39" s="557" t="str">
        <f t="shared" si="7"/>
        <v/>
      </c>
      <c r="AH39" s="355"/>
      <c r="AK39" s="108" t="s">
        <v>130</v>
      </c>
    </row>
    <row r="40" spans="1:37" s="356" customFormat="1" ht="33" hidden="1" customHeight="1" outlineLevel="2">
      <c r="A40" s="723"/>
      <c r="B40" s="788"/>
      <c r="C40" s="748"/>
      <c r="D40" s="749"/>
      <c r="E40" s="762" t="s">
        <v>324</v>
      </c>
      <c r="F40" s="763"/>
      <c r="G40" s="5"/>
      <c r="H40" s="365" t="str">
        <f t="shared" si="3"/>
        <v/>
      </c>
      <c r="I40" s="5"/>
      <c r="J40" s="5"/>
      <c r="K40" s="557" t="str">
        <f t="shared" si="4"/>
        <v/>
      </c>
      <c r="L40" s="362"/>
      <c r="M40" s="401" t="b">
        <v>0</v>
      </c>
      <c r="N40" s="366"/>
      <c r="O40" s="5"/>
      <c r="P40" s="363"/>
      <c r="Q40" s="5"/>
      <c r="R40" s="5"/>
      <c r="S40" s="5"/>
      <c r="T40" s="5"/>
      <c r="U40" s="5"/>
      <c r="V40" s="557">
        <f t="shared" si="5"/>
        <v>0</v>
      </c>
      <c r="W40" s="5"/>
      <c r="X40" s="362"/>
      <c r="Y40" s="557"/>
      <c r="Z40" s="557"/>
      <c r="AA40" s="557"/>
      <c r="AB40" s="358"/>
      <c r="AC40" s="557"/>
      <c r="AD40" s="557"/>
      <c r="AE40" s="358"/>
      <c r="AF40" s="557" t="str">
        <f t="shared" si="6"/>
        <v/>
      </c>
      <c r="AG40" s="557" t="str">
        <f t="shared" si="7"/>
        <v/>
      </c>
      <c r="AH40" s="355"/>
      <c r="AK40" s="108" t="s">
        <v>130</v>
      </c>
    </row>
    <row r="41" spans="1:37" s="356" customFormat="1" ht="33" hidden="1" customHeight="1" outlineLevel="2">
      <c r="A41" s="721" t="s">
        <v>133</v>
      </c>
      <c r="B41" s="732" t="s">
        <v>134</v>
      </c>
      <c r="C41" s="724" t="s">
        <v>135</v>
      </c>
      <c r="D41" s="725"/>
      <c r="E41" s="725"/>
      <c r="F41" s="726"/>
      <c r="G41" s="5"/>
      <c r="H41" s="365" t="str">
        <f t="shared" si="3"/>
        <v/>
      </c>
      <c r="I41" s="5"/>
      <c r="J41" s="5"/>
      <c r="K41" s="557" t="str">
        <f t="shared" si="4"/>
        <v/>
      </c>
      <c r="L41" s="362"/>
      <c r="M41" s="401" t="b">
        <v>0</v>
      </c>
      <c r="N41" s="366"/>
      <c r="O41" s="5"/>
      <c r="P41" s="363"/>
      <c r="Q41" s="5"/>
      <c r="R41" s="5"/>
      <c r="S41" s="5"/>
      <c r="T41" s="5"/>
      <c r="U41" s="5"/>
      <c r="V41" s="557">
        <f t="shared" si="5"/>
        <v>0</v>
      </c>
      <c r="W41" s="5"/>
      <c r="X41" s="362"/>
      <c r="Y41" s="557"/>
      <c r="Z41" s="557"/>
      <c r="AA41" s="557"/>
      <c r="AB41" s="358"/>
      <c r="AC41" s="557"/>
      <c r="AD41" s="557"/>
      <c r="AE41" s="358"/>
      <c r="AF41" s="557" t="str">
        <f t="shared" si="6"/>
        <v/>
      </c>
      <c r="AG41" s="557" t="str">
        <f t="shared" si="7"/>
        <v/>
      </c>
      <c r="AH41" s="355"/>
      <c r="AK41" s="108" t="s">
        <v>136</v>
      </c>
    </row>
    <row r="42" spans="1:37" s="356" customFormat="1" ht="33" hidden="1" customHeight="1" outlineLevel="2">
      <c r="A42" s="722"/>
      <c r="B42" s="733"/>
      <c r="C42" s="756" t="s">
        <v>122</v>
      </c>
      <c r="D42" s="757"/>
      <c r="E42" s="762" t="s">
        <v>325</v>
      </c>
      <c r="F42" s="763"/>
      <c r="G42" s="5"/>
      <c r="H42" s="365" t="str">
        <f t="shared" si="3"/>
        <v/>
      </c>
      <c r="I42" s="5"/>
      <c r="J42" s="5"/>
      <c r="K42" s="557" t="str">
        <f t="shared" si="4"/>
        <v/>
      </c>
      <c r="L42" s="362"/>
      <c r="M42" s="401" t="b">
        <v>0</v>
      </c>
      <c r="N42" s="366"/>
      <c r="O42" s="5"/>
      <c r="P42" s="363"/>
      <c r="Q42" s="5"/>
      <c r="R42" s="5"/>
      <c r="S42" s="5"/>
      <c r="T42" s="5"/>
      <c r="U42" s="5"/>
      <c r="V42" s="557">
        <f t="shared" si="5"/>
        <v>0</v>
      </c>
      <c r="W42" s="5"/>
      <c r="X42" s="362"/>
      <c r="Y42" s="557"/>
      <c r="Z42" s="557"/>
      <c r="AA42" s="557"/>
      <c r="AB42" s="358"/>
      <c r="AC42" s="557"/>
      <c r="AD42" s="557"/>
      <c r="AE42" s="358"/>
      <c r="AF42" s="557" t="str">
        <f t="shared" si="6"/>
        <v/>
      </c>
      <c r="AG42" s="557" t="str">
        <f t="shared" si="7"/>
        <v/>
      </c>
      <c r="AH42" s="355"/>
      <c r="AK42" s="108" t="s">
        <v>136</v>
      </c>
    </row>
    <row r="43" spans="1:37" s="356" customFormat="1" ht="59" hidden="1" customHeight="1" outlineLevel="2">
      <c r="A43" s="722"/>
      <c r="B43" s="733"/>
      <c r="C43" s="758"/>
      <c r="D43" s="759"/>
      <c r="E43" s="762" t="s">
        <v>326</v>
      </c>
      <c r="F43" s="763"/>
      <c r="G43" s="5"/>
      <c r="H43" s="365" t="str">
        <f t="shared" si="3"/>
        <v/>
      </c>
      <c r="I43" s="5"/>
      <c r="J43" s="5"/>
      <c r="K43" s="557" t="str">
        <f t="shared" si="4"/>
        <v/>
      </c>
      <c r="L43" s="362"/>
      <c r="M43" s="401" t="b">
        <v>0</v>
      </c>
      <c r="N43" s="366"/>
      <c r="O43" s="5"/>
      <c r="P43" s="363"/>
      <c r="Q43" s="5"/>
      <c r="R43" s="5"/>
      <c r="S43" s="5"/>
      <c r="T43" s="5"/>
      <c r="U43" s="5"/>
      <c r="V43" s="557">
        <f t="shared" si="5"/>
        <v>0</v>
      </c>
      <c r="W43" s="5"/>
      <c r="X43" s="362"/>
      <c r="Y43" s="557"/>
      <c r="Z43" s="557"/>
      <c r="AA43" s="557"/>
      <c r="AB43" s="358"/>
      <c r="AC43" s="557"/>
      <c r="AD43" s="557"/>
      <c r="AE43" s="358"/>
      <c r="AF43" s="557" t="str">
        <f t="shared" si="6"/>
        <v/>
      </c>
      <c r="AG43" s="557" t="str">
        <f t="shared" si="7"/>
        <v/>
      </c>
      <c r="AH43" s="355"/>
      <c r="AK43" s="108" t="s">
        <v>136</v>
      </c>
    </row>
    <row r="44" spans="1:37" s="356" customFormat="1" ht="33" hidden="1" customHeight="1" outlineLevel="2">
      <c r="A44" s="723"/>
      <c r="B44" s="788"/>
      <c r="C44" s="760"/>
      <c r="D44" s="761"/>
      <c r="E44" s="762" t="s">
        <v>327</v>
      </c>
      <c r="F44" s="763"/>
      <c r="G44" s="5"/>
      <c r="H44" s="365" t="str">
        <f t="shared" si="3"/>
        <v/>
      </c>
      <c r="I44" s="5"/>
      <c r="J44" s="5"/>
      <c r="K44" s="557" t="str">
        <f t="shared" si="4"/>
        <v/>
      </c>
      <c r="L44" s="362"/>
      <c r="M44" s="401" t="b">
        <v>0</v>
      </c>
      <c r="N44" s="366"/>
      <c r="O44" s="5"/>
      <c r="P44" s="363"/>
      <c r="Q44" s="5"/>
      <c r="R44" s="5"/>
      <c r="S44" s="5"/>
      <c r="T44" s="5"/>
      <c r="U44" s="5"/>
      <c r="V44" s="557">
        <f t="shared" si="5"/>
        <v>0</v>
      </c>
      <c r="W44" s="5"/>
      <c r="X44" s="362"/>
      <c r="Y44" s="557"/>
      <c r="Z44" s="557"/>
      <c r="AA44" s="557"/>
      <c r="AB44" s="358"/>
      <c r="AC44" s="557"/>
      <c r="AD44" s="557"/>
      <c r="AE44" s="358"/>
      <c r="AF44" s="557" t="str">
        <f t="shared" si="6"/>
        <v/>
      </c>
      <c r="AG44" s="557" t="str">
        <f t="shared" si="7"/>
        <v/>
      </c>
      <c r="AH44" s="355"/>
      <c r="AK44" s="108" t="s">
        <v>136</v>
      </c>
    </row>
    <row r="45" spans="1:37" s="356" customFormat="1" ht="54" hidden="1" customHeight="1" outlineLevel="2">
      <c r="A45" s="752"/>
      <c r="B45" s="732" t="s">
        <v>142</v>
      </c>
      <c r="C45" s="762" t="s">
        <v>328</v>
      </c>
      <c r="D45" s="832"/>
      <c r="E45" s="832"/>
      <c r="F45" s="832"/>
      <c r="G45" s="4"/>
      <c r="H45" s="365" t="str">
        <f t="shared" si="3"/>
        <v/>
      </c>
      <c r="I45" s="557"/>
      <c r="J45" s="557"/>
      <c r="K45" s="557"/>
      <c r="L45" s="367"/>
      <c r="M45" s="557"/>
      <c r="N45" s="557"/>
      <c r="O45" s="557"/>
      <c r="P45" s="368"/>
      <c r="Q45" s="557"/>
      <c r="R45" s="557"/>
      <c r="S45" s="557"/>
      <c r="T45" s="557"/>
      <c r="U45" s="557"/>
      <c r="V45" s="557"/>
      <c r="W45" s="557"/>
      <c r="X45" s="574"/>
      <c r="Y45" s="557"/>
      <c r="Z45" s="557"/>
      <c r="AA45" s="557"/>
      <c r="AB45" s="358"/>
      <c r="AC45" s="557"/>
      <c r="AD45" s="557"/>
      <c r="AE45" s="358"/>
      <c r="AF45" s="557"/>
      <c r="AG45" s="557"/>
      <c r="AH45" s="355"/>
      <c r="AK45" s="108"/>
    </row>
    <row r="46" spans="1:37" s="356" customFormat="1" ht="54" hidden="1" customHeight="1" outlineLevel="2">
      <c r="A46" s="753"/>
      <c r="B46" s="733"/>
      <c r="C46" s="762" t="s">
        <v>329</v>
      </c>
      <c r="D46" s="832"/>
      <c r="E46" s="832"/>
      <c r="F46" s="832"/>
      <c r="G46" s="4"/>
      <c r="H46" s="365" t="str">
        <f t="shared" si="3"/>
        <v/>
      </c>
      <c r="I46" s="557"/>
      <c r="J46" s="557"/>
      <c r="K46" s="557"/>
      <c r="L46" s="367"/>
      <c r="M46" s="557"/>
      <c r="N46" s="557"/>
      <c r="O46" s="557"/>
      <c r="P46" s="368"/>
      <c r="Q46" s="557"/>
      <c r="R46" s="557"/>
      <c r="S46" s="557"/>
      <c r="T46" s="557"/>
      <c r="U46" s="557"/>
      <c r="V46" s="557"/>
      <c r="W46" s="557"/>
      <c r="X46" s="574"/>
      <c r="Y46" s="557"/>
      <c r="Z46" s="557"/>
      <c r="AA46" s="557"/>
      <c r="AB46" s="358"/>
      <c r="AC46" s="557"/>
      <c r="AD46" s="557"/>
      <c r="AE46" s="358"/>
      <c r="AF46" s="557"/>
      <c r="AG46" s="557"/>
      <c r="AH46" s="355"/>
      <c r="AK46" s="108"/>
    </row>
    <row r="47" spans="1:37" s="356" customFormat="1" ht="54" hidden="1" customHeight="1" outlineLevel="2">
      <c r="A47" s="753"/>
      <c r="B47" s="733"/>
      <c r="C47" s="762" t="s">
        <v>330</v>
      </c>
      <c r="D47" s="832"/>
      <c r="E47" s="832"/>
      <c r="F47" s="832"/>
      <c r="G47" s="4"/>
      <c r="H47" s="365" t="str">
        <f t="shared" si="3"/>
        <v/>
      </c>
      <c r="I47" s="557"/>
      <c r="J47" s="557"/>
      <c r="K47" s="557"/>
      <c r="L47" s="367"/>
      <c r="M47" s="557"/>
      <c r="N47" s="557"/>
      <c r="O47" s="557"/>
      <c r="P47" s="368"/>
      <c r="Q47" s="557"/>
      <c r="R47" s="557"/>
      <c r="S47" s="557"/>
      <c r="T47" s="557"/>
      <c r="U47" s="557"/>
      <c r="V47" s="557"/>
      <c r="W47" s="557"/>
      <c r="X47" s="574"/>
      <c r="Y47" s="557"/>
      <c r="Z47" s="557"/>
      <c r="AA47" s="557"/>
      <c r="AB47" s="358"/>
      <c r="AC47" s="557"/>
      <c r="AD47" s="557"/>
      <c r="AE47" s="358"/>
      <c r="AF47" s="557"/>
      <c r="AG47" s="557"/>
      <c r="AH47" s="355"/>
    </row>
    <row r="48" spans="1:37" s="356" customFormat="1" ht="54" hidden="1" customHeight="1" outlineLevel="2">
      <c r="A48" s="753"/>
      <c r="B48" s="733"/>
      <c r="C48" s="762" t="s">
        <v>331</v>
      </c>
      <c r="D48" s="832"/>
      <c r="E48" s="832"/>
      <c r="F48" s="763"/>
      <c r="G48" s="4"/>
      <c r="H48" s="365" t="str">
        <f t="shared" si="3"/>
        <v/>
      </c>
      <c r="I48" s="557"/>
      <c r="J48" s="557"/>
      <c r="K48" s="557"/>
      <c r="L48" s="367"/>
      <c r="M48" s="557"/>
      <c r="N48" s="557"/>
      <c r="O48" s="557"/>
      <c r="P48" s="368"/>
      <c r="Q48" s="557"/>
      <c r="R48" s="557"/>
      <c r="S48" s="557"/>
      <c r="T48" s="557"/>
      <c r="U48" s="557"/>
      <c r="V48" s="557"/>
      <c r="W48" s="557"/>
      <c r="X48" s="574"/>
      <c r="Y48" s="557"/>
      <c r="Z48" s="557"/>
      <c r="AA48" s="557"/>
      <c r="AB48" s="358"/>
      <c r="AC48" s="557"/>
      <c r="AD48" s="557"/>
      <c r="AE48" s="358"/>
      <c r="AF48" s="557"/>
      <c r="AG48" s="557"/>
      <c r="AH48" s="355"/>
    </row>
    <row r="49" spans="1:34" s="356" customFormat="1" ht="54" hidden="1" customHeight="1" outlineLevel="2">
      <c r="A49" s="753"/>
      <c r="B49" s="733"/>
      <c r="C49" s="762" t="s">
        <v>332</v>
      </c>
      <c r="D49" s="832"/>
      <c r="E49" s="832"/>
      <c r="F49" s="763"/>
      <c r="G49" s="4"/>
      <c r="H49" s="365" t="str">
        <f t="shared" si="3"/>
        <v/>
      </c>
      <c r="I49" s="557"/>
      <c r="J49" s="557"/>
      <c r="K49" s="557"/>
      <c r="L49" s="367"/>
      <c r="M49" s="557"/>
      <c r="N49" s="557"/>
      <c r="O49" s="557"/>
      <c r="P49" s="368"/>
      <c r="Q49" s="557"/>
      <c r="R49" s="557"/>
      <c r="S49" s="557"/>
      <c r="T49" s="557"/>
      <c r="U49" s="557"/>
      <c r="V49" s="557"/>
      <c r="W49" s="557"/>
      <c r="X49" s="574"/>
      <c r="Y49" s="557"/>
      <c r="Z49" s="557"/>
      <c r="AA49" s="557"/>
      <c r="AB49" s="358"/>
      <c r="AC49" s="557"/>
      <c r="AD49" s="557"/>
      <c r="AE49" s="358"/>
      <c r="AF49" s="557"/>
      <c r="AG49" s="557"/>
      <c r="AH49" s="355"/>
    </row>
    <row r="50" spans="1:34" s="356" customFormat="1" ht="54" hidden="1" customHeight="1" outlineLevel="2">
      <c r="A50" s="753"/>
      <c r="B50" s="733"/>
      <c r="C50" s="762" t="s">
        <v>333</v>
      </c>
      <c r="D50" s="832"/>
      <c r="E50" s="832"/>
      <c r="F50" s="763"/>
      <c r="G50" s="4"/>
      <c r="H50" s="365" t="str">
        <f t="shared" si="3"/>
        <v/>
      </c>
      <c r="I50" s="557"/>
      <c r="J50" s="557"/>
      <c r="K50" s="557"/>
      <c r="L50" s="367"/>
      <c r="M50" s="557"/>
      <c r="N50" s="557"/>
      <c r="O50" s="557"/>
      <c r="P50" s="368"/>
      <c r="Q50" s="557"/>
      <c r="R50" s="557"/>
      <c r="S50" s="557"/>
      <c r="T50" s="557"/>
      <c r="U50" s="557"/>
      <c r="V50" s="557"/>
      <c r="W50" s="557"/>
      <c r="X50" s="574"/>
      <c r="Y50" s="557"/>
      <c r="Z50" s="557"/>
      <c r="AA50" s="557"/>
      <c r="AB50" s="358"/>
      <c r="AC50" s="557"/>
      <c r="AD50" s="557"/>
      <c r="AE50" s="358"/>
      <c r="AF50" s="557"/>
      <c r="AG50" s="557"/>
      <c r="AH50" s="355"/>
    </row>
    <row r="51" spans="1:34" s="356" customFormat="1" ht="54" hidden="1" customHeight="1" outlineLevel="2">
      <c r="A51" s="753"/>
      <c r="B51" s="733"/>
      <c r="C51" s="762" t="s">
        <v>334</v>
      </c>
      <c r="D51" s="832"/>
      <c r="E51" s="832"/>
      <c r="F51" s="832"/>
      <c r="G51" s="4"/>
      <c r="H51" s="365"/>
      <c r="I51" s="557"/>
      <c r="J51" s="557"/>
      <c r="K51" s="557"/>
      <c r="L51" s="367"/>
      <c r="M51" s="557"/>
      <c r="N51" s="557"/>
      <c r="O51" s="557"/>
      <c r="P51" s="368"/>
      <c r="Q51" s="557"/>
      <c r="R51" s="557"/>
      <c r="S51" s="557"/>
      <c r="T51" s="557"/>
      <c r="U51" s="557"/>
      <c r="V51" s="557"/>
      <c r="W51" s="557"/>
      <c r="X51" s="574"/>
      <c r="Y51" s="557"/>
      <c r="Z51" s="557"/>
      <c r="AA51" s="557"/>
      <c r="AB51" s="358"/>
      <c r="AC51" s="557"/>
      <c r="AD51" s="557"/>
      <c r="AE51" s="358"/>
      <c r="AF51" s="557"/>
      <c r="AG51" s="557"/>
      <c r="AH51" s="355"/>
    </row>
    <row r="52" spans="1:34" s="356" customFormat="1" ht="54" hidden="1" customHeight="1" outlineLevel="2">
      <c r="A52" s="753"/>
      <c r="B52" s="788"/>
      <c r="C52" s="818" t="s">
        <v>147</v>
      </c>
      <c r="D52" s="819"/>
      <c r="E52" s="819"/>
      <c r="F52" s="819"/>
      <c r="G52" s="4"/>
      <c r="H52" s="365" t="str">
        <f>IF(G52="","",G52/$G$57)</f>
        <v/>
      </c>
      <c r="I52" s="557"/>
      <c r="J52" s="557"/>
      <c r="K52" s="557"/>
      <c r="L52" s="367"/>
      <c r="M52" s="557"/>
      <c r="N52" s="557"/>
      <c r="O52" s="557"/>
      <c r="P52" s="368"/>
      <c r="Q52" s="557"/>
      <c r="R52" s="557"/>
      <c r="S52" s="557"/>
      <c r="T52" s="557"/>
      <c r="U52" s="557"/>
      <c r="V52" s="557"/>
      <c r="W52" s="557"/>
      <c r="X52" s="574"/>
      <c r="Y52" s="557"/>
      <c r="Z52" s="557"/>
      <c r="AA52" s="557"/>
      <c r="AB52" s="358"/>
      <c r="AC52" s="557"/>
      <c r="AD52" s="557"/>
      <c r="AE52" s="358"/>
      <c r="AF52" s="557"/>
      <c r="AG52" s="557"/>
      <c r="AH52" s="355"/>
    </row>
    <row r="53" spans="1:34" s="356" customFormat="1" hidden="1" outlineLevel="1">
      <c r="A53" s="369"/>
      <c r="B53" s="355"/>
      <c r="C53" s="355"/>
      <c r="D53" s="355"/>
      <c r="E53" s="355"/>
      <c r="F53" s="355"/>
      <c r="G53" s="355"/>
      <c r="H53" s="355"/>
      <c r="I53" s="355"/>
      <c r="J53" s="355"/>
      <c r="K53" s="355"/>
      <c r="L53" s="355"/>
      <c r="M53" s="355"/>
      <c r="N53" s="355"/>
      <c r="O53" s="355"/>
      <c r="P53" s="355"/>
      <c r="Q53" s="355"/>
      <c r="R53" s="355"/>
      <c r="S53" s="355"/>
      <c r="T53" s="355"/>
      <c r="U53" s="355"/>
      <c r="V53" s="355"/>
      <c r="W53" s="355"/>
      <c r="X53" s="355"/>
      <c r="Y53" s="355"/>
      <c r="Z53" s="355"/>
      <c r="AA53" s="355"/>
      <c r="AB53" s="355"/>
      <c r="AC53" s="355"/>
      <c r="AD53" s="355"/>
      <c r="AE53" s="355"/>
      <c r="AF53" s="355"/>
      <c r="AG53" s="355"/>
      <c r="AH53" s="355"/>
    </row>
    <row r="54" spans="1:34" s="356" customFormat="1" ht="34" hidden="1" outlineLevel="1">
      <c r="A54" s="575"/>
      <c r="B54" s="370" t="s">
        <v>148</v>
      </c>
      <c r="C54" s="370"/>
      <c r="D54" s="370"/>
      <c r="E54" s="370"/>
      <c r="F54" s="370"/>
      <c r="G54" s="370" t="s">
        <v>149</v>
      </c>
      <c r="H54" s="370" t="s">
        <v>150</v>
      </c>
      <c r="I54" s="371"/>
      <c r="J54" s="371"/>
      <c r="K54" s="371"/>
      <c r="L54" s="583"/>
      <c r="M54" s="14"/>
      <c r="N54" s="14"/>
      <c r="O54" s="14"/>
      <c r="P54" s="14"/>
      <c r="Q54" s="372"/>
      <c r="R54" s="372"/>
      <c r="S54" s="581"/>
      <c r="T54" s="372"/>
      <c r="U54" s="372"/>
      <c r="V54" s="373"/>
      <c r="W54" s="373"/>
      <c r="X54" s="582"/>
      <c r="Y54" s="582"/>
      <c r="Z54" s="12"/>
      <c r="AA54" s="12"/>
      <c r="AB54" s="358"/>
      <c r="AC54" s="12"/>
      <c r="AD54" s="12"/>
      <c r="AE54" s="358"/>
      <c r="AF54" s="353"/>
      <c r="AG54" s="353"/>
      <c r="AH54" s="355"/>
    </row>
    <row r="55" spans="1:34" s="356" customFormat="1" ht="36" hidden="1" customHeight="1" outlineLevel="1">
      <c r="A55" s="575"/>
      <c r="B55" s="812" t="s">
        <v>335</v>
      </c>
      <c r="C55" s="813"/>
      <c r="D55" s="813"/>
      <c r="E55" s="813"/>
      <c r="F55" s="813"/>
      <c r="G55" s="557">
        <f>IF(SUM(G20:G44)="","",SUM(G20:G44))</f>
        <v>0</v>
      </c>
      <c r="H55" s="365" t="str">
        <f>IF(G57=0,"",G55/$G$57)</f>
        <v/>
      </c>
      <c r="I55" s="374"/>
      <c r="J55" s="374"/>
      <c r="K55" s="374"/>
      <c r="L55" s="374"/>
      <c r="M55" s="14"/>
      <c r="N55" s="14"/>
      <c r="O55" s="14"/>
      <c r="P55" s="14"/>
      <c r="Q55" s="373"/>
      <c r="R55" s="373"/>
      <c r="S55" s="375"/>
      <c r="T55" s="373"/>
      <c r="U55" s="373"/>
      <c r="V55" s="373"/>
      <c r="W55" s="373"/>
      <c r="X55" s="582"/>
      <c r="Y55" s="582"/>
      <c r="Z55" s="12"/>
      <c r="AA55" s="12"/>
      <c r="AB55" s="358"/>
      <c r="AC55" s="12"/>
      <c r="AD55" s="12"/>
      <c r="AE55" s="358"/>
      <c r="AF55" s="353"/>
      <c r="AG55" s="353"/>
      <c r="AH55" s="355"/>
    </row>
    <row r="56" spans="1:34" s="356" customFormat="1" ht="36" hidden="1" customHeight="1" outlineLevel="1">
      <c r="A56" s="575"/>
      <c r="B56" s="812" t="s">
        <v>336</v>
      </c>
      <c r="C56" s="813"/>
      <c r="D56" s="813"/>
      <c r="E56" s="813"/>
      <c r="F56" s="813"/>
      <c r="G56" s="557">
        <f>+SUM(G45:G52)</f>
        <v>0</v>
      </c>
      <c r="H56" s="365" t="str">
        <f>IF(G57=0,"",G56/$G$57)</f>
        <v/>
      </c>
      <c r="I56" s="374"/>
      <c r="J56" s="374"/>
      <c r="K56" s="374"/>
      <c r="L56" s="374"/>
      <c r="M56" s="14"/>
      <c r="N56" s="14"/>
      <c r="O56" s="14"/>
      <c r="P56" s="14"/>
      <c r="Q56" s="373"/>
      <c r="R56" s="373"/>
      <c r="S56" s="584"/>
      <c r="T56" s="373"/>
      <c r="U56" s="373"/>
      <c r="V56" s="373"/>
      <c r="W56" s="373"/>
      <c r="X56" s="582"/>
      <c r="Y56" s="582"/>
      <c r="Z56" s="12"/>
      <c r="AA56" s="12"/>
      <c r="AB56" s="358"/>
      <c r="AC56" s="12"/>
      <c r="AD56" s="12"/>
      <c r="AE56" s="358"/>
      <c r="AF56" s="353"/>
      <c r="AG56" s="353"/>
      <c r="AH56" s="355"/>
    </row>
    <row r="57" spans="1:34" s="356" customFormat="1" ht="36" hidden="1" customHeight="1" outlineLevel="1">
      <c r="A57" s="575"/>
      <c r="B57" s="789" t="s">
        <v>337</v>
      </c>
      <c r="C57" s="790"/>
      <c r="D57" s="790"/>
      <c r="E57" s="790"/>
      <c r="F57" s="790"/>
      <c r="G57" s="376">
        <f>+G55+G56</f>
        <v>0</v>
      </c>
      <c r="H57" s="377"/>
      <c r="I57" s="827" t="str">
        <f>IF(G57="","",IF(G57&lt;&gt;'Financial activity types '!G12,"Error: The total must match the total in the Financial activity types tab","Exposure OK"))</f>
        <v>Exposure OK</v>
      </c>
      <c r="J57" s="827"/>
      <c r="K57" s="827"/>
      <c r="L57" s="374"/>
      <c r="M57" s="706" t="s">
        <v>154</v>
      </c>
      <c r="N57" s="706"/>
      <c r="O57" s="706"/>
      <c r="P57" s="14"/>
      <c r="Q57" s="373"/>
      <c r="R57" s="373"/>
      <c r="S57" s="584"/>
      <c r="T57" s="373"/>
      <c r="U57" s="373"/>
      <c r="V57" s="373"/>
      <c r="W57" s="373"/>
      <c r="X57" s="582"/>
      <c r="Y57" s="582"/>
      <c r="Z57" s="12"/>
      <c r="AA57" s="12"/>
      <c r="AB57" s="358"/>
      <c r="AC57" s="12"/>
      <c r="AD57" s="12"/>
      <c r="AE57" s="358"/>
      <c r="AF57" s="353"/>
      <c r="AG57" s="353"/>
      <c r="AH57" s="355"/>
    </row>
    <row r="58" spans="1:34" s="356" customFormat="1" ht="36" hidden="1" customHeight="1" outlineLevel="1">
      <c r="A58" s="575"/>
      <c r="B58" s="789" t="s">
        <v>338</v>
      </c>
      <c r="C58" s="790"/>
      <c r="D58" s="790"/>
      <c r="E58" s="790"/>
      <c r="F58" s="790"/>
      <c r="G58" s="376">
        <f>(SUMIF(M20:M40,TRUE,V20:V40)+SUMIF(N20:N40,TRUE,Z20:Z40)-SUMIFS(AC20:AC40,M20:M40,TRUE,N20:N40,TRUE))</f>
        <v>0</v>
      </c>
      <c r="H58" s="377" t="e">
        <f>G58/SUM(G20:G40)</f>
        <v>#DIV/0!</v>
      </c>
      <c r="I58" s="828" t="e">
        <f>IF(G57="","",IF(H58&lt;&gt;100%,"Error: The FI must cover 100% of segments A, B, and C","Coverage OK"))</f>
        <v>#DIV/0!</v>
      </c>
      <c r="J58" s="828"/>
      <c r="K58" s="828"/>
      <c r="L58" s="355"/>
      <c r="M58" s="706"/>
      <c r="N58" s="706"/>
      <c r="O58" s="706"/>
      <c r="P58" s="14"/>
      <c r="Q58" s="373"/>
      <c r="R58" s="373"/>
      <c r="S58" s="378"/>
      <c r="T58" s="378"/>
      <c r="U58" s="379"/>
      <c r="V58" s="373"/>
      <c r="W58" s="373"/>
      <c r="X58" s="380"/>
      <c r="Y58" s="582"/>
      <c r="Z58" s="12"/>
      <c r="AA58" s="12"/>
      <c r="AB58" s="358"/>
      <c r="AC58" s="12"/>
      <c r="AD58" s="12"/>
      <c r="AE58" s="358"/>
      <c r="AF58" s="353"/>
      <c r="AG58" s="353"/>
      <c r="AH58" s="355"/>
    </row>
    <row r="59" spans="1:34" s="356" customFormat="1" ht="45.75" hidden="1" customHeight="1" outlineLevel="1">
      <c r="A59" s="575"/>
      <c r="B59" s="789" t="s">
        <v>339</v>
      </c>
      <c r="C59" s="790"/>
      <c r="D59" s="790"/>
      <c r="E59" s="790"/>
      <c r="F59" s="790"/>
      <c r="G59" s="376">
        <f>(SUMIF(M20:M44,TRUE,V20:V44)+SUMIF(N20:N44,TRUE,Z20:Z44)-SUMIFS(AC20:AC44,M20:M44,TRUE,N20:N44,TRUE))</f>
        <v>0</v>
      </c>
      <c r="H59" s="377" t="e">
        <f>G59/SUM(G20:G44)</f>
        <v>#DIV/0!</v>
      </c>
      <c r="I59" s="828" t="e">
        <f>IF(G57="","",IF(H59&lt;67%,"Error: The FI must cover 67% or more of segments A, B, C, and D","Coverage OK"))</f>
        <v>#DIV/0!</v>
      </c>
      <c r="J59" s="828"/>
      <c r="K59" s="828"/>
      <c r="L59" s="355"/>
      <c r="M59" s="706"/>
      <c r="N59" s="706"/>
      <c r="O59" s="706"/>
      <c r="P59" s="14"/>
      <c r="Q59" s="381"/>
      <c r="R59" s="381"/>
      <c r="S59" s="378"/>
      <c r="T59" s="378"/>
      <c r="U59" s="379"/>
      <c r="V59" s="381"/>
      <c r="W59" s="381"/>
      <c r="X59" s="382"/>
      <c r="Y59" s="582"/>
      <c r="Z59" s="12"/>
      <c r="AA59" s="12"/>
      <c r="AB59" s="358"/>
      <c r="AC59" s="12"/>
      <c r="AD59" s="12"/>
      <c r="AE59" s="358"/>
      <c r="AF59" s="353"/>
      <c r="AG59" s="353"/>
      <c r="AH59" s="355"/>
    </row>
    <row r="60" spans="1:34" s="356" customFormat="1" ht="36" hidden="1" customHeight="1" outlineLevel="1">
      <c r="A60" s="575"/>
      <c r="B60" s="812" t="s">
        <v>157</v>
      </c>
      <c r="C60" s="813"/>
      <c r="D60" s="813"/>
      <c r="E60" s="813"/>
      <c r="F60" s="813"/>
      <c r="G60" s="557">
        <f>SUMIF(M20:M44,TRUE,V20:V44)</f>
        <v>0</v>
      </c>
      <c r="H60" s="365" t="e">
        <f>G60/SUM(G20:G44)</f>
        <v>#DIV/0!</v>
      </c>
      <c r="I60" s="368"/>
      <c r="J60" s="368"/>
      <c r="K60" s="368"/>
      <c r="L60" s="355"/>
      <c r="M60" s="706"/>
      <c r="N60" s="706"/>
      <c r="O60" s="706"/>
      <c r="P60" s="14"/>
      <c r="Q60" s="383"/>
      <c r="R60" s="383"/>
      <c r="S60" s="378"/>
      <c r="T60" s="378"/>
      <c r="U60" s="378"/>
      <c r="V60" s="383"/>
      <c r="W60" s="383"/>
      <c r="X60" s="384"/>
      <c r="Y60" s="585"/>
      <c r="Z60" s="12"/>
      <c r="AA60" s="12"/>
      <c r="AB60" s="358"/>
      <c r="AC60" s="12"/>
      <c r="AD60" s="12"/>
      <c r="AE60" s="358"/>
      <c r="AF60" s="353"/>
      <c r="AG60" s="353"/>
      <c r="AH60" s="355"/>
    </row>
    <row r="61" spans="1:34" s="356" customFormat="1" ht="36" hidden="1" customHeight="1" outlineLevel="1">
      <c r="A61" s="575"/>
      <c r="B61" s="812" t="s">
        <v>158</v>
      </c>
      <c r="C61" s="813"/>
      <c r="D61" s="813"/>
      <c r="E61" s="813"/>
      <c r="F61" s="813"/>
      <c r="G61" s="557">
        <f>SUMIF(N20:N44,TRUE,Z20:Z44)</f>
        <v>0</v>
      </c>
      <c r="H61" s="365" t="e">
        <f>G61/SUM(G20:G44)</f>
        <v>#DIV/0!</v>
      </c>
      <c r="I61" s="385"/>
      <c r="J61" s="385"/>
      <c r="K61" s="385"/>
      <c r="L61" s="355"/>
      <c r="M61" s="706"/>
      <c r="N61" s="706"/>
      <c r="O61" s="706"/>
      <c r="P61" s="14"/>
      <c r="Q61" s="383"/>
      <c r="R61" s="383"/>
      <c r="S61" s="378"/>
      <c r="T61" s="378"/>
      <c r="U61" s="378"/>
      <c r="V61" s="383"/>
      <c r="W61" s="383"/>
      <c r="X61" s="384"/>
      <c r="Y61" s="585"/>
      <c r="Z61" s="12"/>
      <c r="AA61" s="12"/>
      <c r="AB61" s="358"/>
      <c r="AC61" s="12"/>
      <c r="AD61" s="12"/>
      <c r="AE61" s="358"/>
      <c r="AF61" s="353"/>
      <c r="AG61" s="353"/>
      <c r="AH61" s="355"/>
    </row>
    <row r="62" spans="1:34" s="356" customFormat="1" ht="36" hidden="1" customHeight="1" outlineLevel="1">
      <c r="A62" s="575"/>
      <c r="B62" s="812" t="s">
        <v>159</v>
      </c>
      <c r="C62" s="813"/>
      <c r="D62" s="813"/>
      <c r="E62" s="813"/>
      <c r="F62" s="813"/>
      <c r="G62" s="557">
        <f>SUMIFS(AC20:AC44,M20:M44,TRUE,N20:N44,TRUE)</f>
        <v>0</v>
      </c>
      <c r="H62" s="365" t="e">
        <f>G62/SUM(G20:G44)</f>
        <v>#DIV/0!</v>
      </c>
      <c r="I62" s="374"/>
      <c r="J62" s="374"/>
      <c r="K62" s="374"/>
      <c r="L62" s="374"/>
      <c r="M62" s="706"/>
      <c r="N62" s="706"/>
      <c r="O62" s="706"/>
      <c r="P62" s="14"/>
      <c r="Q62" s="383"/>
      <c r="R62" s="383"/>
      <c r="S62" s="378"/>
      <c r="T62" s="378"/>
      <c r="U62" s="378"/>
      <c r="V62" s="383"/>
      <c r="W62" s="383"/>
      <c r="X62" s="384"/>
      <c r="Y62" s="585"/>
      <c r="Z62" s="12"/>
      <c r="AA62" s="12"/>
      <c r="AB62" s="358"/>
      <c r="AC62" s="12"/>
      <c r="AD62" s="12"/>
      <c r="AE62" s="358"/>
      <c r="AF62" s="353"/>
      <c r="AG62" s="353"/>
      <c r="AH62" s="355"/>
    </row>
    <row r="63" spans="1:34" s="356" customFormat="1" ht="48" hidden="1" customHeight="1" outlineLevel="1">
      <c r="A63" s="12"/>
      <c r="B63" s="791" t="s">
        <v>340</v>
      </c>
      <c r="C63" s="792"/>
      <c r="D63" s="792"/>
      <c r="E63" s="792"/>
      <c r="F63" s="792"/>
      <c r="G63" s="376">
        <f>(SUMIF(M20:M44,TRUE,W20:W44)+SUMIF(N20:N44,TRUE,AA20:AA44)-SUMIFS(AD20:AD44,M20:M44,TRUE,N20:N44,TRUE))</f>
        <v>0</v>
      </c>
      <c r="H63" s="377" t="e">
        <f>G63/SUM(K20:K44)</f>
        <v>#DIV/0!</v>
      </c>
      <c r="I63" s="828" t="e">
        <f>IF(G57="","",IF(H63&lt;67%,"Error: The FI must cover 67% or more of segments A, B, C, and D","Coverage OK"))</f>
        <v>#DIV/0!</v>
      </c>
      <c r="J63" s="828"/>
      <c r="K63" s="828"/>
      <c r="L63" s="358"/>
      <c r="M63" s="706"/>
      <c r="N63" s="706"/>
      <c r="O63" s="706"/>
      <c r="P63" s="353"/>
      <c r="Q63" s="354"/>
      <c r="R63" s="354"/>
      <c r="S63" s="12"/>
      <c r="T63" s="354"/>
      <c r="U63" s="354"/>
      <c r="V63" s="354"/>
      <c r="W63" s="354"/>
      <c r="X63" s="358"/>
      <c r="Y63" s="353"/>
      <c r="Z63" s="12"/>
      <c r="AA63" s="12"/>
      <c r="AB63" s="358"/>
      <c r="AC63" s="12"/>
      <c r="AD63" s="12"/>
      <c r="AE63" s="358"/>
      <c r="AF63" s="353"/>
      <c r="AG63" s="353"/>
      <c r="AH63" s="355"/>
    </row>
    <row r="64" spans="1:34" s="356" customFormat="1">
      <c r="A64" s="12"/>
      <c r="B64" s="12"/>
      <c r="C64" s="12"/>
      <c r="D64" s="12"/>
      <c r="E64" s="12"/>
      <c r="F64" s="12"/>
      <c r="G64" s="12"/>
      <c r="H64" s="12"/>
      <c r="I64" s="12"/>
      <c r="J64" s="12"/>
      <c r="K64" s="12"/>
      <c r="L64" s="358"/>
      <c r="M64" s="12"/>
      <c r="N64" s="12"/>
      <c r="O64" s="12"/>
      <c r="P64" s="353"/>
      <c r="Q64" s="354"/>
      <c r="R64" s="354"/>
      <c r="S64" s="12"/>
      <c r="T64" s="354"/>
      <c r="U64" s="354"/>
      <c r="V64" s="354"/>
      <c r="W64" s="354"/>
      <c r="X64" s="358"/>
      <c r="Y64" s="353"/>
      <c r="Z64" s="12"/>
      <c r="AA64" s="12"/>
      <c r="AB64" s="358"/>
      <c r="AC64" s="12"/>
      <c r="AD64" s="12"/>
      <c r="AE64" s="358"/>
      <c r="AF64" s="353"/>
      <c r="AG64" s="353"/>
      <c r="AH64" s="355"/>
    </row>
    <row r="65" spans="1:39" s="356" customFormat="1">
      <c r="A65" s="12"/>
      <c r="B65" s="12"/>
      <c r="C65" s="12"/>
      <c r="D65" s="12"/>
      <c r="E65" s="12"/>
      <c r="F65" s="12"/>
      <c r="G65" s="12"/>
      <c r="H65" s="12"/>
      <c r="I65" s="12"/>
      <c r="J65" s="12"/>
      <c r="K65" s="12"/>
      <c r="L65" s="353"/>
      <c r="M65" s="12"/>
      <c r="N65" s="12"/>
      <c r="O65" s="12"/>
      <c r="P65" s="353"/>
      <c r="Q65" s="354"/>
      <c r="R65" s="354"/>
      <c r="S65" s="12"/>
      <c r="T65" s="354"/>
      <c r="U65" s="354"/>
      <c r="V65" s="354"/>
      <c r="W65" s="354"/>
      <c r="X65" s="353"/>
      <c r="Y65" s="353"/>
      <c r="Z65" s="12"/>
      <c r="AA65" s="12"/>
      <c r="AB65" s="353"/>
      <c r="AC65" s="12"/>
      <c r="AD65" s="12"/>
      <c r="AE65" s="353"/>
      <c r="AF65" s="353"/>
      <c r="AG65" s="353"/>
      <c r="AH65" s="355"/>
    </row>
    <row r="66" spans="1:39" s="356" customFormat="1" ht="24" customHeight="1" collapsed="1">
      <c r="A66" s="793" t="s">
        <v>161</v>
      </c>
      <c r="B66" s="793"/>
      <c r="C66" s="793"/>
      <c r="D66" s="793"/>
      <c r="E66" s="793"/>
      <c r="F66" s="793"/>
      <c r="G66" s="793"/>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552"/>
      <c r="AH66" s="355"/>
    </row>
    <row r="67" spans="1:39" s="356" customFormat="1" ht="41" hidden="1" customHeight="1" outlineLevel="1" collapsed="1">
      <c r="A67" s="833" t="s">
        <v>341</v>
      </c>
      <c r="B67" s="833"/>
      <c r="C67" s="833"/>
      <c r="D67" s="833"/>
      <c r="E67" s="833"/>
      <c r="F67" s="833"/>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547"/>
      <c r="AH67" s="355"/>
    </row>
    <row r="68" spans="1:39" s="356" customFormat="1" hidden="1" outlineLevel="2">
      <c r="A68" s="12"/>
      <c r="B68" s="12"/>
      <c r="C68" s="12"/>
      <c r="D68" s="12"/>
      <c r="E68" s="12"/>
      <c r="F68" s="12"/>
      <c r="G68" s="12"/>
      <c r="H68" s="12"/>
      <c r="I68" s="12"/>
      <c r="J68" s="12"/>
      <c r="K68" s="12"/>
      <c r="L68" s="358"/>
      <c r="M68" s="12"/>
      <c r="N68" s="12"/>
      <c r="O68" s="12"/>
      <c r="P68" s="353"/>
      <c r="Q68" s="354"/>
      <c r="R68" s="354"/>
      <c r="S68" s="12"/>
      <c r="T68" s="354"/>
      <c r="U68" s="354"/>
      <c r="V68" s="354"/>
      <c r="W68" s="354"/>
      <c r="X68" s="358"/>
      <c r="Y68" s="353"/>
      <c r="Z68" s="12"/>
      <c r="AA68" s="12"/>
      <c r="AB68" s="358"/>
      <c r="AC68" s="12"/>
      <c r="AD68" s="12"/>
      <c r="AE68" s="358"/>
      <c r="AF68" s="353"/>
      <c r="AG68" s="353"/>
      <c r="AH68" s="355"/>
    </row>
    <row r="69" spans="1:39" s="356" customFormat="1" ht="47" hidden="1" customHeight="1" outlineLevel="2">
      <c r="A69" s="12"/>
      <c r="B69" s="714" t="s">
        <v>163</v>
      </c>
      <c r="C69" s="715"/>
      <c r="D69" s="719"/>
      <c r="E69" s="720"/>
      <c r="F69" s="12"/>
      <c r="G69" s="824" t="s">
        <v>83</v>
      </c>
      <c r="H69" s="825"/>
      <c r="I69" s="825"/>
      <c r="J69" s="825"/>
      <c r="K69" s="825"/>
      <c r="L69" s="825"/>
      <c r="M69" s="825"/>
      <c r="N69" s="12"/>
      <c r="O69" s="12"/>
      <c r="P69" s="353"/>
      <c r="Q69" s="354"/>
      <c r="R69" s="354"/>
      <c r="S69" s="12"/>
      <c r="T69" s="354"/>
      <c r="U69" s="354"/>
      <c r="V69" s="354"/>
      <c r="W69" s="354"/>
      <c r="X69" s="358"/>
      <c r="Y69" s="353"/>
      <c r="Z69" s="12"/>
      <c r="AA69" s="12"/>
      <c r="AB69" s="358"/>
      <c r="AC69" s="12"/>
      <c r="AD69" s="12"/>
      <c r="AE69" s="358"/>
      <c r="AF69" s="353"/>
      <c r="AG69" s="353"/>
      <c r="AH69" s="355"/>
    </row>
    <row r="70" spans="1:39" s="356" customFormat="1" ht="47" hidden="1" customHeight="1" outlineLevel="2">
      <c r="A70" s="12"/>
      <c r="B70" s="714" t="s">
        <v>164</v>
      </c>
      <c r="C70" s="715"/>
      <c r="D70" s="719"/>
      <c r="E70" s="720"/>
      <c r="F70" s="12"/>
      <c r="G70" s="825"/>
      <c r="H70" s="825"/>
      <c r="I70" s="825"/>
      <c r="J70" s="825"/>
      <c r="K70" s="825"/>
      <c r="L70" s="825"/>
      <c r="M70" s="825"/>
      <c r="N70" s="12"/>
      <c r="O70" s="12"/>
      <c r="P70" s="353"/>
      <c r="Q70" s="354"/>
      <c r="R70" s="354"/>
      <c r="S70" s="12"/>
      <c r="T70" s="354"/>
      <c r="U70" s="354"/>
      <c r="V70" s="354"/>
      <c r="W70" s="354"/>
      <c r="X70" s="358"/>
      <c r="Y70" s="353"/>
      <c r="Z70" s="12"/>
      <c r="AA70" s="12"/>
      <c r="AB70" s="358"/>
      <c r="AC70" s="12"/>
      <c r="AD70" s="12"/>
      <c r="AE70" s="358"/>
      <c r="AF70" s="353"/>
      <c r="AG70" s="353"/>
      <c r="AH70" s="355"/>
    </row>
    <row r="71" spans="1:39" s="356" customFormat="1" ht="47" hidden="1" customHeight="1" outlineLevel="2">
      <c r="A71" s="12"/>
      <c r="B71" s="714" t="s">
        <v>165</v>
      </c>
      <c r="C71" s="715"/>
      <c r="D71" s="719"/>
      <c r="E71" s="720"/>
      <c r="F71" s="12"/>
      <c r="G71" s="825"/>
      <c r="H71" s="825"/>
      <c r="I71" s="825"/>
      <c r="J71" s="825"/>
      <c r="K71" s="825"/>
      <c r="L71" s="825"/>
      <c r="M71" s="825"/>
      <c r="N71" s="12"/>
      <c r="O71" s="12"/>
      <c r="P71" s="353"/>
      <c r="Q71" s="354"/>
      <c r="R71" s="354"/>
      <c r="S71" s="12"/>
      <c r="T71" s="354"/>
      <c r="U71" s="354"/>
      <c r="V71" s="354"/>
      <c r="W71" s="354"/>
      <c r="X71" s="358"/>
      <c r="Y71" s="353"/>
      <c r="Z71" s="12"/>
      <c r="AA71" s="12"/>
      <c r="AB71" s="358"/>
      <c r="AC71" s="12"/>
      <c r="AD71" s="12"/>
      <c r="AE71" s="358"/>
      <c r="AF71" s="353"/>
      <c r="AG71" s="353"/>
      <c r="AH71" s="355"/>
      <c r="AK71" s="386"/>
    </row>
    <row r="72" spans="1:39" s="356" customFormat="1" ht="47" hidden="1" customHeight="1" outlineLevel="2">
      <c r="A72" s="12"/>
      <c r="B72" s="714" t="s">
        <v>166</v>
      </c>
      <c r="C72" s="715"/>
      <c r="D72" s="719"/>
      <c r="E72" s="720"/>
      <c r="F72" s="12"/>
      <c r="G72" s="825"/>
      <c r="H72" s="825"/>
      <c r="I72" s="825"/>
      <c r="J72" s="825"/>
      <c r="K72" s="825"/>
      <c r="L72" s="825"/>
      <c r="M72" s="825"/>
      <c r="N72" s="12"/>
      <c r="O72" s="12"/>
      <c r="P72" s="353"/>
      <c r="Q72" s="354"/>
      <c r="R72" s="354"/>
      <c r="S72" s="12"/>
      <c r="T72" s="354"/>
      <c r="U72" s="354"/>
      <c r="V72" s="354"/>
      <c r="W72" s="354"/>
      <c r="X72" s="358"/>
      <c r="Y72" s="353"/>
      <c r="Z72" s="12"/>
      <c r="AA72" s="12"/>
      <c r="AB72" s="358"/>
      <c r="AC72" s="12"/>
      <c r="AD72" s="12"/>
      <c r="AE72" s="358"/>
      <c r="AF72" s="353"/>
      <c r="AG72" s="353"/>
      <c r="AH72" s="355"/>
      <c r="AK72" s="387"/>
    </row>
    <row r="73" spans="1:39" s="356" customFormat="1" ht="32.25" hidden="1" customHeight="1" outlineLevel="2">
      <c r="A73" s="12"/>
      <c r="B73" s="13"/>
      <c r="C73" s="13"/>
      <c r="D73" s="13"/>
      <c r="E73" s="13"/>
      <c r="F73" s="12"/>
      <c r="G73" s="12"/>
      <c r="H73" s="12"/>
      <c r="I73" s="12"/>
      <c r="J73" s="12"/>
      <c r="K73" s="12"/>
      <c r="L73" s="358"/>
      <c r="M73" s="12"/>
      <c r="N73" s="12"/>
      <c r="O73" s="12"/>
      <c r="P73" s="353"/>
      <c r="Q73" s="354"/>
      <c r="R73" s="354"/>
      <c r="S73" s="12"/>
      <c r="T73" s="354"/>
      <c r="U73" s="354"/>
      <c r="V73" s="354"/>
      <c r="W73" s="354"/>
      <c r="X73" s="358"/>
      <c r="Y73" s="353"/>
      <c r="Z73" s="12"/>
      <c r="AA73" s="12"/>
      <c r="AB73" s="358"/>
      <c r="AC73" s="12"/>
      <c r="AD73" s="12"/>
      <c r="AE73" s="358"/>
      <c r="AF73" s="353"/>
      <c r="AG73" s="353"/>
      <c r="AH73" s="355"/>
      <c r="AK73" s="387"/>
    </row>
    <row r="74" spans="1:39" s="356" customFormat="1" ht="47" hidden="1" customHeight="1" outlineLevel="2">
      <c r="A74" s="731" t="s">
        <v>342</v>
      </c>
      <c r="B74" s="731"/>
      <c r="C74" s="731"/>
      <c r="D74" s="731"/>
      <c r="E74" s="731"/>
      <c r="F74" s="731"/>
      <c r="G74" s="731"/>
      <c r="H74" s="731"/>
      <c r="I74" s="731"/>
      <c r="J74" s="731"/>
      <c r="K74" s="731"/>
      <c r="L74" s="731"/>
      <c r="M74" s="731"/>
      <c r="N74" s="731"/>
      <c r="O74" s="731"/>
      <c r="P74" s="731"/>
      <c r="Q74" s="731"/>
      <c r="R74" s="731"/>
      <c r="S74" s="731"/>
      <c r="T74" s="731"/>
      <c r="U74" s="731"/>
      <c r="V74" s="731"/>
      <c r="W74" s="731"/>
      <c r="X74" s="731"/>
      <c r="Y74" s="731"/>
      <c r="Z74" s="731"/>
      <c r="AA74" s="731"/>
      <c r="AB74" s="731"/>
      <c r="AC74" s="731"/>
      <c r="AD74" s="731"/>
      <c r="AE74" s="731"/>
      <c r="AF74" s="731"/>
      <c r="AG74" s="547"/>
      <c r="AH74" s="355"/>
      <c r="AK74" s="387"/>
    </row>
    <row r="75" spans="1:39" s="356" customFormat="1" ht="22.25" hidden="1" customHeight="1" outlineLevel="2">
      <c r="A75" s="359"/>
      <c r="B75" s="357"/>
      <c r="C75" s="357"/>
      <c r="D75" s="357"/>
      <c r="E75" s="357"/>
      <c r="F75" s="357"/>
      <c r="G75" s="357"/>
      <c r="H75" s="357"/>
      <c r="I75" s="357"/>
      <c r="J75" s="357"/>
      <c r="K75" s="357"/>
      <c r="L75" s="357"/>
      <c r="M75" s="357"/>
      <c r="N75" s="357"/>
      <c r="O75" s="357"/>
      <c r="P75" s="357"/>
      <c r="Q75" s="357"/>
      <c r="R75" s="357"/>
      <c r="S75" s="357"/>
      <c r="T75" s="357"/>
      <c r="U75" s="357"/>
      <c r="V75" s="357"/>
      <c r="W75" s="357"/>
      <c r="X75" s="357"/>
      <c r="Y75" s="357"/>
      <c r="Z75" s="357"/>
      <c r="AA75" s="357"/>
      <c r="AB75" s="357"/>
      <c r="AC75" s="357"/>
      <c r="AD75" s="357"/>
      <c r="AE75" s="357"/>
      <c r="AF75" s="357"/>
      <c r="AG75" s="357"/>
      <c r="AH75" s="355"/>
    </row>
    <row r="76" spans="1:39" s="356" customFormat="1" ht="396" hidden="1" customHeight="1" outlineLevel="2">
      <c r="A76" s="355"/>
      <c r="B76" s="360"/>
      <c r="C76" s="706" t="s">
        <v>88</v>
      </c>
      <c r="D76" s="706"/>
      <c r="E76" s="706"/>
      <c r="F76" s="706"/>
      <c r="G76" s="706"/>
      <c r="H76" s="706"/>
      <c r="I76" s="706"/>
      <c r="J76" s="706"/>
      <c r="K76" s="706"/>
      <c r="L76" s="17"/>
      <c r="M76" s="706" t="s">
        <v>89</v>
      </c>
      <c r="N76" s="706"/>
      <c r="O76" s="706"/>
      <c r="P76" s="17"/>
      <c r="Q76" s="706" t="s">
        <v>90</v>
      </c>
      <c r="R76" s="706"/>
      <c r="S76" s="706"/>
      <c r="T76" s="706"/>
      <c r="U76" s="706"/>
      <c r="V76" s="706"/>
      <c r="W76" s="706"/>
      <c r="X76" s="17"/>
      <c r="Y76" s="706" t="s">
        <v>91</v>
      </c>
      <c r="Z76" s="706"/>
      <c r="AA76" s="706"/>
      <c r="AB76" s="17"/>
      <c r="AC76" s="706" t="s">
        <v>92</v>
      </c>
      <c r="AD76" s="706"/>
      <c r="AE76" s="17"/>
      <c r="AF76" s="709" t="s">
        <v>93</v>
      </c>
      <c r="AG76" s="706"/>
      <c r="AH76" s="355"/>
    </row>
    <row r="77" spans="1:39" s="356" customFormat="1" ht="16" hidden="1" outlineLevel="2">
      <c r="A77" s="355"/>
      <c r="B77" s="355"/>
      <c r="C77" s="355"/>
      <c r="D77" s="355"/>
      <c r="E77" s="355"/>
      <c r="F77" s="355"/>
      <c r="G77" s="355"/>
      <c r="H77" s="355"/>
      <c r="I77" s="355"/>
      <c r="J77" s="355"/>
      <c r="K77" s="355"/>
      <c r="L77" s="355"/>
      <c r="M77" s="355"/>
      <c r="N77" s="355"/>
      <c r="O77" s="355"/>
      <c r="P77" s="355"/>
      <c r="Q77" s="355"/>
      <c r="R77" s="355"/>
      <c r="S77" s="355"/>
      <c r="T77" s="355"/>
      <c r="U77" s="355"/>
      <c r="V77" s="355"/>
      <c r="W77" s="355"/>
      <c r="X77" s="355"/>
      <c r="Y77" s="353"/>
      <c r="Z77" s="12"/>
      <c r="AA77" s="12"/>
      <c r="AB77" s="355"/>
      <c r="AC77" s="355"/>
      <c r="AD77" s="355"/>
      <c r="AE77" s="355"/>
      <c r="AF77" s="355"/>
      <c r="AG77" s="355"/>
      <c r="AH77" s="355"/>
      <c r="AK77" s="387"/>
    </row>
    <row r="78" spans="1:39" s="386" customFormat="1" ht="106.25" hidden="1" customHeight="1" outlineLevel="2">
      <c r="A78" s="714" t="s">
        <v>94</v>
      </c>
      <c r="B78" s="718"/>
      <c r="C78" s="718"/>
      <c r="D78" s="718"/>
      <c r="E78" s="718"/>
      <c r="F78" s="718"/>
      <c r="G78" s="718"/>
      <c r="H78" s="718"/>
      <c r="I78" s="718"/>
      <c r="J78" s="718"/>
      <c r="K78" s="715"/>
      <c r="L78" s="361"/>
      <c r="M78" s="714" t="s">
        <v>95</v>
      </c>
      <c r="N78" s="718"/>
      <c r="O78" s="715"/>
      <c r="P78" s="13"/>
      <c r="Q78" s="714" t="s">
        <v>96</v>
      </c>
      <c r="R78" s="718"/>
      <c r="S78" s="718"/>
      <c r="T78" s="718"/>
      <c r="U78" s="718"/>
      <c r="V78" s="718"/>
      <c r="W78" s="715"/>
      <c r="X78" s="572"/>
      <c r="Y78" s="714" t="s">
        <v>97</v>
      </c>
      <c r="Z78" s="718"/>
      <c r="AA78" s="715"/>
      <c r="AB78" s="358"/>
      <c r="AC78" s="714" t="s">
        <v>98</v>
      </c>
      <c r="AD78" s="715"/>
      <c r="AE78" s="358"/>
      <c r="AF78" s="716" t="s">
        <v>343</v>
      </c>
      <c r="AG78" s="716" t="s">
        <v>344</v>
      </c>
      <c r="AH78" s="600"/>
      <c r="AK78" s="387"/>
    </row>
    <row r="79" spans="1:39" s="387" customFormat="1" ht="312" hidden="1" customHeight="1" outlineLevel="2">
      <c r="A79" s="798" t="s">
        <v>99</v>
      </c>
      <c r="B79" s="798"/>
      <c r="C79" s="714" t="s">
        <v>100</v>
      </c>
      <c r="D79" s="718"/>
      <c r="E79" s="718"/>
      <c r="F79" s="715"/>
      <c r="G79" s="546" t="s">
        <v>763</v>
      </c>
      <c r="H79" s="546" t="s">
        <v>778</v>
      </c>
      <c r="I79" s="554" t="s">
        <v>764</v>
      </c>
      <c r="J79" s="554" t="s">
        <v>765</v>
      </c>
      <c r="K79" s="554" t="s">
        <v>779</v>
      </c>
      <c r="L79" s="361"/>
      <c r="M79" s="546" t="s">
        <v>768</v>
      </c>
      <c r="N79" s="546" t="s">
        <v>769</v>
      </c>
      <c r="O79" s="554" t="s">
        <v>770</v>
      </c>
      <c r="P79" s="13"/>
      <c r="Q79" s="554" t="s">
        <v>101</v>
      </c>
      <c r="R79" s="554" t="s">
        <v>102</v>
      </c>
      <c r="S79" s="558" t="s">
        <v>103</v>
      </c>
      <c r="T79" s="558" t="s">
        <v>104</v>
      </c>
      <c r="U79" s="554" t="s">
        <v>105</v>
      </c>
      <c r="V79" s="546" t="s">
        <v>106</v>
      </c>
      <c r="W79" s="554" t="s">
        <v>771</v>
      </c>
      <c r="X79" s="573"/>
      <c r="Y79" s="546" t="s">
        <v>107</v>
      </c>
      <c r="Z79" s="546" t="s">
        <v>772</v>
      </c>
      <c r="AA79" s="546" t="s">
        <v>773</v>
      </c>
      <c r="AB79" s="358"/>
      <c r="AC79" s="546" t="s">
        <v>774</v>
      </c>
      <c r="AD79" s="546" t="s">
        <v>775</v>
      </c>
      <c r="AE79" s="358"/>
      <c r="AF79" s="717"/>
      <c r="AG79" s="717"/>
      <c r="AH79" s="588"/>
    </row>
    <row r="80" spans="1:39" s="387" customFormat="1" ht="34.25" hidden="1" customHeight="1" outlineLevel="2" collapsed="1">
      <c r="A80" s="721" t="s">
        <v>109</v>
      </c>
      <c r="B80" s="733" t="s">
        <v>110</v>
      </c>
      <c r="C80" s="734" t="s">
        <v>170</v>
      </c>
      <c r="D80" s="820" t="s">
        <v>111</v>
      </c>
      <c r="E80" s="820"/>
      <c r="F80" s="757"/>
      <c r="G80" s="710"/>
      <c r="H80" s="838" t="str">
        <f>IF(G80="","",G80/$G$179)</f>
        <v/>
      </c>
      <c r="I80" s="710"/>
      <c r="J80" s="710"/>
      <c r="K80" s="712" t="str">
        <f>IF(SUM(I80:J81)=0,"",SUM(I80:J81))</f>
        <v/>
      </c>
      <c r="L80" s="362"/>
      <c r="M80" s="796"/>
      <c r="N80" s="401" t="b">
        <v>0</v>
      </c>
      <c r="O80" s="5"/>
      <c r="P80" s="363"/>
      <c r="Q80" s="712"/>
      <c r="R80" s="710"/>
      <c r="S80" s="710"/>
      <c r="T80" s="710"/>
      <c r="U80" s="710"/>
      <c r="V80" s="712">
        <f t="shared" ref="V80:V81" si="8">IF(M80=TRUE,SUM(Q80:U80),0)</f>
        <v>0</v>
      </c>
      <c r="W80" s="712"/>
      <c r="X80" s="362"/>
      <c r="Y80" s="364" t="s">
        <v>112</v>
      </c>
      <c r="Z80" s="5"/>
      <c r="AA80" s="5"/>
      <c r="AB80" s="358"/>
      <c r="AC80" s="712"/>
      <c r="AD80" s="712"/>
      <c r="AE80" s="358"/>
      <c r="AF80" s="712" t="str">
        <f t="shared" ref="AF80:AF86" si="9">IF(G80="","",IF(AND(V80="",Z80="",Z81="",AC80=""),"Missing Info",IF(G80-V80-Z80-Z81+AC80=0,"OK","Review financial exposure")))</f>
        <v/>
      </c>
      <c r="AG80" s="712" t="str">
        <f>IF(K80="","",IF(AND(W80="",AA80="",AA81="",AD80=""),"Missing Info",IF(K80-W80-AA80-AA81+AD80=0,"OK","Review emissions")))</f>
        <v/>
      </c>
      <c r="AH80" s="588"/>
      <c r="AK80" s="108" t="s">
        <v>171</v>
      </c>
      <c r="AL80" s="387">
        <f>COUNTIFS($AK$80:$AK$166,$AK80,M$80:M$166,TRUE)</f>
        <v>0</v>
      </c>
      <c r="AM80" s="387">
        <f>COUNTIFS($AK$80:$AK$166,$AK80,N$80:N$166,TRUE)</f>
        <v>0</v>
      </c>
    </row>
    <row r="81" spans="1:39" s="387" customFormat="1" ht="34.25" hidden="1" customHeight="1" outlineLevel="3">
      <c r="A81" s="722"/>
      <c r="B81" s="733"/>
      <c r="C81" s="735"/>
      <c r="D81" s="821"/>
      <c r="E81" s="821"/>
      <c r="F81" s="761"/>
      <c r="G81" s="711"/>
      <c r="H81" s="839"/>
      <c r="I81" s="711"/>
      <c r="J81" s="711"/>
      <c r="K81" s="713"/>
      <c r="L81" s="362"/>
      <c r="M81" s="797"/>
      <c r="N81" s="401" t="b">
        <v>0</v>
      </c>
      <c r="O81" s="5"/>
      <c r="P81" s="363"/>
      <c r="Q81" s="713"/>
      <c r="R81" s="711"/>
      <c r="S81" s="711"/>
      <c r="T81" s="711"/>
      <c r="U81" s="711"/>
      <c r="V81" s="713">
        <f t="shared" si="8"/>
        <v>0</v>
      </c>
      <c r="W81" s="713"/>
      <c r="X81" s="362"/>
      <c r="Y81" s="364" t="s">
        <v>114</v>
      </c>
      <c r="Z81" s="5"/>
      <c r="AA81" s="5"/>
      <c r="AB81" s="358"/>
      <c r="AC81" s="713"/>
      <c r="AD81" s="713"/>
      <c r="AE81" s="358"/>
      <c r="AF81" s="713"/>
      <c r="AG81" s="713"/>
      <c r="AH81" s="588"/>
      <c r="AK81" s="108" t="s">
        <v>171</v>
      </c>
      <c r="AL81" s="387">
        <f t="shared" ref="AL81:AM144" si="10">COUNTIFS($AK$80:$AK$166,$AK81,M$80:M$166,TRUE)</f>
        <v>0</v>
      </c>
      <c r="AM81" s="387">
        <f t="shared" si="10"/>
        <v>0</v>
      </c>
    </row>
    <row r="82" spans="1:39" s="387" customFormat="1" ht="39" hidden="1" customHeight="1" outlineLevel="3">
      <c r="A82" s="722"/>
      <c r="B82" s="733"/>
      <c r="C82" s="735"/>
      <c r="D82" s="728" t="s">
        <v>115</v>
      </c>
      <c r="E82" s="764" t="s">
        <v>315</v>
      </c>
      <c r="F82" s="765"/>
      <c r="G82" s="710"/>
      <c r="H82" s="838" t="str">
        <f>IF(G82="","",G82/$G$179)</f>
        <v/>
      </c>
      <c r="I82" s="710"/>
      <c r="J82" s="710"/>
      <c r="K82" s="712" t="str">
        <f>IF(SUM(I82:J83)=0,"",SUM(I82:J83))</f>
        <v/>
      </c>
      <c r="L82" s="362"/>
      <c r="M82" s="796"/>
      <c r="N82" s="401" t="b">
        <v>0</v>
      </c>
      <c r="O82" s="5"/>
      <c r="P82" s="363"/>
      <c r="Q82" s="712"/>
      <c r="R82" s="710"/>
      <c r="S82" s="710"/>
      <c r="T82" s="710"/>
      <c r="U82" s="710"/>
      <c r="V82" s="712">
        <f t="shared" ref="V82:V87" si="11">IF(M82=TRUE,SUM(Q82:U82),0)</f>
        <v>0</v>
      </c>
      <c r="W82" s="712"/>
      <c r="X82" s="362"/>
      <c r="Y82" s="364" t="s">
        <v>112</v>
      </c>
      <c r="Z82" s="5"/>
      <c r="AA82" s="5"/>
      <c r="AB82" s="358"/>
      <c r="AC82" s="712"/>
      <c r="AD82" s="712"/>
      <c r="AE82" s="358"/>
      <c r="AF82" s="712" t="str">
        <f t="shared" si="9"/>
        <v/>
      </c>
      <c r="AG82" s="712" t="str">
        <f>IF(K82="","",IF(AND(W82="",AA82="",AA83="",AD82=""),"Missing Info",IF(K82-W82-AA82-AA83+AD82=0,"OK","Review emissions")))</f>
        <v/>
      </c>
      <c r="AH82" s="588"/>
      <c r="AK82" s="108" t="s">
        <v>171</v>
      </c>
      <c r="AL82" s="387">
        <f t="shared" si="10"/>
        <v>0</v>
      </c>
      <c r="AM82" s="387">
        <f t="shared" si="10"/>
        <v>0</v>
      </c>
    </row>
    <row r="83" spans="1:39" s="387" customFormat="1" ht="39" hidden="1" customHeight="1" outlineLevel="3">
      <c r="A83" s="722"/>
      <c r="B83" s="733"/>
      <c r="C83" s="735"/>
      <c r="D83" s="823"/>
      <c r="E83" s="766"/>
      <c r="F83" s="767"/>
      <c r="G83" s="711"/>
      <c r="H83" s="839"/>
      <c r="I83" s="711"/>
      <c r="J83" s="711"/>
      <c r="K83" s="713"/>
      <c r="L83" s="362"/>
      <c r="M83" s="797"/>
      <c r="N83" s="401" t="b">
        <v>0</v>
      </c>
      <c r="O83" s="5"/>
      <c r="P83" s="363"/>
      <c r="Q83" s="713"/>
      <c r="R83" s="711"/>
      <c r="S83" s="711"/>
      <c r="T83" s="711"/>
      <c r="U83" s="711"/>
      <c r="V83" s="713">
        <f t="shared" si="11"/>
        <v>0</v>
      </c>
      <c r="W83" s="713"/>
      <c r="X83" s="362"/>
      <c r="Y83" s="364" t="s">
        <v>114</v>
      </c>
      <c r="Z83" s="5"/>
      <c r="AA83" s="5"/>
      <c r="AB83" s="358"/>
      <c r="AC83" s="713"/>
      <c r="AD83" s="713"/>
      <c r="AE83" s="358"/>
      <c r="AF83" s="713"/>
      <c r="AG83" s="713"/>
      <c r="AH83" s="588"/>
      <c r="AK83" s="108" t="s">
        <v>171</v>
      </c>
      <c r="AL83" s="387">
        <f t="shared" si="10"/>
        <v>0</v>
      </c>
      <c r="AM83" s="387">
        <f t="shared" si="10"/>
        <v>0</v>
      </c>
    </row>
    <row r="84" spans="1:39" s="387" customFormat="1" ht="39" hidden="1" customHeight="1" outlineLevel="3">
      <c r="A84" s="722"/>
      <c r="B84" s="733"/>
      <c r="C84" s="735"/>
      <c r="D84" s="823"/>
      <c r="E84" s="764" t="s">
        <v>316</v>
      </c>
      <c r="F84" s="765"/>
      <c r="G84" s="710"/>
      <c r="H84" s="838" t="str">
        <f>IF(G84="","",G84/$G$179)</f>
        <v/>
      </c>
      <c r="I84" s="710"/>
      <c r="J84" s="710"/>
      <c r="K84" s="712" t="str">
        <f>IF(SUM(I84:J85)=0,"",SUM(I84:J85))</f>
        <v/>
      </c>
      <c r="L84" s="362"/>
      <c r="M84" s="796"/>
      <c r="N84" s="401" t="b">
        <v>0</v>
      </c>
      <c r="O84" s="5"/>
      <c r="P84" s="363"/>
      <c r="Q84" s="712"/>
      <c r="R84" s="710"/>
      <c r="S84" s="710"/>
      <c r="T84" s="710"/>
      <c r="U84" s="710"/>
      <c r="V84" s="712">
        <f t="shared" si="11"/>
        <v>0</v>
      </c>
      <c r="W84" s="712"/>
      <c r="X84" s="362"/>
      <c r="Y84" s="364" t="s">
        <v>112</v>
      </c>
      <c r="Z84" s="5"/>
      <c r="AA84" s="5"/>
      <c r="AB84" s="358"/>
      <c r="AC84" s="712"/>
      <c r="AD84" s="712"/>
      <c r="AE84" s="358"/>
      <c r="AF84" s="712" t="str">
        <f t="shared" si="9"/>
        <v/>
      </c>
      <c r="AG84" s="712" t="str">
        <f>IF(K84="","",IF(AND(W84="",AA84="",AA85="",AD84=""),"Missing Info",IF(K84-W84-AA84-AA85+AD84=0,"OK","Review emissions")))</f>
        <v/>
      </c>
      <c r="AH84" s="588"/>
      <c r="AK84" s="108" t="s">
        <v>171</v>
      </c>
      <c r="AL84" s="387">
        <f t="shared" si="10"/>
        <v>0</v>
      </c>
      <c r="AM84" s="387">
        <f t="shared" si="10"/>
        <v>0</v>
      </c>
    </row>
    <row r="85" spans="1:39" s="387" customFormat="1" ht="39" hidden="1" customHeight="1" outlineLevel="3">
      <c r="A85" s="722"/>
      <c r="B85" s="733"/>
      <c r="C85" s="735"/>
      <c r="D85" s="823"/>
      <c r="E85" s="766"/>
      <c r="F85" s="767"/>
      <c r="G85" s="711"/>
      <c r="H85" s="839"/>
      <c r="I85" s="711"/>
      <c r="J85" s="711"/>
      <c r="K85" s="713"/>
      <c r="L85" s="362"/>
      <c r="M85" s="797"/>
      <c r="N85" s="401" t="b">
        <v>0</v>
      </c>
      <c r="O85" s="5"/>
      <c r="P85" s="363"/>
      <c r="Q85" s="713"/>
      <c r="R85" s="711"/>
      <c r="S85" s="711"/>
      <c r="T85" s="711"/>
      <c r="U85" s="711"/>
      <c r="V85" s="713">
        <f t="shared" si="11"/>
        <v>0</v>
      </c>
      <c r="W85" s="713"/>
      <c r="X85" s="362"/>
      <c r="Y85" s="364" t="s">
        <v>114</v>
      </c>
      <c r="Z85" s="5"/>
      <c r="AA85" s="5"/>
      <c r="AB85" s="358"/>
      <c r="AC85" s="713"/>
      <c r="AD85" s="713"/>
      <c r="AE85" s="358"/>
      <c r="AF85" s="713"/>
      <c r="AG85" s="713"/>
      <c r="AH85" s="588"/>
      <c r="AK85" s="108" t="s">
        <v>171</v>
      </c>
      <c r="AL85" s="387">
        <f t="shared" si="10"/>
        <v>0</v>
      </c>
      <c r="AM85" s="387">
        <f t="shared" si="10"/>
        <v>0</v>
      </c>
    </row>
    <row r="86" spans="1:39" s="387" customFormat="1" ht="39" hidden="1" customHeight="1" outlineLevel="3">
      <c r="A86" s="722"/>
      <c r="B86" s="733"/>
      <c r="C86" s="735"/>
      <c r="D86" s="823"/>
      <c r="E86" s="764" t="s">
        <v>317</v>
      </c>
      <c r="F86" s="765"/>
      <c r="G86" s="710"/>
      <c r="H86" s="838" t="str">
        <f>IF(G86="","",G86/$G$179)</f>
        <v/>
      </c>
      <c r="I86" s="710"/>
      <c r="J86" s="710"/>
      <c r="K86" s="712" t="str">
        <f>IF(SUM(I86:J87)=0,"",SUM(I86:J87))</f>
        <v/>
      </c>
      <c r="L86" s="362"/>
      <c r="M86" s="796"/>
      <c r="N86" s="401" t="b">
        <v>0</v>
      </c>
      <c r="O86" s="5"/>
      <c r="P86" s="363"/>
      <c r="Q86" s="712"/>
      <c r="R86" s="710"/>
      <c r="S86" s="710"/>
      <c r="T86" s="710"/>
      <c r="U86" s="710"/>
      <c r="V86" s="712">
        <f t="shared" si="11"/>
        <v>0</v>
      </c>
      <c r="W86" s="712"/>
      <c r="X86" s="362"/>
      <c r="Y86" s="364" t="s">
        <v>112</v>
      </c>
      <c r="Z86" s="5"/>
      <c r="AA86" s="5"/>
      <c r="AB86" s="358"/>
      <c r="AC86" s="712"/>
      <c r="AD86" s="712"/>
      <c r="AE86" s="358"/>
      <c r="AF86" s="712" t="str">
        <f t="shared" si="9"/>
        <v/>
      </c>
      <c r="AG86" s="712" t="str">
        <f>IF(K86="","",IF(AND(W86="",AA86="",AA87="",AD86=""),"Missing Info",IF(K86-W86-AA86-AA87+AD86=0,"OK","Review emissions")))</f>
        <v/>
      </c>
      <c r="AH86" s="588"/>
      <c r="AK86" s="108" t="s">
        <v>171</v>
      </c>
      <c r="AL86" s="387">
        <f t="shared" si="10"/>
        <v>0</v>
      </c>
      <c r="AM86" s="387">
        <f t="shared" si="10"/>
        <v>0</v>
      </c>
    </row>
    <row r="87" spans="1:39" s="387" customFormat="1" ht="39" hidden="1" customHeight="1" outlineLevel="3">
      <c r="A87" s="723"/>
      <c r="B87" s="733"/>
      <c r="C87" s="735"/>
      <c r="D87" s="730"/>
      <c r="E87" s="766"/>
      <c r="F87" s="767"/>
      <c r="G87" s="711"/>
      <c r="H87" s="839"/>
      <c r="I87" s="711"/>
      <c r="J87" s="711"/>
      <c r="K87" s="713"/>
      <c r="L87" s="362"/>
      <c r="M87" s="797"/>
      <c r="N87" s="401" t="b">
        <v>0</v>
      </c>
      <c r="O87" s="5"/>
      <c r="P87" s="363"/>
      <c r="Q87" s="713"/>
      <c r="R87" s="711"/>
      <c r="S87" s="711"/>
      <c r="T87" s="711"/>
      <c r="U87" s="711"/>
      <c r="V87" s="713">
        <f t="shared" si="11"/>
        <v>0</v>
      </c>
      <c r="W87" s="713"/>
      <c r="X87" s="362"/>
      <c r="Y87" s="364" t="s">
        <v>114</v>
      </c>
      <c r="Z87" s="5"/>
      <c r="AA87" s="5"/>
      <c r="AB87" s="358"/>
      <c r="AC87" s="713"/>
      <c r="AD87" s="713"/>
      <c r="AE87" s="358"/>
      <c r="AF87" s="713"/>
      <c r="AG87" s="713"/>
      <c r="AH87" s="588"/>
      <c r="AK87" s="108" t="s">
        <v>171</v>
      </c>
      <c r="AL87" s="387">
        <f t="shared" si="10"/>
        <v>0</v>
      </c>
      <c r="AM87" s="387">
        <f t="shared" si="10"/>
        <v>0</v>
      </c>
    </row>
    <row r="88" spans="1:39" s="387" customFormat="1" ht="39" hidden="1" customHeight="1" outlineLevel="3">
      <c r="A88" s="721" t="s">
        <v>759</v>
      </c>
      <c r="B88" s="733"/>
      <c r="C88" s="735"/>
      <c r="D88" s="724" t="s">
        <v>762</v>
      </c>
      <c r="E88" s="725"/>
      <c r="F88" s="726"/>
      <c r="G88" s="5"/>
      <c r="H88" s="388" t="str">
        <f t="shared" ref="H88:H101" si="12">IF(G88="","",G88/$G$179)</f>
        <v/>
      </c>
      <c r="I88" s="5"/>
      <c r="J88" s="5"/>
      <c r="K88" s="557" t="str">
        <f t="shared" ref="K88:K100" si="13">IF(SUM(I88:J88)=0,"",SUM(I88:J88))</f>
        <v/>
      </c>
      <c r="L88" s="362"/>
      <c r="M88" s="401" t="b">
        <v>0</v>
      </c>
      <c r="N88" s="401" t="b">
        <v>0</v>
      </c>
      <c r="O88" s="5"/>
      <c r="P88" s="363"/>
      <c r="Q88" s="557"/>
      <c r="R88" s="5"/>
      <c r="S88" s="5"/>
      <c r="T88" s="5"/>
      <c r="U88" s="5"/>
      <c r="V88" s="557">
        <f t="shared" ref="V88:V119" si="14">IF(M88=TRUE,SUM(Q88:U88),0)</f>
        <v>0</v>
      </c>
      <c r="W88" s="5"/>
      <c r="X88" s="362"/>
      <c r="Y88" s="364" t="s">
        <v>112</v>
      </c>
      <c r="Z88" s="5"/>
      <c r="AA88" s="5"/>
      <c r="AB88" s="358"/>
      <c r="AC88" s="5"/>
      <c r="AD88" s="5"/>
      <c r="AE88" s="358"/>
      <c r="AF88" s="557" t="str">
        <f t="shared" ref="AF88:AF100" si="15">IF(G88="","",IF(AND(V88="",Z88="",AC88=""),"Missing Info",IF(G88-V88-Z88+AC88=0,"OK","Review financial exposure")))</f>
        <v/>
      </c>
      <c r="AG88" s="557" t="str">
        <f t="shared" ref="AG88:AG100" si="16">IF(K88="","",IF(AND(W88="",AA88="",AD88=""),"Missing Info",IF(K88-W88-AA88+AD88=0,"OK","Review emissions")))</f>
        <v/>
      </c>
      <c r="AH88" s="588"/>
      <c r="AK88" s="108" t="s">
        <v>172</v>
      </c>
      <c r="AL88" s="387">
        <f t="shared" si="10"/>
        <v>0</v>
      </c>
      <c r="AM88" s="387">
        <f t="shared" si="10"/>
        <v>0</v>
      </c>
    </row>
    <row r="89" spans="1:39" s="387" customFormat="1" ht="74" hidden="1" customHeight="1" outlineLevel="3">
      <c r="A89" s="722"/>
      <c r="B89" s="733"/>
      <c r="C89" s="735"/>
      <c r="D89" s="728" t="s">
        <v>761</v>
      </c>
      <c r="E89" s="762" t="s">
        <v>315</v>
      </c>
      <c r="F89" s="763"/>
      <c r="G89" s="5"/>
      <c r="H89" s="388" t="str">
        <f t="shared" si="12"/>
        <v/>
      </c>
      <c r="I89" s="5"/>
      <c r="J89" s="5"/>
      <c r="K89" s="557" t="str">
        <f t="shared" si="13"/>
        <v/>
      </c>
      <c r="L89" s="362"/>
      <c r="M89" s="401" t="b">
        <v>0</v>
      </c>
      <c r="N89" s="401" t="b">
        <v>0</v>
      </c>
      <c r="O89" s="5"/>
      <c r="P89" s="363"/>
      <c r="Q89" s="557"/>
      <c r="R89" s="5"/>
      <c r="S89" s="5"/>
      <c r="T89" s="5"/>
      <c r="U89" s="5"/>
      <c r="V89" s="557">
        <f t="shared" si="14"/>
        <v>0</v>
      </c>
      <c r="W89" s="5"/>
      <c r="X89" s="362"/>
      <c r="Y89" s="364" t="s">
        <v>112</v>
      </c>
      <c r="Z89" s="5"/>
      <c r="AA89" s="5"/>
      <c r="AB89" s="358"/>
      <c r="AC89" s="5"/>
      <c r="AD89" s="5"/>
      <c r="AE89" s="358"/>
      <c r="AF89" s="557" t="str">
        <f t="shared" si="15"/>
        <v/>
      </c>
      <c r="AG89" s="557" t="str">
        <f t="shared" si="16"/>
        <v/>
      </c>
      <c r="AH89" s="588"/>
      <c r="AK89" s="108" t="s">
        <v>172</v>
      </c>
      <c r="AL89" s="387">
        <f t="shared" si="10"/>
        <v>0</v>
      </c>
      <c r="AM89" s="387">
        <f t="shared" si="10"/>
        <v>0</v>
      </c>
    </row>
    <row r="90" spans="1:39" s="387" customFormat="1" ht="63" hidden="1" customHeight="1" outlineLevel="3">
      <c r="A90" s="722"/>
      <c r="B90" s="733"/>
      <c r="C90" s="735"/>
      <c r="D90" s="823"/>
      <c r="E90" s="762" t="s">
        <v>316</v>
      </c>
      <c r="F90" s="763"/>
      <c r="G90" s="5"/>
      <c r="H90" s="388" t="str">
        <f t="shared" si="12"/>
        <v/>
      </c>
      <c r="I90" s="5"/>
      <c r="J90" s="5"/>
      <c r="K90" s="557" t="str">
        <f t="shared" si="13"/>
        <v/>
      </c>
      <c r="L90" s="362"/>
      <c r="M90" s="401" t="b">
        <v>0</v>
      </c>
      <c r="N90" s="401" t="b">
        <v>0</v>
      </c>
      <c r="O90" s="5"/>
      <c r="P90" s="363"/>
      <c r="Q90" s="557"/>
      <c r="R90" s="5"/>
      <c r="S90" s="5"/>
      <c r="T90" s="5"/>
      <c r="U90" s="5"/>
      <c r="V90" s="557">
        <f t="shared" si="14"/>
        <v>0</v>
      </c>
      <c r="W90" s="5"/>
      <c r="X90" s="362"/>
      <c r="Y90" s="364" t="s">
        <v>112</v>
      </c>
      <c r="Z90" s="5"/>
      <c r="AA90" s="5"/>
      <c r="AB90" s="358"/>
      <c r="AC90" s="5"/>
      <c r="AD90" s="5"/>
      <c r="AE90" s="358"/>
      <c r="AF90" s="557" t="str">
        <f t="shared" si="15"/>
        <v/>
      </c>
      <c r="AG90" s="557" t="str">
        <f t="shared" si="16"/>
        <v/>
      </c>
      <c r="AH90" s="588"/>
      <c r="AK90" s="108" t="s">
        <v>172</v>
      </c>
      <c r="AL90" s="387">
        <f t="shared" si="10"/>
        <v>0</v>
      </c>
      <c r="AM90" s="387">
        <f t="shared" si="10"/>
        <v>0</v>
      </c>
    </row>
    <row r="91" spans="1:39" s="387" customFormat="1" ht="39" hidden="1" customHeight="1" outlineLevel="3">
      <c r="A91" s="723"/>
      <c r="B91" s="788"/>
      <c r="C91" s="736"/>
      <c r="D91" s="730"/>
      <c r="E91" s="762" t="s">
        <v>317</v>
      </c>
      <c r="F91" s="763"/>
      <c r="G91" s="5"/>
      <c r="H91" s="388" t="str">
        <f t="shared" si="12"/>
        <v/>
      </c>
      <c r="I91" s="5"/>
      <c r="J91" s="5"/>
      <c r="K91" s="557" t="str">
        <f t="shared" si="13"/>
        <v/>
      </c>
      <c r="L91" s="362"/>
      <c r="M91" s="401" t="b">
        <v>0</v>
      </c>
      <c r="N91" s="401" t="b">
        <v>0</v>
      </c>
      <c r="O91" s="5"/>
      <c r="P91" s="363"/>
      <c r="Q91" s="557"/>
      <c r="R91" s="5"/>
      <c r="S91" s="5"/>
      <c r="T91" s="5"/>
      <c r="U91" s="5"/>
      <c r="V91" s="557">
        <f t="shared" si="14"/>
        <v>0</v>
      </c>
      <c r="W91" s="5"/>
      <c r="X91" s="362"/>
      <c r="Y91" s="364" t="s">
        <v>112</v>
      </c>
      <c r="Z91" s="5"/>
      <c r="AA91" s="5"/>
      <c r="AB91" s="358"/>
      <c r="AC91" s="5"/>
      <c r="AD91" s="5"/>
      <c r="AE91" s="358"/>
      <c r="AF91" s="557" t="str">
        <f t="shared" si="15"/>
        <v/>
      </c>
      <c r="AG91" s="557" t="str">
        <f t="shared" si="16"/>
        <v/>
      </c>
      <c r="AH91" s="588"/>
      <c r="AK91" s="108" t="s">
        <v>172</v>
      </c>
      <c r="AL91" s="387">
        <f t="shared" si="10"/>
        <v>0</v>
      </c>
      <c r="AM91" s="387">
        <f t="shared" si="10"/>
        <v>0</v>
      </c>
    </row>
    <row r="92" spans="1:39" s="391" customFormat="1" ht="39" hidden="1" customHeight="1" outlineLevel="2" collapsed="1">
      <c r="A92" s="721" t="s">
        <v>118</v>
      </c>
      <c r="B92" s="732" t="s">
        <v>119</v>
      </c>
      <c r="C92" s="724" t="s">
        <v>120</v>
      </c>
      <c r="D92" s="725"/>
      <c r="E92" s="725"/>
      <c r="F92" s="726"/>
      <c r="G92" s="5"/>
      <c r="H92" s="388" t="str">
        <f t="shared" si="12"/>
        <v/>
      </c>
      <c r="I92" s="5"/>
      <c r="J92" s="5"/>
      <c r="K92" s="557" t="str">
        <f t="shared" si="13"/>
        <v/>
      </c>
      <c r="L92" s="362"/>
      <c r="M92" s="31" t="b">
        <v>0</v>
      </c>
      <c r="N92" s="389"/>
      <c r="O92" s="402"/>
      <c r="P92" s="363"/>
      <c r="Q92" s="557"/>
      <c r="R92" s="5"/>
      <c r="S92" s="5"/>
      <c r="T92" s="5"/>
      <c r="U92" s="5"/>
      <c r="V92" s="557">
        <f t="shared" si="14"/>
        <v>0</v>
      </c>
      <c r="W92" s="5"/>
      <c r="X92" s="362"/>
      <c r="Y92" s="557"/>
      <c r="Z92" s="557"/>
      <c r="AA92" s="557"/>
      <c r="AB92" s="390"/>
      <c r="AC92" s="557"/>
      <c r="AD92" s="557"/>
      <c r="AE92" s="362"/>
      <c r="AF92" s="557" t="str">
        <f t="shared" si="15"/>
        <v/>
      </c>
      <c r="AG92" s="557" t="str">
        <f t="shared" si="16"/>
        <v/>
      </c>
      <c r="AH92" s="589"/>
      <c r="AK92" s="108" t="s">
        <v>173</v>
      </c>
      <c r="AL92" s="387">
        <f t="shared" si="10"/>
        <v>0</v>
      </c>
      <c r="AM92" s="387">
        <f t="shared" si="10"/>
        <v>0</v>
      </c>
    </row>
    <row r="93" spans="1:39" s="391" customFormat="1" ht="78" hidden="1" customHeight="1" outlineLevel="3">
      <c r="A93" s="722"/>
      <c r="B93" s="733"/>
      <c r="C93" s="756" t="s">
        <v>122</v>
      </c>
      <c r="D93" s="757"/>
      <c r="E93" s="762" t="s">
        <v>345</v>
      </c>
      <c r="F93" s="763"/>
      <c r="G93" s="5"/>
      <c r="H93" s="388" t="str">
        <f t="shared" si="12"/>
        <v/>
      </c>
      <c r="I93" s="5"/>
      <c r="J93" s="5"/>
      <c r="K93" s="557" t="str">
        <f t="shared" si="13"/>
        <v/>
      </c>
      <c r="L93" s="362"/>
      <c r="M93" s="31" t="b">
        <v>0</v>
      </c>
      <c r="N93" s="389"/>
      <c r="O93" s="402"/>
      <c r="P93" s="363"/>
      <c r="Q93" s="557"/>
      <c r="R93" s="5"/>
      <c r="S93" s="5"/>
      <c r="T93" s="5"/>
      <c r="U93" s="5"/>
      <c r="V93" s="557">
        <f t="shared" si="14"/>
        <v>0</v>
      </c>
      <c r="W93" s="5"/>
      <c r="X93" s="362"/>
      <c r="Y93" s="557"/>
      <c r="Z93" s="557"/>
      <c r="AA93" s="557"/>
      <c r="AB93" s="390"/>
      <c r="AC93" s="557"/>
      <c r="AD93" s="557"/>
      <c r="AE93" s="362"/>
      <c r="AF93" s="557" t="str">
        <f t="shared" si="15"/>
        <v/>
      </c>
      <c r="AG93" s="557" t="str">
        <f t="shared" si="16"/>
        <v/>
      </c>
      <c r="AH93" s="589"/>
      <c r="AK93" s="108" t="s">
        <v>173</v>
      </c>
      <c r="AL93" s="387">
        <f t="shared" si="10"/>
        <v>0</v>
      </c>
      <c r="AM93" s="387">
        <f t="shared" si="10"/>
        <v>0</v>
      </c>
    </row>
    <row r="94" spans="1:39" s="391" customFormat="1" ht="78" hidden="1" customHeight="1" outlineLevel="3">
      <c r="A94" s="722"/>
      <c r="B94" s="733"/>
      <c r="C94" s="758"/>
      <c r="D94" s="759"/>
      <c r="E94" s="762" t="s">
        <v>319</v>
      </c>
      <c r="F94" s="763"/>
      <c r="G94" s="5"/>
      <c r="H94" s="388" t="str">
        <f t="shared" si="12"/>
        <v/>
      </c>
      <c r="I94" s="5"/>
      <c r="J94" s="5"/>
      <c r="K94" s="557" t="str">
        <f t="shared" si="13"/>
        <v/>
      </c>
      <c r="L94" s="362"/>
      <c r="M94" s="31" t="b">
        <v>0</v>
      </c>
      <c r="N94" s="389"/>
      <c r="O94" s="402"/>
      <c r="P94" s="363"/>
      <c r="Q94" s="557"/>
      <c r="R94" s="5"/>
      <c r="S94" s="5"/>
      <c r="T94" s="5"/>
      <c r="U94" s="5"/>
      <c r="V94" s="557">
        <f t="shared" si="14"/>
        <v>0</v>
      </c>
      <c r="W94" s="5"/>
      <c r="X94" s="362"/>
      <c r="Y94" s="557"/>
      <c r="Z94" s="557"/>
      <c r="AA94" s="557"/>
      <c r="AB94" s="390"/>
      <c r="AC94" s="557"/>
      <c r="AD94" s="557"/>
      <c r="AE94" s="362"/>
      <c r="AF94" s="557" t="str">
        <f t="shared" si="15"/>
        <v/>
      </c>
      <c r="AG94" s="557" t="str">
        <f t="shared" si="16"/>
        <v/>
      </c>
      <c r="AH94" s="589"/>
      <c r="AK94" s="108" t="s">
        <v>173</v>
      </c>
      <c r="AL94" s="387">
        <f t="shared" si="10"/>
        <v>0</v>
      </c>
      <c r="AM94" s="387">
        <f t="shared" si="10"/>
        <v>0</v>
      </c>
    </row>
    <row r="95" spans="1:39" s="391" customFormat="1" ht="39" hidden="1" customHeight="1" outlineLevel="3">
      <c r="A95" s="722"/>
      <c r="B95" s="733"/>
      <c r="C95" s="758"/>
      <c r="D95" s="759"/>
      <c r="E95" s="762" t="s">
        <v>320</v>
      </c>
      <c r="F95" s="763"/>
      <c r="G95" s="5"/>
      <c r="H95" s="388" t="str">
        <f t="shared" si="12"/>
        <v/>
      </c>
      <c r="I95" s="5"/>
      <c r="J95" s="5"/>
      <c r="K95" s="557" t="str">
        <f t="shared" si="13"/>
        <v/>
      </c>
      <c r="L95" s="362"/>
      <c r="M95" s="31" t="b">
        <v>0</v>
      </c>
      <c r="N95" s="389"/>
      <c r="O95" s="402"/>
      <c r="P95" s="363"/>
      <c r="Q95" s="557"/>
      <c r="R95" s="5"/>
      <c r="S95" s="5"/>
      <c r="T95" s="5"/>
      <c r="U95" s="5"/>
      <c r="V95" s="557">
        <f t="shared" si="14"/>
        <v>0</v>
      </c>
      <c r="W95" s="5"/>
      <c r="X95" s="362"/>
      <c r="Y95" s="557"/>
      <c r="Z95" s="557"/>
      <c r="AA95" s="557"/>
      <c r="AB95" s="390"/>
      <c r="AC95" s="557"/>
      <c r="AD95" s="557"/>
      <c r="AE95" s="362"/>
      <c r="AF95" s="557" t="str">
        <f t="shared" si="15"/>
        <v/>
      </c>
      <c r="AG95" s="557" t="str">
        <f t="shared" si="16"/>
        <v/>
      </c>
      <c r="AH95" s="589"/>
      <c r="AK95" s="108" t="s">
        <v>173</v>
      </c>
      <c r="AL95" s="387">
        <f t="shared" si="10"/>
        <v>0</v>
      </c>
      <c r="AM95" s="387">
        <f t="shared" si="10"/>
        <v>0</v>
      </c>
    </row>
    <row r="96" spans="1:39" s="391" customFormat="1" ht="39" hidden="1" customHeight="1" outlineLevel="3">
      <c r="A96" s="723"/>
      <c r="B96" s="733"/>
      <c r="C96" s="760"/>
      <c r="D96" s="761"/>
      <c r="E96" s="762" t="s">
        <v>346</v>
      </c>
      <c r="F96" s="763"/>
      <c r="G96" s="5"/>
      <c r="H96" s="388" t="str">
        <f t="shared" si="12"/>
        <v/>
      </c>
      <c r="I96" s="5"/>
      <c r="J96" s="5"/>
      <c r="K96" s="557" t="str">
        <f t="shared" si="13"/>
        <v/>
      </c>
      <c r="L96" s="362"/>
      <c r="M96" s="31" t="b">
        <v>0</v>
      </c>
      <c r="N96" s="389"/>
      <c r="O96" s="402"/>
      <c r="P96" s="363"/>
      <c r="Q96" s="557"/>
      <c r="R96" s="5"/>
      <c r="S96" s="5"/>
      <c r="T96" s="5"/>
      <c r="U96" s="5"/>
      <c r="V96" s="557">
        <f t="shared" si="14"/>
        <v>0</v>
      </c>
      <c r="W96" s="5"/>
      <c r="X96" s="362"/>
      <c r="Y96" s="557"/>
      <c r="Z96" s="557"/>
      <c r="AA96" s="557"/>
      <c r="AB96" s="390"/>
      <c r="AC96" s="557"/>
      <c r="AD96" s="557"/>
      <c r="AE96" s="362"/>
      <c r="AF96" s="557" t="str">
        <f t="shared" si="15"/>
        <v/>
      </c>
      <c r="AG96" s="557" t="str">
        <f t="shared" si="16"/>
        <v/>
      </c>
      <c r="AH96" s="589"/>
      <c r="AK96" s="108" t="s">
        <v>173</v>
      </c>
      <c r="AL96" s="387">
        <f t="shared" si="10"/>
        <v>0</v>
      </c>
      <c r="AM96" s="387">
        <f t="shared" si="10"/>
        <v>0</v>
      </c>
    </row>
    <row r="97" spans="1:39" s="391" customFormat="1" ht="39" hidden="1" customHeight="1" outlineLevel="3">
      <c r="A97" s="721" t="s">
        <v>174</v>
      </c>
      <c r="B97" s="733"/>
      <c r="C97" s="810" t="s">
        <v>175</v>
      </c>
      <c r="D97" s="737" t="s">
        <v>176</v>
      </c>
      <c r="E97" s="738"/>
      <c r="F97" s="739"/>
      <c r="G97" s="539"/>
      <c r="H97" s="388" t="str">
        <f t="shared" si="12"/>
        <v/>
      </c>
      <c r="I97" s="539"/>
      <c r="J97" s="539"/>
      <c r="K97" s="540" t="str">
        <f t="shared" si="13"/>
        <v/>
      </c>
      <c r="L97" s="362"/>
      <c r="M97" s="31" t="b">
        <v>0</v>
      </c>
      <c r="N97" s="401" t="b">
        <v>0</v>
      </c>
      <c r="O97" s="402"/>
      <c r="P97" s="363"/>
      <c r="Q97" s="540"/>
      <c r="R97" s="5"/>
      <c r="S97" s="5"/>
      <c r="T97" s="5"/>
      <c r="U97" s="5"/>
      <c r="V97" s="540">
        <f t="shared" si="14"/>
        <v>0</v>
      </c>
      <c r="W97" s="5"/>
      <c r="X97" s="362"/>
      <c r="Y97" s="364" t="s">
        <v>177</v>
      </c>
      <c r="Z97" s="5"/>
      <c r="AA97" s="5"/>
      <c r="AB97" s="392"/>
      <c r="AC97" s="5"/>
      <c r="AD97" s="5"/>
      <c r="AE97" s="362"/>
      <c r="AF97" s="557" t="str">
        <f t="shared" si="15"/>
        <v/>
      </c>
      <c r="AG97" s="557" t="str">
        <f t="shared" si="16"/>
        <v/>
      </c>
      <c r="AH97" s="589"/>
      <c r="AK97" s="108" t="s">
        <v>178</v>
      </c>
      <c r="AL97" s="387">
        <f t="shared" si="10"/>
        <v>0</v>
      </c>
      <c r="AM97" s="387">
        <f t="shared" si="10"/>
        <v>0</v>
      </c>
    </row>
    <row r="98" spans="1:39" s="391" customFormat="1" ht="68" hidden="1" customHeight="1" outlineLevel="3">
      <c r="A98" s="722"/>
      <c r="B98" s="733"/>
      <c r="C98" s="826"/>
      <c r="D98" s="734" t="s">
        <v>179</v>
      </c>
      <c r="E98" s="762" t="s">
        <v>345</v>
      </c>
      <c r="F98" s="763"/>
      <c r="G98" s="539"/>
      <c r="H98" s="388" t="str">
        <f t="shared" si="12"/>
        <v/>
      </c>
      <c r="I98" s="539"/>
      <c r="J98" s="539"/>
      <c r="K98" s="540" t="str">
        <f t="shared" si="13"/>
        <v/>
      </c>
      <c r="L98" s="362"/>
      <c r="M98" s="31" t="b">
        <v>0</v>
      </c>
      <c r="N98" s="401" t="b">
        <v>0</v>
      </c>
      <c r="O98" s="402"/>
      <c r="P98" s="363"/>
      <c r="Q98" s="540"/>
      <c r="R98" s="5"/>
      <c r="S98" s="5"/>
      <c r="T98" s="5"/>
      <c r="U98" s="5"/>
      <c r="V98" s="540">
        <f t="shared" si="14"/>
        <v>0</v>
      </c>
      <c r="W98" s="5"/>
      <c r="X98" s="362"/>
      <c r="Y98" s="364" t="s">
        <v>177</v>
      </c>
      <c r="Z98" s="5"/>
      <c r="AA98" s="5"/>
      <c r="AB98" s="392"/>
      <c r="AC98" s="5"/>
      <c r="AD98" s="5"/>
      <c r="AE98" s="362"/>
      <c r="AF98" s="557" t="str">
        <f t="shared" si="15"/>
        <v/>
      </c>
      <c r="AG98" s="557" t="str">
        <f t="shared" si="16"/>
        <v/>
      </c>
      <c r="AH98" s="589"/>
      <c r="AK98" s="108" t="s">
        <v>178</v>
      </c>
      <c r="AL98" s="387">
        <f t="shared" si="10"/>
        <v>0</v>
      </c>
      <c r="AM98" s="387">
        <f t="shared" si="10"/>
        <v>0</v>
      </c>
    </row>
    <row r="99" spans="1:39" s="391" customFormat="1" ht="68" hidden="1" customHeight="1" outlineLevel="3">
      <c r="A99" s="722"/>
      <c r="B99" s="733"/>
      <c r="C99" s="826"/>
      <c r="D99" s="735"/>
      <c r="E99" s="762" t="s">
        <v>319</v>
      </c>
      <c r="F99" s="763"/>
      <c r="G99" s="539"/>
      <c r="H99" s="388" t="str">
        <f t="shared" si="12"/>
        <v/>
      </c>
      <c r="I99" s="539"/>
      <c r="J99" s="539"/>
      <c r="K99" s="540" t="str">
        <f t="shared" si="13"/>
        <v/>
      </c>
      <c r="L99" s="362"/>
      <c r="M99" s="544" t="b">
        <v>0</v>
      </c>
      <c r="N99" s="401" t="b">
        <v>0</v>
      </c>
      <c r="O99" s="402"/>
      <c r="P99" s="363"/>
      <c r="Q99" s="540"/>
      <c r="R99" s="5"/>
      <c r="S99" s="5"/>
      <c r="T99" s="5"/>
      <c r="U99" s="5"/>
      <c r="V99" s="540">
        <f t="shared" si="14"/>
        <v>0</v>
      </c>
      <c r="W99" s="5"/>
      <c r="X99" s="362"/>
      <c r="Y99" s="364" t="s">
        <v>177</v>
      </c>
      <c r="Z99" s="5"/>
      <c r="AA99" s="5"/>
      <c r="AB99" s="392"/>
      <c r="AC99" s="5"/>
      <c r="AD99" s="5"/>
      <c r="AE99" s="363"/>
      <c r="AF99" s="557" t="str">
        <f t="shared" si="15"/>
        <v/>
      </c>
      <c r="AG99" s="557" t="str">
        <f t="shared" si="16"/>
        <v/>
      </c>
      <c r="AH99" s="589"/>
      <c r="AK99" s="108" t="s">
        <v>178</v>
      </c>
      <c r="AL99" s="387">
        <f t="shared" si="10"/>
        <v>0</v>
      </c>
      <c r="AM99" s="387">
        <f t="shared" si="10"/>
        <v>0</v>
      </c>
    </row>
    <row r="100" spans="1:39" s="391" customFormat="1" ht="39" hidden="1" customHeight="1" outlineLevel="3">
      <c r="A100" s="722"/>
      <c r="B100" s="733"/>
      <c r="C100" s="826"/>
      <c r="D100" s="736"/>
      <c r="E100" s="762" t="s">
        <v>346</v>
      </c>
      <c r="F100" s="763"/>
      <c r="G100" s="539"/>
      <c r="H100" s="388" t="str">
        <f t="shared" si="12"/>
        <v/>
      </c>
      <c r="I100" s="539"/>
      <c r="J100" s="539"/>
      <c r="K100" s="557" t="str">
        <f t="shared" si="13"/>
        <v/>
      </c>
      <c r="L100" s="362"/>
      <c r="M100" s="544" t="b">
        <v>0</v>
      </c>
      <c r="N100" s="401" t="b">
        <v>0</v>
      </c>
      <c r="O100" s="402"/>
      <c r="P100" s="363"/>
      <c r="Q100" s="557"/>
      <c r="R100" s="5"/>
      <c r="S100" s="5"/>
      <c r="T100" s="5"/>
      <c r="U100" s="5"/>
      <c r="V100" s="557">
        <f t="shared" si="14"/>
        <v>0</v>
      </c>
      <c r="W100" s="5"/>
      <c r="X100" s="362"/>
      <c r="Y100" s="364" t="s">
        <v>177</v>
      </c>
      <c r="Z100" s="5"/>
      <c r="AA100" s="5"/>
      <c r="AB100" s="392"/>
      <c r="AC100" s="5"/>
      <c r="AD100" s="5"/>
      <c r="AE100" s="363"/>
      <c r="AF100" s="557" t="str">
        <f t="shared" si="15"/>
        <v/>
      </c>
      <c r="AG100" s="557" t="str">
        <f t="shared" si="16"/>
        <v/>
      </c>
      <c r="AH100" s="589"/>
      <c r="AK100" s="108" t="s">
        <v>178</v>
      </c>
      <c r="AL100" s="387">
        <f t="shared" si="10"/>
        <v>0</v>
      </c>
      <c r="AM100" s="387">
        <f t="shared" si="10"/>
        <v>0</v>
      </c>
    </row>
    <row r="101" spans="1:39" s="391" customFormat="1" ht="39" hidden="1" customHeight="1" outlineLevel="3">
      <c r="A101" s="722"/>
      <c r="B101" s="733"/>
      <c r="C101" s="826"/>
      <c r="D101" s="740" t="s">
        <v>180</v>
      </c>
      <c r="E101" s="741"/>
      <c r="F101" s="742"/>
      <c r="G101" s="710"/>
      <c r="H101" s="838" t="str">
        <f t="shared" si="12"/>
        <v/>
      </c>
      <c r="I101" s="710"/>
      <c r="J101" s="710"/>
      <c r="K101" s="712" t="str">
        <f>IF(SUM(I101:J102)=0,"",SUM(I101:J102))</f>
        <v/>
      </c>
      <c r="L101" s="362"/>
      <c r="M101" s="808" t="b">
        <v>0</v>
      </c>
      <c r="N101" s="401" t="b">
        <v>0</v>
      </c>
      <c r="O101" s="5"/>
      <c r="P101" s="363"/>
      <c r="Q101" s="712"/>
      <c r="R101" s="710"/>
      <c r="S101" s="710"/>
      <c r="T101" s="710"/>
      <c r="U101" s="710"/>
      <c r="V101" s="712">
        <f t="shared" si="14"/>
        <v>0</v>
      </c>
      <c r="W101" s="710"/>
      <c r="X101" s="362"/>
      <c r="Y101" s="364" t="s">
        <v>181</v>
      </c>
      <c r="Z101" s="5"/>
      <c r="AA101" s="5"/>
      <c r="AB101" s="392"/>
      <c r="AC101" s="710"/>
      <c r="AD101" s="710"/>
      <c r="AE101" s="363"/>
      <c r="AF101" s="712" t="str">
        <f t="shared" ref="AF101:AF115" si="17">IF(G101="","",IF(AND(V101="",Z101="",Z102="",AC101=""),"Missing Info",IF(G101-V101-Z101-Z102+AC101=0,"OK","Review financial exposure")))</f>
        <v/>
      </c>
      <c r="AG101" s="712" t="str">
        <f>IF(K101="","",IF(AND(W101="",AA101="",AA102="",AD101=""),"Missing Info",IF(K101-W101-AA101-AA102+AD101=0,"OK","Review emissions")))</f>
        <v/>
      </c>
      <c r="AH101" s="589"/>
      <c r="AK101" s="108" t="s">
        <v>182</v>
      </c>
      <c r="AL101" s="387">
        <f t="shared" si="10"/>
        <v>0</v>
      </c>
      <c r="AM101" s="387">
        <f t="shared" si="10"/>
        <v>0</v>
      </c>
    </row>
    <row r="102" spans="1:39" s="391" customFormat="1" ht="39" hidden="1" customHeight="1" outlineLevel="3">
      <c r="A102" s="722"/>
      <c r="B102" s="733"/>
      <c r="C102" s="826"/>
      <c r="D102" s="743"/>
      <c r="E102" s="744"/>
      <c r="F102" s="745"/>
      <c r="G102" s="711"/>
      <c r="H102" s="839"/>
      <c r="I102" s="711"/>
      <c r="J102" s="711"/>
      <c r="K102" s="713"/>
      <c r="L102" s="362"/>
      <c r="M102" s="809"/>
      <c r="N102" s="401" t="b">
        <v>0</v>
      </c>
      <c r="O102" s="5"/>
      <c r="P102" s="363"/>
      <c r="Q102" s="713"/>
      <c r="R102" s="711"/>
      <c r="S102" s="711"/>
      <c r="T102" s="711"/>
      <c r="U102" s="711"/>
      <c r="V102" s="713">
        <f t="shared" si="14"/>
        <v>0</v>
      </c>
      <c r="W102" s="711"/>
      <c r="X102" s="362"/>
      <c r="Y102" s="364" t="s">
        <v>183</v>
      </c>
      <c r="Z102" s="5"/>
      <c r="AA102" s="5"/>
      <c r="AB102" s="392"/>
      <c r="AC102" s="711"/>
      <c r="AD102" s="711"/>
      <c r="AE102" s="363"/>
      <c r="AF102" s="713"/>
      <c r="AG102" s="713"/>
      <c r="AH102" s="589"/>
      <c r="AK102" s="108" t="s">
        <v>182</v>
      </c>
      <c r="AL102" s="387">
        <f t="shared" si="10"/>
        <v>0</v>
      </c>
      <c r="AM102" s="387">
        <f t="shared" si="10"/>
        <v>0</v>
      </c>
    </row>
    <row r="103" spans="1:39" s="391" customFormat="1" ht="39" hidden="1" customHeight="1" outlineLevel="3">
      <c r="A103" s="722"/>
      <c r="B103" s="733"/>
      <c r="C103" s="826"/>
      <c r="D103" s="734" t="s">
        <v>184</v>
      </c>
      <c r="E103" s="764" t="s">
        <v>345</v>
      </c>
      <c r="F103" s="765"/>
      <c r="G103" s="710"/>
      <c r="H103" s="838" t="str">
        <f>IF(G103="","",G103/$G$179)</f>
        <v/>
      </c>
      <c r="I103" s="710"/>
      <c r="J103" s="710"/>
      <c r="K103" s="712" t="str">
        <f>IF(SUM(I103:J104)=0,"",SUM(I103:J104))</f>
        <v/>
      </c>
      <c r="L103" s="362"/>
      <c r="M103" s="808" t="b">
        <v>0</v>
      </c>
      <c r="N103" s="401" t="b">
        <v>0</v>
      </c>
      <c r="O103" s="5"/>
      <c r="P103" s="363"/>
      <c r="Q103" s="712"/>
      <c r="R103" s="710"/>
      <c r="S103" s="710"/>
      <c r="T103" s="710"/>
      <c r="U103" s="710"/>
      <c r="V103" s="712">
        <f t="shared" si="14"/>
        <v>0</v>
      </c>
      <c r="W103" s="710"/>
      <c r="X103" s="362"/>
      <c r="Y103" s="364" t="s">
        <v>181</v>
      </c>
      <c r="Z103" s="5"/>
      <c r="AA103" s="5"/>
      <c r="AB103" s="392"/>
      <c r="AC103" s="710"/>
      <c r="AD103" s="710"/>
      <c r="AE103" s="363"/>
      <c r="AF103" s="712" t="str">
        <f t="shared" si="17"/>
        <v/>
      </c>
      <c r="AG103" s="712" t="str">
        <f>IF(K103="","",IF(AND(W103="",AA103="",AA104="",AD103=""),"Missing Info",IF(K103-W103-AA103-AA104+AD103=0,"OK","Review emissions")))</f>
        <v/>
      </c>
      <c r="AH103" s="589"/>
      <c r="AK103" s="108" t="s">
        <v>182</v>
      </c>
      <c r="AL103" s="387">
        <f t="shared" si="10"/>
        <v>0</v>
      </c>
      <c r="AM103" s="387">
        <f t="shared" si="10"/>
        <v>0</v>
      </c>
    </row>
    <row r="104" spans="1:39" s="391" customFormat="1" ht="39" hidden="1" customHeight="1" outlineLevel="3">
      <c r="A104" s="722"/>
      <c r="B104" s="733"/>
      <c r="C104" s="826"/>
      <c r="D104" s="735"/>
      <c r="E104" s="766"/>
      <c r="F104" s="767"/>
      <c r="G104" s="711"/>
      <c r="H104" s="839"/>
      <c r="I104" s="711"/>
      <c r="J104" s="711"/>
      <c r="K104" s="713"/>
      <c r="L104" s="362"/>
      <c r="M104" s="809"/>
      <c r="N104" s="401" t="b">
        <v>0</v>
      </c>
      <c r="O104" s="5"/>
      <c r="P104" s="363"/>
      <c r="Q104" s="713"/>
      <c r="R104" s="711"/>
      <c r="S104" s="711"/>
      <c r="T104" s="711"/>
      <c r="U104" s="711"/>
      <c r="V104" s="713">
        <f t="shared" si="14"/>
        <v>0</v>
      </c>
      <c r="W104" s="711"/>
      <c r="X104" s="362"/>
      <c r="Y104" s="364" t="s">
        <v>183</v>
      </c>
      <c r="Z104" s="5"/>
      <c r="AA104" s="5"/>
      <c r="AB104" s="392"/>
      <c r="AC104" s="711"/>
      <c r="AD104" s="711"/>
      <c r="AE104" s="363"/>
      <c r="AF104" s="713"/>
      <c r="AG104" s="713"/>
      <c r="AH104" s="589"/>
      <c r="AK104" s="108" t="s">
        <v>182</v>
      </c>
      <c r="AL104" s="387">
        <f t="shared" si="10"/>
        <v>0</v>
      </c>
      <c r="AM104" s="387">
        <f t="shared" si="10"/>
        <v>0</v>
      </c>
    </row>
    <row r="105" spans="1:39" s="391" customFormat="1" ht="39" hidden="1" customHeight="1" outlineLevel="3">
      <c r="A105" s="722"/>
      <c r="B105" s="733"/>
      <c r="C105" s="826"/>
      <c r="D105" s="735"/>
      <c r="E105" s="764" t="s">
        <v>319</v>
      </c>
      <c r="F105" s="765"/>
      <c r="G105" s="710"/>
      <c r="H105" s="838" t="str">
        <f>IF(G105="","",G105/$G$179)</f>
        <v/>
      </c>
      <c r="I105" s="710"/>
      <c r="J105" s="710"/>
      <c r="K105" s="712" t="str">
        <f>IF(SUM(I105:J106)=0,"",SUM(I105:J106))</f>
        <v/>
      </c>
      <c r="L105" s="362"/>
      <c r="M105" s="808" t="b">
        <v>0</v>
      </c>
      <c r="N105" s="401" t="b">
        <v>0</v>
      </c>
      <c r="O105" s="5"/>
      <c r="P105" s="363"/>
      <c r="Q105" s="393"/>
      <c r="R105" s="710"/>
      <c r="S105" s="710"/>
      <c r="T105" s="710"/>
      <c r="U105" s="710"/>
      <c r="V105" s="712">
        <f t="shared" si="14"/>
        <v>0</v>
      </c>
      <c r="W105" s="710"/>
      <c r="X105" s="362"/>
      <c r="Y105" s="364" t="s">
        <v>181</v>
      </c>
      <c r="Z105" s="5"/>
      <c r="AA105" s="5"/>
      <c r="AB105" s="392"/>
      <c r="AC105" s="710"/>
      <c r="AD105" s="710"/>
      <c r="AE105" s="363"/>
      <c r="AF105" s="712" t="str">
        <f t="shared" si="17"/>
        <v/>
      </c>
      <c r="AG105" s="712" t="str">
        <f>IF(K105="","",IF(AND(W105="",AA105="",AA106="",AD105=""),"Missing Info",IF(K105-W105-AA105-AA106+AD105=0,"OK","Review emissions")))</f>
        <v/>
      </c>
      <c r="AH105" s="589"/>
      <c r="AK105" s="108" t="s">
        <v>182</v>
      </c>
      <c r="AL105" s="387">
        <f t="shared" si="10"/>
        <v>0</v>
      </c>
      <c r="AM105" s="387">
        <f t="shared" si="10"/>
        <v>0</v>
      </c>
    </row>
    <row r="106" spans="1:39" s="391" customFormat="1" ht="39" hidden="1" customHeight="1" outlineLevel="3">
      <c r="A106" s="722"/>
      <c r="B106" s="733"/>
      <c r="C106" s="826"/>
      <c r="D106" s="735"/>
      <c r="E106" s="766"/>
      <c r="F106" s="767"/>
      <c r="G106" s="711"/>
      <c r="H106" s="839"/>
      <c r="I106" s="711"/>
      <c r="J106" s="711"/>
      <c r="K106" s="713"/>
      <c r="L106" s="362"/>
      <c r="M106" s="809"/>
      <c r="N106" s="401" t="b">
        <v>0</v>
      </c>
      <c r="O106" s="5"/>
      <c r="P106" s="363"/>
      <c r="Q106" s="393"/>
      <c r="R106" s="711"/>
      <c r="S106" s="711"/>
      <c r="T106" s="711"/>
      <c r="U106" s="711"/>
      <c r="V106" s="713">
        <f t="shared" si="14"/>
        <v>0</v>
      </c>
      <c r="W106" s="711"/>
      <c r="X106" s="362"/>
      <c r="Y106" s="364" t="s">
        <v>183</v>
      </c>
      <c r="Z106" s="5"/>
      <c r="AA106" s="5"/>
      <c r="AB106" s="392"/>
      <c r="AC106" s="711"/>
      <c r="AD106" s="711"/>
      <c r="AE106" s="363"/>
      <c r="AF106" s="713"/>
      <c r="AG106" s="713"/>
      <c r="AH106" s="589"/>
      <c r="AK106" s="108" t="s">
        <v>182</v>
      </c>
      <c r="AL106" s="387">
        <f t="shared" si="10"/>
        <v>0</v>
      </c>
      <c r="AM106" s="387">
        <f t="shared" si="10"/>
        <v>0</v>
      </c>
    </row>
    <row r="107" spans="1:39" s="391" customFormat="1" ht="39" hidden="1" customHeight="1" outlineLevel="3">
      <c r="A107" s="722"/>
      <c r="B107" s="733"/>
      <c r="C107" s="826"/>
      <c r="D107" s="735"/>
      <c r="E107" s="764" t="s">
        <v>346</v>
      </c>
      <c r="F107" s="765"/>
      <c r="G107" s="710"/>
      <c r="H107" s="838" t="str">
        <f>IF(G107="","",G107/$G$179)</f>
        <v/>
      </c>
      <c r="I107" s="710"/>
      <c r="J107" s="710"/>
      <c r="K107" s="712" t="str">
        <f>IF(SUM(I107:J108)=0,"",SUM(I107:J108))</f>
        <v/>
      </c>
      <c r="L107" s="362"/>
      <c r="M107" s="808" t="b">
        <v>0</v>
      </c>
      <c r="N107" s="401" t="b">
        <v>0</v>
      </c>
      <c r="O107" s="5"/>
      <c r="P107" s="363"/>
      <c r="Q107" s="712"/>
      <c r="R107" s="710"/>
      <c r="S107" s="710"/>
      <c r="T107" s="710"/>
      <c r="U107" s="710"/>
      <c r="V107" s="712">
        <f t="shared" si="14"/>
        <v>0</v>
      </c>
      <c r="W107" s="710"/>
      <c r="X107" s="362"/>
      <c r="Y107" s="364" t="s">
        <v>181</v>
      </c>
      <c r="Z107" s="5"/>
      <c r="AA107" s="5"/>
      <c r="AB107" s="392"/>
      <c r="AC107" s="710"/>
      <c r="AD107" s="710"/>
      <c r="AE107" s="363"/>
      <c r="AF107" s="712" t="str">
        <f t="shared" si="17"/>
        <v/>
      </c>
      <c r="AG107" s="712" t="str">
        <f>IF(K107="","",IF(AND(W107="",AA107="",AA108="",AD107=""),"Missing Info",IF(K107-W107-AA107-AA108+AD107=0,"OK","Review emissions")))</f>
        <v/>
      </c>
      <c r="AH107" s="589"/>
      <c r="AK107" s="108" t="s">
        <v>182</v>
      </c>
      <c r="AL107" s="387">
        <f t="shared" si="10"/>
        <v>0</v>
      </c>
      <c r="AM107" s="387">
        <f t="shared" si="10"/>
        <v>0</v>
      </c>
    </row>
    <row r="108" spans="1:39" s="391" customFormat="1" ht="39" hidden="1" customHeight="1" outlineLevel="3">
      <c r="A108" s="722"/>
      <c r="B108" s="733"/>
      <c r="C108" s="826"/>
      <c r="D108" s="736"/>
      <c r="E108" s="766"/>
      <c r="F108" s="767"/>
      <c r="G108" s="711"/>
      <c r="H108" s="839"/>
      <c r="I108" s="711"/>
      <c r="J108" s="711"/>
      <c r="K108" s="713"/>
      <c r="L108" s="362"/>
      <c r="M108" s="809"/>
      <c r="N108" s="401" t="b">
        <v>0</v>
      </c>
      <c r="O108" s="5"/>
      <c r="P108" s="363"/>
      <c r="Q108" s="713"/>
      <c r="R108" s="711"/>
      <c r="S108" s="711"/>
      <c r="T108" s="711"/>
      <c r="U108" s="711"/>
      <c r="V108" s="713">
        <f t="shared" si="14"/>
        <v>0</v>
      </c>
      <c r="W108" s="711"/>
      <c r="X108" s="362"/>
      <c r="Y108" s="364" t="s">
        <v>183</v>
      </c>
      <c r="Z108" s="5"/>
      <c r="AA108" s="5"/>
      <c r="AB108" s="392"/>
      <c r="AC108" s="711"/>
      <c r="AD108" s="711"/>
      <c r="AE108" s="363"/>
      <c r="AF108" s="713"/>
      <c r="AG108" s="713"/>
      <c r="AH108" s="589"/>
      <c r="AK108" s="108" t="s">
        <v>182</v>
      </c>
      <c r="AL108" s="387">
        <f t="shared" si="10"/>
        <v>0</v>
      </c>
      <c r="AM108" s="387">
        <f t="shared" si="10"/>
        <v>0</v>
      </c>
    </row>
    <row r="109" spans="1:39" s="391" customFormat="1" ht="39" hidden="1" customHeight="1" outlineLevel="3">
      <c r="A109" s="722"/>
      <c r="B109" s="733"/>
      <c r="C109" s="826"/>
      <c r="D109" s="740" t="s">
        <v>185</v>
      </c>
      <c r="E109" s="741"/>
      <c r="F109" s="742"/>
      <c r="G109" s="710"/>
      <c r="H109" s="838" t="str">
        <f>IF(G109="","",G109/$G$179)</f>
        <v/>
      </c>
      <c r="I109" s="710"/>
      <c r="J109" s="710"/>
      <c r="K109" s="712" t="str">
        <f>IF(SUM(I109:J110)=0,"",SUM(I109:J110))</f>
        <v/>
      </c>
      <c r="L109" s="362"/>
      <c r="M109" s="808" t="b">
        <v>0</v>
      </c>
      <c r="N109" s="401" t="b">
        <v>0</v>
      </c>
      <c r="O109" s="5"/>
      <c r="P109" s="363"/>
      <c r="Q109" s="712"/>
      <c r="R109" s="710"/>
      <c r="S109" s="710"/>
      <c r="T109" s="710"/>
      <c r="U109" s="710"/>
      <c r="V109" s="712">
        <f t="shared" si="14"/>
        <v>0</v>
      </c>
      <c r="W109" s="710"/>
      <c r="X109" s="362"/>
      <c r="Y109" s="364" t="s">
        <v>186</v>
      </c>
      <c r="Z109" s="5"/>
      <c r="AA109" s="5"/>
      <c r="AB109" s="392"/>
      <c r="AC109" s="710"/>
      <c r="AD109" s="710"/>
      <c r="AE109" s="363"/>
      <c r="AF109" s="712" t="str">
        <f t="shared" si="17"/>
        <v/>
      </c>
      <c r="AG109" s="712" t="str">
        <f>IF(K109="","",IF(AND(W109="",AA109="",AA110="",AD109=""),"Missing Info",IF(K109-W109-AA109-AA110+AD109=0,"OK","Review emissions")))</f>
        <v/>
      </c>
      <c r="AH109" s="589"/>
      <c r="AK109" s="108" t="s">
        <v>187</v>
      </c>
      <c r="AL109" s="387">
        <f t="shared" si="10"/>
        <v>0</v>
      </c>
      <c r="AM109" s="387">
        <f t="shared" si="10"/>
        <v>0</v>
      </c>
    </row>
    <row r="110" spans="1:39" s="391" customFormat="1" ht="39" hidden="1" customHeight="1" outlineLevel="3">
      <c r="A110" s="722"/>
      <c r="B110" s="733"/>
      <c r="C110" s="826"/>
      <c r="D110" s="743"/>
      <c r="E110" s="744"/>
      <c r="F110" s="745"/>
      <c r="G110" s="711"/>
      <c r="H110" s="839"/>
      <c r="I110" s="711"/>
      <c r="J110" s="711"/>
      <c r="K110" s="713"/>
      <c r="L110" s="362"/>
      <c r="M110" s="809"/>
      <c r="N110" s="401" t="b">
        <v>0</v>
      </c>
      <c r="O110" s="5"/>
      <c r="P110" s="363"/>
      <c r="Q110" s="713"/>
      <c r="R110" s="711"/>
      <c r="S110" s="711"/>
      <c r="T110" s="711"/>
      <c r="U110" s="711"/>
      <c r="V110" s="713">
        <f t="shared" si="14"/>
        <v>0</v>
      </c>
      <c r="W110" s="711"/>
      <c r="X110" s="362"/>
      <c r="Y110" s="364" t="s">
        <v>188</v>
      </c>
      <c r="Z110" s="5"/>
      <c r="AA110" s="5"/>
      <c r="AB110" s="392"/>
      <c r="AC110" s="711"/>
      <c r="AD110" s="711"/>
      <c r="AE110" s="363"/>
      <c r="AF110" s="713"/>
      <c r="AG110" s="713"/>
      <c r="AH110" s="589"/>
      <c r="AK110" s="108" t="s">
        <v>187</v>
      </c>
      <c r="AL110" s="387">
        <f t="shared" si="10"/>
        <v>0</v>
      </c>
      <c r="AM110" s="387">
        <f t="shared" si="10"/>
        <v>0</v>
      </c>
    </row>
    <row r="111" spans="1:39" s="391" customFormat="1" ht="39" hidden="1" customHeight="1" outlineLevel="3">
      <c r="A111" s="722"/>
      <c r="B111" s="733"/>
      <c r="C111" s="826"/>
      <c r="D111" s="734" t="s">
        <v>189</v>
      </c>
      <c r="E111" s="764" t="s">
        <v>345</v>
      </c>
      <c r="F111" s="765"/>
      <c r="G111" s="710"/>
      <c r="H111" s="838" t="str">
        <f>IF(G111="","",G111/$G$179)</f>
        <v/>
      </c>
      <c r="I111" s="710"/>
      <c r="J111" s="710"/>
      <c r="K111" s="712" t="str">
        <f>IF(SUM(I111:J112)=0,"",SUM(I111:J112))</f>
        <v/>
      </c>
      <c r="L111" s="362"/>
      <c r="M111" s="808" t="b">
        <v>0</v>
      </c>
      <c r="N111" s="401" t="b">
        <v>0</v>
      </c>
      <c r="O111" s="5"/>
      <c r="P111" s="363"/>
      <c r="Q111" s="712"/>
      <c r="R111" s="710"/>
      <c r="S111" s="710"/>
      <c r="T111" s="710"/>
      <c r="U111" s="710"/>
      <c r="V111" s="712">
        <f t="shared" si="14"/>
        <v>0</v>
      </c>
      <c r="W111" s="710"/>
      <c r="X111" s="362"/>
      <c r="Y111" s="364" t="s">
        <v>186</v>
      </c>
      <c r="Z111" s="5"/>
      <c r="AA111" s="5"/>
      <c r="AB111" s="392"/>
      <c r="AC111" s="710"/>
      <c r="AD111" s="710"/>
      <c r="AE111" s="363"/>
      <c r="AF111" s="712" t="str">
        <f t="shared" si="17"/>
        <v/>
      </c>
      <c r="AG111" s="712" t="str">
        <f>IF(K111="","",IF(AND(W111="",AA111="",AA112="",AD111=""),"Missing Info",IF(K111-W111-AA111-AA112+AD111=0,"OK","Review emissions")))</f>
        <v/>
      </c>
      <c r="AH111" s="589"/>
      <c r="AK111" s="108" t="s">
        <v>187</v>
      </c>
      <c r="AL111" s="387">
        <f t="shared" si="10"/>
        <v>0</v>
      </c>
      <c r="AM111" s="387">
        <f t="shared" si="10"/>
        <v>0</v>
      </c>
    </row>
    <row r="112" spans="1:39" s="391" customFormat="1" ht="39" hidden="1" customHeight="1" outlineLevel="3">
      <c r="A112" s="722"/>
      <c r="B112" s="733"/>
      <c r="C112" s="826"/>
      <c r="D112" s="735"/>
      <c r="E112" s="766"/>
      <c r="F112" s="767"/>
      <c r="G112" s="711"/>
      <c r="H112" s="839"/>
      <c r="I112" s="711"/>
      <c r="J112" s="711"/>
      <c r="K112" s="713"/>
      <c r="L112" s="362"/>
      <c r="M112" s="809"/>
      <c r="N112" s="401" t="b">
        <v>0</v>
      </c>
      <c r="O112" s="5"/>
      <c r="P112" s="363"/>
      <c r="Q112" s="713"/>
      <c r="R112" s="711"/>
      <c r="S112" s="711"/>
      <c r="T112" s="711"/>
      <c r="U112" s="711"/>
      <c r="V112" s="713">
        <f t="shared" si="14"/>
        <v>0</v>
      </c>
      <c r="W112" s="711"/>
      <c r="X112" s="362"/>
      <c r="Y112" s="364" t="s">
        <v>188</v>
      </c>
      <c r="Z112" s="5"/>
      <c r="AA112" s="5"/>
      <c r="AB112" s="392"/>
      <c r="AC112" s="711"/>
      <c r="AD112" s="711"/>
      <c r="AE112" s="363"/>
      <c r="AF112" s="713"/>
      <c r="AG112" s="713"/>
      <c r="AH112" s="589"/>
      <c r="AK112" s="108" t="s">
        <v>187</v>
      </c>
      <c r="AL112" s="387">
        <f t="shared" si="10"/>
        <v>0</v>
      </c>
      <c r="AM112" s="387">
        <f t="shared" si="10"/>
        <v>0</v>
      </c>
    </row>
    <row r="113" spans="1:39" s="391" customFormat="1" ht="39" hidden="1" customHeight="1" outlineLevel="3">
      <c r="A113" s="722"/>
      <c r="B113" s="733"/>
      <c r="C113" s="826"/>
      <c r="D113" s="735"/>
      <c r="E113" s="764" t="s">
        <v>319</v>
      </c>
      <c r="F113" s="765"/>
      <c r="G113" s="710"/>
      <c r="H113" s="838" t="str">
        <f>IF(G113="","",G113/$G$179)</f>
        <v/>
      </c>
      <c r="I113" s="710"/>
      <c r="J113" s="710"/>
      <c r="K113" s="712" t="str">
        <f>IF(SUM(I113:J114)=0,"",SUM(I113:J114))</f>
        <v/>
      </c>
      <c r="L113" s="362"/>
      <c r="M113" s="808" t="b">
        <v>0</v>
      </c>
      <c r="N113" s="401" t="b">
        <v>0</v>
      </c>
      <c r="O113" s="5"/>
      <c r="P113" s="363"/>
      <c r="Q113" s="712"/>
      <c r="R113" s="710"/>
      <c r="S113" s="710"/>
      <c r="T113" s="710"/>
      <c r="U113" s="710"/>
      <c r="V113" s="712">
        <f t="shared" si="14"/>
        <v>0</v>
      </c>
      <c r="W113" s="710"/>
      <c r="X113" s="362"/>
      <c r="Y113" s="364" t="s">
        <v>186</v>
      </c>
      <c r="Z113" s="5"/>
      <c r="AA113" s="5"/>
      <c r="AB113" s="392"/>
      <c r="AC113" s="710"/>
      <c r="AD113" s="710"/>
      <c r="AE113" s="363"/>
      <c r="AF113" s="712" t="str">
        <f t="shared" si="17"/>
        <v/>
      </c>
      <c r="AG113" s="712" t="str">
        <f>IF(K113="","",IF(AND(W113="",AA113="",AA114="",AD113=""),"Missing Info",IF(K113-W113-AA113-AA114+AD113=0,"OK","Review emissions")))</f>
        <v/>
      </c>
      <c r="AH113" s="589"/>
      <c r="AK113" s="108" t="s">
        <v>187</v>
      </c>
      <c r="AL113" s="387">
        <f t="shared" si="10"/>
        <v>0</v>
      </c>
      <c r="AM113" s="387">
        <f t="shared" si="10"/>
        <v>0</v>
      </c>
    </row>
    <row r="114" spans="1:39" s="391" customFormat="1" ht="39" hidden="1" customHeight="1" outlineLevel="3">
      <c r="A114" s="722"/>
      <c r="B114" s="733"/>
      <c r="C114" s="826"/>
      <c r="D114" s="735"/>
      <c r="E114" s="766"/>
      <c r="F114" s="767"/>
      <c r="G114" s="711"/>
      <c r="H114" s="839"/>
      <c r="I114" s="711"/>
      <c r="J114" s="711"/>
      <c r="K114" s="713"/>
      <c r="L114" s="362"/>
      <c r="M114" s="809"/>
      <c r="N114" s="401" t="b">
        <v>0</v>
      </c>
      <c r="O114" s="5"/>
      <c r="P114" s="363"/>
      <c r="Q114" s="713"/>
      <c r="R114" s="711"/>
      <c r="S114" s="711"/>
      <c r="T114" s="711"/>
      <c r="U114" s="711"/>
      <c r="V114" s="713">
        <f t="shared" si="14"/>
        <v>0</v>
      </c>
      <c r="W114" s="711"/>
      <c r="X114" s="362"/>
      <c r="Y114" s="364" t="s">
        <v>188</v>
      </c>
      <c r="Z114" s="5"/>
      <c r="AA114" s="5"/>
      <c r="AB114" s="392"/>
      <c r="AC114" s="711"/>
      <c r="AD114" s="711"/>
      <c r="AE114" s="363"/>
      <c r="AF114" s="713"/>
      <c r="AG114" s="713"/>
      <c r="AH114" s="589"/>
      <c r="AK114" s="108" t="s">
        <v>187</v>
      </c>
      <c r="AL114" s="387">
        <f t="shared" si="10"/>
        <v>0</v>
      </c>
      <c r="AM114" s="387">
        <f t="shared" si="10"/>
        <v>0</v>
      </c>
    </row>
    <row r="115" spans="1:39" s="391" customFormat="1" ht="39" hidden="1" customHeight="1" outlineLevel="3">
      <c r="A115" s="722"/>
      <c r="B115" s="733"/>
      <c r="C115" s="826"/>
      <c r="D115" s="735"/>
      <c r="E115" s="764" t="s">
        <v>346</v>
      </c>
      <c r="F115" s="765"/>
      <c r="G115" s="710"/>
      <c r="H115" s="838" t="str">
        <f>IF(G115="","",G115/$G$179)</f>
        <v/>
      </c>
      <c r="I115" s="710"/>
      <c r="J115" s="710"/>
      <c r="K115" s="712" t="str">
        <f>IF(SUM(I115:J116)=0,"",SUM(I115:J116))</f>
        <v/>
      </c>
      <c r="L115" s="362"/>
      <c r="M115" s="808" t="b">
        <v>0</v>
      </c>
      <c r="N115" s="401" t="b">
        <v>0</v>
      </c>
      <c r="O115" s="5"/>
      <c r="P115" s="363"/>
      <c r="Q115" s="712"/>
      <c r="R115" s="710"/>
      <c r="S115" s="710"/>
      <c r="T115" s="710"/>
      <c r="U115" s="710"/>
      <c r="V115" s="712">
        <f t="shared" si="14"/>
        <v>0</v>
      </c>
      <c r="W115" s="710"/>
      <c r="X115" s="362"/>
      <c r="Y115" s="364" t="s">
        <v>186</v>
      </c>
      <c r="Z115" s="5"/>
      <c r="AA115" s="5"/>
      <c r="AB115" s="392"/>
      <c r="AC115" s="710"/>
      <c r="AD115" s="710"/>
      <c r="AE115" s="363"/>
      <c r="AF115" s="712" t="str">
        <f t="shared" si="17"/>
        <v/>
      </c>
      <c r="AG115" s="712" t="str">
        <f>IF(K115="","",IF(AND(W115="",AA115="",AA116="",AD115=""),"Missing Info",IF(K115-W115-AA115-AA116+AD115=0,"OK","Review emissions")))</f>
        <v/>
      </c>
      <c r="AH115" s="589"/>
      <c r="AK115" s="108" t="s">
        <v>187</v>
      </c>
      <c r="AL115" s="387">
        <f t="shared" si="10"/>
        <v>0</v>
      </c>
      <c r="AM115" s="387">
        <f t="shared" si="10"/>
        <v>0</v>
      </c>
    </row>
    <row r="116" spans="1:39" s="391" customFormat="1" ht="39" hidden="1" customHeight="1" outlineLevel="3">
      <c r="A116" s="722"/>
      <c r="B116" s="733"/>
      <c r="C116" s="811"/>
      <c r="D116" s="736"/>
      <c r="E116" s="766"/>
      <c r="F116" s="767"/>
      <c r="G116" s="711"/>
      <c r="H116" s="839"/>
      <c r="I116" s="711"/>
      <c r="J116" s="711"/>
      <c r="K116" s="713"/>
      <c r="L116" s="362"/>
      <c r="M116" s="809"/>
      <c r="N116" s="401" t="b">
        <v>0</v>
      </c>
      <c r="O116" s="5"/>
      <c r="P116" s="363"/>
      <c r="Q116" s="713"/>
      <c r="R116" s="711"/>
      <c r="S116" s="711"/>
      <c r="T116" s="711"/>
      <c r="U116" s="711"/>
      <c r="V116" s="713">
        <f t="shared" si="14"/>
        <v>0</v>
      </c>
      <c r="W116" s="711"/>
      <c r="X116" s="362"/>
      <c r="Y116" s="364" t="s">
        <v>188</v>
      </c>
      <c r="Z116" s="5"/>
      <c r="AA116" s="5"/>
      <c r="AB116" s="392"/>
      <c r="AC116" s="711"/>
      <c r="AD116" s="711"/>
      <c r="AE116" s="363"/>
      <c r="AF116" s="713"/>
      <c r="AG116" s="713"/>
      <c r="AH116" s="589"/>
      <c r="AK116" s="108" t="s">
        <v>187</v>
      </c>
      <c r="AL116" s="387">
        <f t="shared" si="10"/>
        <v>0</v>
      </c>
      <c r="AM116" s="387">
        <f t="shared" si="10"/>
        <v>0</v>
      </c>
    </row>
    <row r="117" spans="1:39" s="391" customFormat="1" ht="39" hidden="1" customHeight="1" outlineLevel="3">
      <c r="A117" s="722"/>
      <c r="B117" s="733"/>
      <c r="C117" s="734" t="s">
        <v>190</v>
      </c>
      <c r="D117" s="737" t="s">
        <v>191</v>
      </c>
      <c r="E117" s="738"/>
      <c r="F117" s="739"/>
      <c r="G117" s="539"/>
      <c r="H117" s="388" t="str">
        <f t="shared" ref="H117:H125" si="18">IF(G117="","",G117/$G$179)</f>
        <v/>
      </c>
      <c r="I117" s="539"/>
      <c r="J117" s="539"/>
      <c r="K117" s="557" t="str">
        <f t="shared" ref="K117:K124" si="19">IF(SUM(I117:J117)=0,"",SUM(I117:J117))</f>
        <v/>
      </c>
      <c r="L117" s="362"/>
      <c r="M117" s="544" t="b">
        <v>0</v>
      </c>
      <c r="N117" s="401" t="b">
        <v>0</v>
      </c>
      <c r="O117" s="5"/>
      <c r="P117" s="363"/>
      <c r="Q117" s="557"/>
      <c r="R117" s="5"/>
      <c r="S117" s="5"/>
      <c r="T117" s="5"/>
      <c r="U117" s="5"/>
      <c r="V117" s="557">
        <f t="shared" si="14"/>
        <v>0</v>
      </c>
      <c r="W117" s="5"/>
      <c r="X117" s="362"/>
      <c r="Y117" s="364" t="s">
        <v>192</v>
      </c>
      <c r="Z117" s="5"/>
      <c r="AA117" s="5"/>
      <c r="AB117" s="392"/>
      <c r="AC117" s="5"/>
      <c r="AD117" s="5"/>
      <c r="AE117" s="363"/>
      <c r="AF117" s="557" t="str">
        <f t="shared" ref="AF117:AF124" si="20">IF(G117="","",IF(AND(V117="",Z117="",AC117=""),"Missing Info",IF(G117-V117-Z117+AC117=0,"OK","Review financial exposure")))</f>
        <v/>
      </c>
      <c r="AG117" s="557" t="str">
        <f t="shared" ref="AG117:AG124" si="21">IF(K117="","",IF(AND(W117="",AA117="",AD117=""),"Missing Info",IF(K117-W117-AA117+AD117=0,"OK","Review emissions")))</f>
        <v/>
      </c>
      <c r="AH117" s="589"/>
      <c r="AK117" s="108" t="s">
        <v>193</v>
      </c>
      <c r="AL117" s="387">
        <f t="shared" si="10"/>
        <v>0</v>
      </c>
      <c r="AM117" s="387">
        <f t="shared" si="10"/>
        <v>0</v>
      </c>
    </row>
    <row r="118" spans="1:39" s="391" customFormat="1" ht="63" hidden="1" customHeight="1" outlineLevel="3">
      <c r="A118" s="722"/>
      <c r="B118" s="733"/>
      <c r="C118" s="735"/>
      <c r="D118" s="734" t="s">
        <v>194</v>
      </c>
      <c r="E118" s="762" t="s">
        <v>345</v>
      </c>
      <c r="F118" s="763"/>
      <c r="G118" s="539"/>
      <c r="H118" s="388" t="str">
        <f t="shared" si="18"/>
        <v/>
      </c>
      <c r="I118" s="539"/>
      <c r="J118" s="539"/>
      <c r="K118" s="557" t="str">
        <f t="shared" si="19"/>
        <v/>
      </c>
      <c r="L118" s="362"/>
      <c r="M118" s="544" t="b">
        <v>0</v>
      </c>
      <c r="N118" s="401" t="b">
        <v>0</v>
      </c>
      <c r="O118" s="5"/>
      <c r="P118" s="363"/>
      <c r="Q118" s="557"/>
      <c r="R118" s="5"/>
      <c r="S118" s="5"/>
      <c r="T118" s="5"/>
      <c r="U118" s="5"/>
      <c r="V118" s="557">
        <f t="shared" si="14"/>
        <v>0</v>
      </c>
      <c r="W118" s="5"/>
      <c r="X118" s="362"/>
      <c r="Y118" s="364" t="s">
        <v>192</v>
      </c>
      <c r="Z118" s="5"/>
      <c r="AA118" s="5"/>
      <c r="AB118" s="392"/>
      <c r="AC118" s="5"/>
      <c r="AD118" s="5"/>
      <c r="AE118" s="363"/>
      <c r="AF118" s="557" t="str">
        <f t="shared" si="20"/>
        <v/>
      </c>
      <c r="AG118" s="557" t="str">
        <f t="shared" si="21"/>
        <v/>
      </c>
      <c r="AH118" s="589"/>
      <c r="AK118" s="108" t="s">
        <v>193</v>
      </c>
      <c r="AL118" s="387">
        <f t="shared" si="10"/>
        <v>0</v>
      </c>
      <c r="AM118" s="387">
        <f t="shared" si="10"/>
        <v>0</v>
      </c>
    </row>
    <row r="119" spans="1:39" s="391" customFormat="1" ht="63" hidden="1" customHeight="1" outlineLevel="3">
      <c r="A119" s="722"/>
      <c r="B119" s="733"/>
      <c r="C119" s="735"/>
      <c r="D119" s="735"/>
      <c r="E119" s="762" t="s">
        <v>319</v>
      </c>
      <c r="F119" s="763"/>
      <c r="G119" s="539"/>
      <c r="H119" s="388" t="str">
        <f t="shared" si="18"/>
        <v/>
      </c>
      <c r="I119" s="539"/>
      <c r="J119" s="539"/>
      <c r="K119" s="557" t="str">
        <f t="shared" si="19"/>
        <v/>
      </c>
      <c r="L119" s="362"/>
      <c r="M119" s="544" t="b">
        <v>0</v>
      </c>
      <c r="N119" s="401" t="b">
        <v>0</v>
      </c>
      <c r="O119" s="5"/>
      <c r="P119" s="363"/>
      <c r="Q119" s="557"/>
      <c r="R119" s="5"/>
      <c r="S119" s="5"/>
      <c r="T119" s="5"/>
      <c r="U119" s="5"/>
      <c r="V119" s="557">
        <f t="shared" si="14"/>
        <v>0</v>
      </c>
      <c r="W119" s="5"/>
      <c r="X119" s="362"/>
      <c r="Y119" s="364" t="s">
        <v>192</v>
      </c>
      <c r="Z119" s="5"/>
      <c r="AA119" s="5"/>
      <c r="AB119" s="392"/>
      <c r="AC119" s="5"/>
      <c r="AD119" s="5"/>
      <c r="AE119" s="363"/>
      <c r="AF119" s="557" t="str">
        <f t="shared" si="20"/>
        <v/>
      </c>
      <c r="AG119" s="557" t="str">
        <f t="shared" si="21"/>
        <v/>
      </c>
      <c r="AH119" s="589"/>
      <c r="AK119" s="108" t="s">
        <v>193</v>
      </c>
      <c r="AL119" s="387">
        <f t="shared" si="10"/>
        <v>0</v>
      </c>
      <c r="AM119" s="387">
        <f t="shared" si="10"/>
        <v>0</v>
      </c>
    </row>
    <row r="120" spans="1:39" s="391" customFormat="1" ht="39" hidden="1" customHeight="1" outlineLevel="3">
      <c r="A120" s="722"/>
      <c r="B120" s="733"/>
      <c r="C120" s="735"/>
      <c r="D120" s="736"/>
      <c r="E120" s="762" t="s">
        <v>346</v>
      </c>
      <c r="F120" s="763"/>
      <c r="G120" s="539"/>
      <c r="H120" s="388" t="str">
        <f t="shared" si="18"/>
        <v/>
      </c>
      <c r="I120" s="539"/>
      <c r="J120" s="539"/>
      <c r="K120" s="557" t="str">
        <f t="shared" si="19"/>
        <v/>
      </c>
      <c r="L120" s="362"/>
      <c r="M120" s="544" t="b">
        <v>0</v>
      </c>
      <c r="N120" s="401" t="b">
        <v>0</v>
      </c>
      <c r="O120" s="5"/>
      <c r="P120" s="363"/>
      <c r="Q120" s="557"/>
      <c r="R120" s="5"/>
      <c r="S120" s="5"/>
      <c r="T120" s="5"/>
      <c r="U120" s="5"/>
      <c r="V120" s="557">
        <f t="shared" ref="V120:V148" si="22">IF(M120=TRUE,SUM(Q120:U120),0)</f>
        <v>0</v>
      </c>
      <c r="W120" s="5"/>
      <c r="X120" s="362"/>
      <c r="Y120" s="364" t="s">
        <v>192</v>
      </c>
      <c r="Z120" s="5"/>
      <c r="AA120" s="5"/>
      <c r="AB120" s="392"/>
      <c r="AC120" s="5"/>
      <c r="AD120" s="5"/>
      <c r="AE120" s="363"/>
      <c r="AF120" s="557" t="str">
        <f t="shared" si="20"/>
        <v/>
      </c>
      <c r="AG120" s="557" t="str">
        <f t="shared" si="21"/>
        <v/>
      </c>
      <c r="AH120" s="589"/>
      <c r="AK120" s="108" t="s">
        <v>193</v>
      </c>
      <c r="AL120" s="387">
        <f t="shared" si="10"/>
        <v>0</v>
      </c>
      <c r="AM120" s="387">
        <f t="shared" si="10"/>
        <v>0</v>
      </c>
    </row>
    <row r="121" spans="1:39" s="391" customFormat="1" ht="39" hidden="1" customHeight="1" outlineLevel="3">
      <c r="A121" s="722"/>
      <c r="B121" s="733"/>
      <c r="C121" s="735"/>
      <c r="D121" s="737" t="s">
        <v>195</v>
      </c>
      <c r="E121" s="738"/>
      <c r="F121" s="739"/>
      <c r="G121" s="539"/>
      <c r="H121" s="388" t="str">
        <f t="shared" si="18"/>
        <v/>
      </c>
      <c r="I121" s="539"/>
      <c r="J121" s="539"/>
      <c r="K121" s="557" t="str">
        <f t="shared" si="19"/>
        <v/>
      </c>
      <c r="L121" s="362"/>
      <c r="M121" s="544" t="b">
        <v>0</v>
      </c>
      <c r="N121" s="401" t="b">
        <v>0</v>
      </c>
      <c r="O121" s="5"/>
      <c r="P121" s="363"/>
      <c r="Q121" s="557"/>
      <c r="R121" s="5"/>
      <c r="S121" s="5"/>
      <c r="T121" s="5"/>
      <c r="U121" s="5"/>
      <c r="V121" s="557">
        <f t="shared" si="22"/>
        <v>0</v>
      </c>
      <c r="W121" s="5"/>
      <c r="X121" s="362"/>
      <c r="Y121" s="364" t="s">
        <v>196</v>
      </c>
      <c r="Z121" s="5"/>
      <c r="AA121" s="5"/>
      <c r="AB121" s="392"/>
      <c r="AC121" s="5"/>
      <c r="AD121" s="5"/>
      <c r="AE121" s="363"/>
      <c r="AF121" s="557" t="str">
        <f t="shared" si="20"/>
        <v/>
      </c>
      <c r="AG121" s="557" t="str">
        <f t="shared" si="21"/>
        <v/>
      </c>
      <c r="AH121" s="589"/>
      <c r="AK121" s="108" t="s">
        <v>197</v>
      </c>
      <c r="AL121" s="387">
        <f t="shared" si="10"/>
        <v>0</v>
      </c>
      <c r="AM121" s="387">
        <f t="shared" si="10"/>
        <v>0</v>
      </c>
    </row>
    <row r="122" spans="1:39" s="391" customFormat="1" ht="68" hidden="1" customHeight="1" outlineLevel="3">
      <c r="A122" s="722"/>
      <c r="B122" s="733"/>
      <c r="C122" s="735"/>
      <c r="D122" s="734" t="s">
        <v>198</v>
      </c>
      <c r="E122" s="762" t="s">
        <v>345</v>
      </c>
      <c r="F122" s="763"/>
      <c r="G122" s="539"/>
      <c r="H122" s="388" t="str">
        <f t="shared" si="18"/>
        <v/>
      </c>
      <c r="I122" s="539"/>
      <c r="J122" s="539"/>
      <c r="K122" s="557" t="str">
        <f t="shared" si="19"/>
        <v/>
      </c>
      <c r="L122" s="362"/>
      <c r="M122" s="544" t="b">
        <v>0</v>
      </c>
      <c r="N122" s="401" t="b">
        <v>0</v>
      </c>
      <c r="O122" s="5"/>
      <c r="P122" s="363"/>
      <c r="Q122" s="557"/>
      <c r="R122" s="5"/>
      <c r="S122" s="5"/>
      <c r="T122" s="5"/>
      <c r="U122" s="5"/>
      <c r="V122" s="557">
        <f t="shared" si="22"/>
        <v>0</v>
      </c>
      <c r="W122" s="5"/>
      <c r="X122" s="362"/>
      <c r="Y122" s="364" t="s">
        <v>196</v>
      </c>
      <c r="Z122" s="5"/>
      <c r="AA122" s="5"/>
      <c r="AB122" s="392"/>
      <c r="AC122" s="5"/>
      <c r="AD122" s="5"/>
      <c r="AE122" s="363"/>
      <c r="AF122" s="557" t="str">
        <f t="shared" si="20"/>
        <v/>
      </c>
      <c r="AG122" s="557" t="str">
        <f t="shared" si="21"/>
        <v/>
      </c>
      <c r="AH122" s="589"/>
      <c r="AK122" s="108" t="s">
        <v>197</v>
      </c>
      <c r="AL122" s="387">
        <f t="shared" si="10"/>
        <v>0</v>
      </c>
      <c r="AM122" s="387">
        <f t="shared" si="10"/>
        <v>0</v>
      </c>
    </row>
    <row r="123" spans="1:39" s="391" customFormat="1" ht="68" hidden="1" customHeight="1" outlineLevel="3">
      <c r="A123" s="722"/>
      <c r="B123" s="733"/>
      <c r="C123" s="735"/>
      <c r="D123" s="735"/>
      <c r="E123" s="762" t="s">
        <v>319</v>
      </c>
      <c r="F123" s="763"/>
      <c r="G123" s="539"/>
      <c r="H123" s="388" t="str">
        <f t="shared" si="18"/>
        <v/>
      </c>
      <c r="I123" s="539"/>
      <c r="J123" s="539"/>
      <c r="K123" s="557" t="str">
        <f t="shared" si="19"/>
        <v/>
      </c>
      <c r="L123" s="362"/>
      <c r="M123" s="544" t="b">
        <v>0</v>
      </c>
      <c r="N123" s="401" t="b">
        <v>0</v>
      </c>
      <c r="O123" s="5"/>
      <c r="P123" s="363"/>
      <c r="Q123" s="557"/>
      <c r="R123" s="5"/>
      <c r="S123" s="5"/>
      <c r="T123" s="5"/>
      <c r="U123" s="5"/>
      <c r="V123" s="557">
        <f t="shared" si="22"/>
        <v>0</v>
      </c>
      <c r="W123" s="5"/>
      <c r="X123" s="362"/>
      <c r="Y123" s="364" t="s">
        <v>196</v>
      </c>
      <c r="Z123" s="5"/>
      <c r="AA123" s="5"/>
      <c r="AB123" s="392"/>
      <c r="AC123" s="5"/>
      <c r="AD123" s="5"/>
      <c r="AE123" s="363"/>
      <c r="AF123" s="557" t="str">
        <f t="shared" si="20"/>
        <v/>
      </c>
      <c r="AG123" s="557" t="str">
        <f t="shared" si="21"/>
        <v/>
      </c>
      <c r="AH123" s="589"/>
      <c r="AK123" s="108" t="s">
        <v>197</v>
      </c>
      <c r="AL123" s="387">
        <f t="shared" si="10"/>
        <v>0</v>
      </c>
      <c r="AM123" s="387">
        <f t="shared" si="10"/>
        <v>0</v>
      </c>
    </row>
    <row r="124" spans="1:39" s="391" customFormat="1" ht="39" hidden="1" customHeight="1" outlineLevel="3">
      <c r="A124" s="722"/>
      <c r="B124" s="733"/>
      <c r="C124" s="736"/>
      <c r="D124" s="736"/>
      <c r="E124" s="762" t="s">
        <v>346</v>
      </c>
      <c r="F124" s="763"/>
      <c r="G124" s="539"/>
      <c r="H124" s="388" t="str">
        <f t="shared" si="18"/>
        <v/>
      </c>
      <c r="I124" s="539"/>
      <c r="J124" s="539"/>
      <c r="K124" s="557" t="str">
        <f t="shared" si="19"/>
        <v/>
      </c>
      <c r="L124" s="362"/>
      <c r="M124" s="544" t="b">
        <v>0</v>
      </c>
      <c r="N124" s="401" t="b">
        <v>0</v>
      </c>
      <c r="O124" s="5"/>
      <c r="P124" s="363"/>
      <c r="Q124" s="557"/>
      <c r="R124" s="5"/>
      <c r="S124" s="5"/>
      <c r="T124" s="5"/>
      <c r="U124" s="5"/>
      <c r="V124" s="557">
        <f t="shared" si="22"/>
        <v>0</v>
      </c>
      <c r="W124" s="5"/>
      <c r="X124" s="362"/>
      <c r="Y124" s="364" t="s">
        <v>196</v>
      </c>
      <c r="Z124" s="5"/>
      <c r="AA124" s="5"/>
      <c r="AB124" s="392"/>
      <c r="AC124" s="5"/>
      <c r="AD124" s="5"/>
      <c r="AE124" s="363"/>
      <c r="AF124" s="557" t="str">
        <f t="shared" si="20"/>
        <v/>
      </c>
      <c r="AG124" s="557" t="str">
        <f t="shared" si="21"/>
        <v/>
      </c>
      <c r="AH124" s="589"/>
      <c r="AK124" s="108" t="s">
        <v>197</v>
      </c>
      <c r="AL124" s="387">
        <f t="shared" si="10"/>
        <v>0</v>
      </c>
      <c r="AM124" s="387">
        <f t="shared" si="10"/>
        <v>0</v>
      </c>
    </row>
    <row r="125" spans="1:39" s="391" customFormat="1" ht="39" hidden="1" customHeight="1" outlineLevel="3">
      <c r="A125" s="722"/>
      <c r="B125" s="733"/>
      <c r="C125" s="734" t="s">
        <v>199</v>
      </c>
      <c r="D125" s="740" t="s">
        <v>200</v>
      </c>
      <c r="E125" s="741"/>
      <c r="F125" s="742"/>
      <c r="G125" s="710"/>
      <c r="H125" s="838" t="str">
        <f t="shared" si="18"/>
        <v/>
      </c>
      <c r="I125" s="710"/>
      <c r="J125" s="710"/>
      <c r="K125" s="712" t="str">
        <f>IF(SUM(I125:J126)=0,"",SUM(I125:J126))</f>
        <v/>
      </c>
      <c r="L125" s="362"/>
      <c r="M125" s="808" t="b">
        <v>0</v>
      </c>
      <c r="N125" s="401" t="b">
        <v>0</v>
      </c>
      <c r="O125" s="5"/>
      <c r="P125" s="363"/>
      <c r="Q125" s="712"/>
      <c r="R125" s="710"/>
      <c r="S125" s="710"/>
      <c r="T125" s="710"/>
      <c r="U125" s="710"/>
      <c r="V125" s="712">
        <f t="shared" si="22"/>
        <v>0</v>
      </c>
      <c r="W125" s="710"/>
      <c r="X125" s="362"/>
      <c r="Y125" s="364" t="s">
        <v>201</v>
      </c>
      <c r="Z125" s="5"/>
      <c r="AA125" s="5"/>
      <c r="AB125" s="392"/>
      <c r="AC125" s="710"/>
      <c r="AD125" s="710"/>
      <c r="AE125" s="363"/>
      <c r="AF125" s="712" t="str">
        <f t="shared" ref="AF125:AF131" si="23">IF(G125="","",IF(AND(V125="",Z125="",Z126="",AC125=""),"Missing Info",IF(G125-V125-Z125-Z126+AC125=0,"OK","Review financial exposure")))</f>
        <v/>
      </c>
      <c r="AG125" s="712" t="str">
        <f>IF(K125="","",IF(AND(W125="",AA125="",AA126="",AD125=""),"Missing Info",IF(K125-W125-AA125-AA126+AD125=0,"OK","Review emissions")))</f>
        <v/>
      </c>
      <c r="AH125" s="589"/>
      <c r="AK125" s="108" t="s">
        <v>202</v>
      </c>
      <c r="AL125" s="387">
        <f t="shared" si="10"/>
        <v>0</v>
      </c>
      <c r="AM125" s="387">
        <f t="shared" si="10"/>
        <v>0</v>
      </c>
    </row>
    <row r="126" spans="1:39" s="391" customFormat="1" ht="39" hidden="1" customHeight="1" outlineLevel="3">
      <c r="A126" s="722"/>
      <c r="B126" s="733"/>
      <c r="C126" s="735"/>
      <c r="D126" s="743"/>
      <c r="E126" s="744"/>
      <c r="F126" s="745"/>
      <c r="G126" s="711"/>
      <c r="H126" s="839"/>
      <c r="I126" s="711"/>
      <c r="J126" s="711"/>
      <c r="K126" s="713"/>
      <c r="L126" s="362"/>
      <c r="M126" s="809"/>
      <c r="N126" s="401" t="b">
        <v>0</v>
      </c>
      <c r="O126" s="5"/>
      <c r="P126" s="363"/>
      <c r="Q126" s="713"/>
      <c r="R126" s="711"/>
      <c r="S126" s="711"/>
      <c r="T126" s="711"/>
      <c r="U126" s="711"/>
      <c r="V126" s="713">
        <f t="shared" si="22"/>
        <v>0</v>
      </c>
      <c r="W126" s="711"/>
      <c r="X126" s="362"/>
      <c r="Y126" s="364" t="s">
        <v>203</v>
      </c>
      <c r="Z126" s="5"/>
      <c r="AA126" s="5"/>
      <c r="AB126" s="392"/>
      <c r="AC126" s="711"/>
      <c r="AD126" s="711"/>
      <c r="AE126" s="363"/>
      <c r="AF126" s="713"/>
      <c r="AG126" s="713"/>
      <c r="AH126" s="589"/>
      <c r="AK126" s="108" t="s">
        <v>202</v>
      </c>
      <c r="AL126" s="387">
        <f t="shared" si="10"/>
        <v>0</v>
      </c>
      <c r="AM126" s="387">
        <f t="shared" si="10"/>
        <v>0</v>
      </c>
    </row>
    <row r="127" spans="1:39" s="391" customFormat="1" ht="39" hidden="1" customHeight="1" outlineLevel="3">
      <c r="A127" s="722"/>
      <c r="B127" s="733"/>
      <c r="C127" s="735"/>
      <c r="D127" s="734" t="s">
        <v>204</v>
      </c>
      <c r="E127" s="764" t="s">
        <v>345</v>
      </c>
      <c r="F127" s="765"/>
      <c r="G127" s="710"/>
      <c r="H127" s="838" t="str">
        <f>IF(G127="","",G127/$G$179)</f>
        <v/>
      </c>
      <c r="I127" s="710"/>
      <c r="J127" s="710"/>
      <c r="K127" s="712" t="str">
        <f>IF(SUM(I127:J128)=0,"",SUM(I127:J128))</f>
        <v/>
      </c>
      <c r="L127" s="362"/>
      <c r="M127" s="808" t="b">
        <v>0</v>
      </c>
      <c r="N127" s="401" t="b">
        <v>0</v>
      </c>
      <c r="O127" s="5"/>
      <c r="P127" s="363"/>
      <c r="Q127" s="712"/>
      <c r="R127" s="710"/>
      <c r="S127" s="710"/>
      <c r="T127" s="710"/>
      <c r="U127" s="710"/>
      <c r="V127" s="712">
        <f t="shared" si="22"/>
        <v>0</v>
      </c>
      <c r="W127" s="710"/>
      <c r="X127" s="362"/>
      <c r="Y127" s="364" t="s">
        <v>201</v>
      </c>
      <c r="Z127" s="5"/>
      <c r="AA127" s="5"/>
      <c r="AB127" s="392"/>
      <c r="AC127" s="710"/>
      <c r="AD127" s="710"/>
      <c r="AE127" s="363"/>
      <c r="AF127" s="712" t="str">
        <f t="shared" si="23"/>
        <v/>
      </c>
      <c r="AG127" s="712" t="str">
        <f>IF(K127="","",IF(AND(W127="",AA127="",AA128="",AD127=""),"Missing Info",IF(K127-W127-AA127-AA128+AD127=0,"OK","Review emissions")))</f>
        <v/>
      </c>
      <c r="AH127" s="589"/>
      <c r="AK127" s="108" t="s">
        <v>202</v>
      </c>
      <c r="AL127" s="387">
        <f t="shared" si="10"/>
        <v>0</v>
      </c>
      <c r="AM127" s="387">
        <f t="shared" si="10"/>
        <v>0</v>
      </c>
    </row>
    <row r="128" spans="1:39" s="391" customFormat="1" ht="39" hidden="1" customHeight="1" outlineLevel="3">
      <c r="A128" s="722"/>
      <c r="B128" s="733"/>
      <c r="C128" s="735"/>
      <c r="D128" s="735"/>
      <c r="E128" s="766"/>
      <c r="F128" s="767"/>
      <c r="G128" s="711"/>
      <c r="H128" s="839"/>
      <c r="I128" s="711"/>
      <c r="J128" s="711"/>
      <c r="K128" s="713"/>
      <c r="L128" s="362"/>
      <c r="M128" s="809"/>
      <c r="N128" s="401" t="b">
        <v>0</v>
      </c>
      <c r="O128" s="5"/>
      <c r="P128" s="363"/>
      <c r="Q128" s="713"/>
      <c r="R128" s="711"/>
      <c r="S128" s="711"/>
      <c r="T128" s="711"/>
      <c r="U128" s="711"/>
      <c r="V128" s="713">
        <f t="shared" si="22"/>
        <v>0</v>
      </c>
      <c r="W128" s="711"/>
      <c r="X128" s="362"/>
      <c r="Y128" s="364" t="s">
        <v>203</v>
      </c>
      <c r="Z128" s="5"/>
      <c r="AA128" s="5"/>
      <c r="AB128" s="392"/>
      <c r="AC128" s="711"/>
      <c r="AD128" s="711"/>
      <c r="AE128" s="363"/>
      <c r="AF128" s="713"/>
      <c r="AG128" s="713"/>
      <c r="AH128" s="589"/>
      <c r="AK128" s="108" t="s">
        <v>202</v>
      </c>
      <c r="AL128" s="387">
        <f t="shared" si="10"/>
        <v>0</v>
      </c>
      <c r="AM128" s="387">
        <f t="shared" si="10"/>
        <v>0</v>
      </c>
    </row>
    <row r="129" spans="1:39" s="391" customFormat="1" ht="39" hidden="1" customHeight="1" outlineLevel="3">
      <c r="A129" s="722"/>
      <c r="B129" s="733"/>
      <c r="C129" s="735"/>
      <c r="D129" s="735"/>
      <c r="E129" s="764" t="s">
        <v>319</v>
      </c>
      <c r="F129" s="765"/>
      <c r="G129" s="710"/>
      <c r="H129" s="838" t="str">
        <f>IF(G129="","",G129/$G$179)</f>
        <v/>
      </c>
      <c r="I129" s="710"/>
      <c r="J129" s="710"/>
      <c r="K129" s="712" t="str">
        <f>IF(SUM(I129:J130)=0,"",SUM(I129:J130))</f>
        <v/>
      </c>
      <c r="L129" s="362"/>
      <c r="M129" s="808" t="b">
        <v>0</v>
      </c>
      <c r="N129" s="401" t="b">
        <v>0</v>
      </c>
      <c r="O129" s="5"/>
      <c r="P129" s="363"/>
      <c r="Q129" s="712"/>
      <c r="R129" s="710"/>
      <c r="S129" s="710"/>
      <c r="T129" s="710"/>
      <c r="U129" s="710"/>
      <c r="V129" s="712">
        <f t="shared" si="22"/>
        <v>0</v>
      </c>
      <c r="W129" s="710"/>
      <c r="X129" s="362"/>
      <c r="Y129" s="364" t="s">
        <v>201</v>
      </c>
      <c r="Z129" s="5"/>
      <c r="AA129" s="5"/>
      <c r="AB129" s="392"/>
      <c r="AC129" s="710"/>
      <c r="AD129" s="710"/>
      <c r="AE129" s="363"/>
      <c r="AF129" s="712" t="str">
        <f t="shared" si="23"/>
        <v/>
      </c>
      <c r="AG129" s="712" t="str">
        <f>IF(K129="","",IF(AND(W129="",AA129="",AA130="",AD129=""),"Missing Info",IF(K129-W129-AA129-AA130+AD129=0,"OK","Review emissions")))</f>
        <v/>
      </c>
      <c r="AH129" s="589"/>
      <c r="AK129" s="108" t="s">
        <v>202</v>
      </c>
      <c r="AL129" s="387">
        <f t="shared" si="10"/>
        <v>0</v>
      </c>
      <c r="AM129" s="387">
        <f t="shared" si="10"/>
        <v>0</v>
      </c>
    </row>
    <row r="130" spans="1:39" s="391" customFormat="1" ht="39" hidden="1" customHeight="1" outlineLevel="3">
      <c r="A130" s="722"/>
      <c r="B130" s="733"/>
      <c r="C130" s="735"/>
      <c r="D130" s="735"/>
      <c r="E130" s="766"/>
      <c r="F130" s="767"/>
      <c r="G130" s="711"/>
      <c r="H130" s="839"/>
      <c r="I130" s="711"/>
      <c r="J130" s="711"/>
      <c r="K130" s="713"/>
      <c r="L130" s="362"/>
      <c r="M130" s="809"/>
      <c r="N130" s="401" t="b">
        <v>0</v>
      </c>
      <c r="O130" s="5"/>
      <c r="P130" s="363"/>
      <c r="Q130" s="713"/>
      <c r="R130" s="711"/>
      <c r="S130" s="711"/>
      <c r="T130" s="711"/>
      <c r="U130" s="711"/>
      <c r="V130" s="713">
        <f t="shared" si="22"/>
        <v>0</v>
      </c>
      <c r="W130" s="711"/>
      <c r="X130" s="362"/>
      <c r="Y130" s="364" t="s">
        <v>203</v>
      </c>
      <c r="Z130" s="5"/>
      <c r="AA130" s="5"/>
      <c r="AB130" s="392"/>
      <c r="AC130" s="711"/>
      <c r="AD130" s="711"/>
      <c r="AE130" s="363"/>
      <c r="AF130" s="713"/>
      <c r="AG130" s="713"/>
      <c r="AH130" s="589"/>
      <c r="AK130" s="108" t="s">
        <v>202</v>
      </c>
      <c r="AL130" s="387">
        <f t="shared" si="10"/>
        <v>0</v>
      </c>
      <c r="AM130" s="387">
        <f t="shared" si="10"/>
        <v>0</v>
      </c>
    </row>
    <row r="131" spans="1:39" s="391" customFormat="1" ht="39" hidden="1" customHeight="1" outlineLevel="3">
      <c r="A131" s="722"/>
      <c r="B131" s="733"/>
      <c r="C131" s="735"/>
      <c r="D131" s="735"/>
      <c r="E131" s="764" t="s">
        <v>346</v>
      </c>
      <c r="F131" s="765"/>
      <c r="G131" s="710"/>
      <c r="H131" s="838" t="str">
        <f>IF(G131="","",G131/$G$179)</f>
        <v/>
      </c>
      <c r="I131" s="710"/>
      <c r="J131" s="710"/>
      <c r="K131" s="712" t="str">
        <f>IF(SUM(I131:J132)=0,"",SUM(I131:J132))</f>
        <v/>
      </c>
      <c r="L131" s="362"/>
      <c r="M131" s="808" t="b">
        <v>0</v>
      </c>
      <c r="N131" s="401" t="b">
        <v>0</v>
      </c>
      <c r="O131" s="5"/>
      <c r="P131" s="363"/>
      <c r="Q131" s="712"/>
      <c r="R131" s="710"/>
      <c r="S131" s="710"/>
      <c r="T131" s="710"/>
      <c r="U131" s="710"/>
      <c r="V131" s="712">
        <f t="shared" si="22"/>
        <v>0</v>
      </c>
      <c r="W131" s="710"/>
      <c r="X131" s="362"/>
      <c r="Y131" s="364" t="s">
        <v>201</v>
      </c>
      <c r="Z131" s="5"/>
      <c r="AA131" s="5"/>
      <c r="AB131" s="392"/>
      <c r="AC131" s="710"/>
      <c r="AD131" s="710"/>
      <c r="AE131" s="363"/>
      <c r="AF131" s="712" t="str">
        <f t="shared" si="23"/>
        <v/>
      </c>
      <c r="AG131" s="712" t="str">
        <f>IF(K131="","",IF(AND(W131="",AA131="",AA132="",AD131=""),"Missing Info",IF(K131-W131-AA131-AA132+AD131=0,"OK","Review emissions")))</f>
        <v/>
      </c>
      <c r="AH131" s="589"/>
      <c r="AK131" s="108" t="s">
        <v>202</v>
      </c>
      <c r="AL131" s="387">
        <f t="shared" si="10"/>
        <v>0</v>
      </c>
      <c r="AM131" s="387">
        <f t="shared" si="10"/>
        <v>0</v>
      </c>
    </row>
    <row r="132" spans="1:39" s="391" customFormat="1" ht="39" hidden="1" customHeight="1" outlineLevel="3">
      <c r="A132" s="722"/>
      <c r="B132" s="733"/>
      <c r="C132" s="736"/>
      <c r="D132" s="736"/>
      <c r="E132" s="766"/>
      <c r="F132" s="767"/>
      <c r="G132" s="711"/>
      <c r="H132" s="839"/>
      <c r="I132" s="711"/>
      <c r="J132" s="711"/>
      <c r="K132" s="713"/>
      <c r="L132" s="362"/>
      <c r="M132" s="809"/>
      <c r="N132" s="401" t="b">
        <v>0</v>
      </c>
      <c r="O132" s="5"/>
      <c r="P132" s="363"/>
      <c r="Q132" s="713"/>
      <c r="R132" s="711"/>
      <c r="S132" s="711"/>
      <c r="T132" s="711"/>
      <c r="U132" s="711"/>
      <c r="V132" s="713">
        <f t="shared" si="22"/>
        <v>0</v>
      </c>
      <c r="W132" s="711"/>
      <c r="X132" s="362"/>
      <c r="Y132" s="364" t="s">
        <v>203</v>
      </c>
      <c r="Z132" s="5"/>
      <c r="AA132" s="5"/>
      <c r="AB132" s="392"/>
      <c r="AC132" s="711"/>
      <c r="AD132" s="711"/>
      <c r="AE132" s="363"/>
      <c r="AF132" s="713"/>
      <c r="AG132" s="713"/>
      <c r="AH132" s="589"/>
      <c r="AK132" s="108" t="s">
        <v>202</v>
      </c>
      <c r="AL132" s="387">
        <f t="shared" si="10"/>
        <v>0</v>
      </c>
      <c r="AM132" s="387">
        <f t="shared" si="10"/>
        <v>0</v>
      </c>
    </row>
    <row r="133" spans="1:39" s="391" customFormat="1" ht="39" hidden="1" customHeight="1" outlineLevel="3">
      <c r="A133" s="722"/>
      <c r="B133" s="733"/>
      <c r="C133" s="734" t="s">
        <v>16</v>
      </c>
      <c r="D133" s="738" t="s">
        <v>205</v>
      </c>
      <c r="E133" s="738"/>
      <c r="F133" s="739"/>
      <c r="G133" s="539"/>
      <c r="H133" s="388" t="str">
        <f t="shared" ref="H133:H149" si="24">IF(G133="","",G133/$G$179)</f>
        <v/>
      </c>
      <c r="I133" s="539"/>
      <c r="J133" s="539"/>
      <c r="K133" s="557" t="str">
        <f t="shared" ref="K133:K148" si="25">IF(SUM(I133:J133)=0,"",SUM(I133:J133))</f>
        <v/>
      </c>
      <c r="L133" s="362"/>
      <c r="M133" s="544" t="b">
        <v>0</v>
      </c>
      <c r="N133" s="401" t="b">
        <v>0</v>
      </c>
      <c r="O133" s="5"/>
      <c r="P133" s="363"/>
      <c r="Q133" s="557"/>
      <c r="R133" s="5"/>
      <c r="S133" s="5"/>
      <c r="T133" s="5"/>
      <c r="U133" s="5"/>
      <c r="V133" s="557">
        <f t="shared" si="22"/>
        <v>0</v>
      </c>
      <c r="W133" s="5"/>
      <c r="X133" s="362"/>
      <c r="Y133" s="364" t="s">
        <v>206</v>
      </c>
      <c r="Z133" s="5"/>
      <c r="AA133" s="5"/>
      <c r="AB133" s="392"/>
      <c r="AC133" s="5"/>
      <c r="AD133" s="5"/>
      <c r="AE133" s="363"/>
      <c r="AF133" s="557" t="str">
        <f t="shared" ref="AF133:AF148" si="26">IF(G133="","",IF(AND(V133="",Z133="",AC133=""),"Missing Info",IF(G133-V133-Z133+AC133=0,"OK","Review financial exposure")))</f>
        <v/>
      </c>
      <c r="AG133" s="557" t="str">
        <f t="shared" ref="AG133:AG148" si="27">IF(K133="","",IF(AND(W133="",AA133="",AD133=""),"Missing Info",IF(K133-W133-AA133+AD133=0,"OK","Review emissions")))</f>
        <v/>
      </c>
      <c r="AH133" s="589"/>
      <c r="AK133" s="108" t="s">
        <v>207</v>
      </c>
      <c r="AL133" s="387">
        <f t="shared" si="10"/>
        <v>0</v>
      </c>
      <c r="AM133" s="387">
        <f t="shared" si="10"/>
        <v>0</v>
      </c>
    </row>
    <row r="134" spans="1:39" s="391" customFormat="1" ht="68" hidden="1" customHeight="1" outlineLevel="3">
      <c r="A134" s="722"/>
      <c r="B134" s="733"/>
      <c r="C134" s="735"/>
      <c r="D134" s="734" t="s">
        <v>16</v>
      </c>
      <c r="E134" s="762" t="s">
        <v>345</v>
      </c>
      <c r="F134" s="763"/>
      <c r="G134" s="539"/>
      <c r="H134" s="388" t="str">
        <f t="shared" si="24"/>
        <v/>
      </c>
      <c r="I134" s="539"/>
      <c r="J134" s="539"/>
      <c r="K134" s="557" t="str">
        <f t="shared" si="25"/>
        <v/>
      </c>
      <c r="L134" s="362"/>
      <c r="M134" s="544" t="b">
        <v>0</v>
      </c>
      <c r="N134" s="401" t="b">
        <v>0</v>
      </c>
      <c r="O134" s="5"/>
      <c r="P134" s="363"/>
      <c r="Q134" s="557"/>
      <c r="R134" s="5"/>
      <c r="S134" s="5"/>
      <c r="T134" s="5"/>
      <c r="U134" s="5"/>
      <c r="V134" s="557">
        <f t="shared" si="22"/>
        <v>0</v>
      </c>
      <c r="W134" s="5"/>
      <c r="X134" s="362"/>
      <c r="Y134" s="364" t="s">
        <v>206</v>
      </c>
      <c r="Z134" s="5"/>
      <c r="AA134" s="5"/>
      <c r="AB134" s="392"/>
      <c r="AC134" s="5"/>
      <c r="AD134" s="5"/>
      <c r="AE134" s="363"/>
      <c r="AF134" s="557" t="str">
        <f t="shared" si="26"/>
        <v/>
      </c>
      <c r="AG134" s="557" t="str">
        <f t="shared" si="27"/>
        <v/>
      </c>
      <c r="AH134" s="589"/>
      <c r="AK134" s="108" t="s">
        <v>207</v>
      </c>
      <c r="AL134" s="387">
        <f t="shared" si="10"/>
        <v>0</v>
      </c>
      <c r="AM134" s="387">
        <f t="shared" si="10"/>
        <v>0</v>
      </c>
    </row>
    <row r="135" spans="1:39" s="391" customFormat="1" ht="68" hidden="1" customHeight="1" outlineLevel="3">
      <c r="A135" s="722"/>
      <c r="B135" s="733"/>
      <c r="C135" s="735"/>
      <c r="D135" s="735"/>
      <c r="E135" s="762" t="s">
        <v>319</v>
      </c>
      <c r="F135" s="763"/>
      <c r="G135" s="539"/>
      <c r="H135" s="388" t="str">
        <f t="shared" si="24"/>
        <v/>
      </c>
      <c r="I135" s="539"/>
      <c r="J135" s="539"/>
      <c r="K135" s="557" t="str">
        <f t="shared" si="25"/>
        <v/>
      </c>
      <c r="L135" s="362"/>
      <c r="M135" s="544" t="b">
        <v>0</v>
      </c>
      <c r="N135" s="401" t="b">
        <v>0</v>
      </c>
      <c r="O135" s="5"/>
      <c r="P135" s="363"/>
      <c r="Q135" s="557"/>
      <c r="R135" s="5"/>
      <c r="S135" s="5"/>
      <c r="T135" s="5"/>
      <c r="U135" s="5"/>
      <c r="V135" s="557">
        <f t="shared" si="22"/>
        <v>0</v>
      </c>
      <c r="W135" s="5"/>
      <c r="X135" s="362"/>
      <c r="Y135" s="364" t="s">
        <v>206</v>
      </c>
      <c r="Z135" s="5"/>
      <c r="AA135" s="5"/>
      <c r="AB135" s="392"/>
      <c r="AC135" s="5"/>
      <c r="AD135" s="5"/>
      <c r="AE135" s="363"/>
      <c r="AF135" s="557" t="str">
        <f t="shared" si="26"/>
        <v/>
      </c>
      <c r="AG135" s="557" t="str">
        <f t="shared" si="27"/>
        <v/>
      </c>
      <c r="AH135" s="589"/>
      <c r="AK135" s="108" t="s">
        <v>207</v>
      </c>
      <c r="AL135" s="387">
        <f t="shared" si="10"/>
        <v>0</v>
      </c>
      <c r="AM135" s="387">
        <f t="shared" si="10"/>
        <v>0</v>
      </c>
    </row>
    <row r="136" spans="1:39" s="391" customFormat="1" ht="39" hidden="1" customHeight="1" outlineLevel="3">
      <c r="A136" s="722"/>
      <c r="B136" s="733"/>
      <c r="C136" s="736"/>
      <c r="D136" s="736"/>
      <c r="E136" s="762" t="s">
        <v>346</v>
      </c>
      <c r="F136" s="763"/>
      <c r="G136" s="539"/>
      <c r="H136" s="388" t="str">
        <f t="shared" si="24"/>
        <v/>
      </c>
      <c r="I136" s="539"/>
      <c r="J136" s="539"/>
      <c r="K136" s="557" t="str">
        <f t="shared" si="25"/>
        <v/>
      </c>
      <c r="L136" s="362"/>
      <c r="M136" s="544" t="b">
        <v>0</v>
      </c>
      <c r="N136" s="401" t="b">
        <v>0</v>
      </c>
      <c r="O136" s="5"/>
      <c r="P136" s="363"/>
      <c r="Q136" s="557"/>
      <c r="R136" s="5"/>
      <c r="S136" s="5"/>
      <c r="T136" s="5"/>
      <c r="U136" s="5"/>
      <c r="V136" s="557">
        <f t="shared" si="22"/>
        <v>0</v>
      </c>
      <c r="W136" s="5"/>
      <c r="X136" s="362"/>
      <c r="Y136" s="364" t="s">
        <v>206</v>
      </c>
      <c r="Z136" s="5"/>
      <c r="AA136" s="5"/>
      <c r="AB136" s="392"/>
      <c r="AC136" s="5"/>
      <c r="AD136" s="5"/>
      <c r="AE136" s="363"/>
      <c r="AF136" s="557" t="str">
        <f t="shared" si="26"/>
        <v/>
      </c>
      <c r="AG136" s="557" t="str">
        <f t="shared" si="27"/>
        <v/>
      </c>
      <c r="AH136" s="589"/>
      <c r="AK136" s="108" t="s">
        <v>207</v>
      </c>
      <c r="AL136" s="387">
        <f t="shared" si="10"/>
        <v>0</v>
      </c>
      <c r="AM136" s="387">
        <f t="shared" si="10"/>
        <v>0</v>
      </c>
    </row>
    <row r="137" spans="1:39" s="391" customFormat="1" ht="39" hidden="1" customHeight="1" outlineLevel="3">
      <c r="A137" s="722"/>
      <c r="B137" s="733"/>
      <c r="C137" s="734" t="s">
        <v>208</v>
      </c>
      <c r="D137" s="737" t="s">
        <v>209</v>
      </c>
      <c r="E137" s="738"/>
      <c r="F137" s="739"/>
      <c r="G137" s="539"/>
      <c r="H137" s="388" t="str">
        <f t="shared" si="24"/>
        <v/>
      </c>
      <c r="I137" s="539"/>
      <c r="J137" s="539"/>
      <c r="K137" s="557" t="str">
        <f t="shared" si="25"/>
        <v/>
      </c>
      <c r="L137" s="362"/>
      <c r="M137" s="544" t="b">
        <v>0</v>
      </c>
      <c r="N137" s="401" t="b">
        <v>0</v>
      </c>
      <c r="O137" s="5"/>
      <c r="P137" s="363"/>
      <c r="Q137" s="557"/>
      <c r="R137" s="5"/>
      <c r="S137" s="5"/>
      <c r="T137" s="5"/>
      <c r="U137" s="5"/>
      <c r="V137" s="557">
        <f t="shared" si="22"/>
        <v>0</v>
      </c>
      <c r="W137" s="5"/>
      <c r="X137" s="362"/>
      <c r="Y137" s="394" t="s">
        <v>210</v>
      </c>
      <c r="Z137" s="5"/>
      <c r="AA137" s="5"/>
      <c r="AB137" s="392"/>
      <c r="AC137" s="5"/>
      <c r="AD137" s="5"/>
      <c r="AE137" s="363"/>
      <c r="AF137" s="557" t="str">
        <f t="shared" si="26"/>
        <v/>
      </c>
      <c r="AG137" s="557" t="str">
        <f t="shared" si="27"/>
        <v/>
      </c>
      <c r="AH137" s="589"/>
      <c r="AK137" s="108" t="s">
        <v>211</v>
      </c>
      <c r="AL137" s="387">
        <f t="shared" si="10"/>
        <v>0</v>
      </c>
      <c r="AM137" s="387">
        <f t="shared" si="10"/>
        <v>0</v>
      </c>
    </row>
    <row r="138" spans="1:39" s="391" customFormat="1" ht="68" hidden="1" customHeight="1" outlineLevel="3">
      <c r="A138" s="722"/>
      <c r="B138" s="733"/>
      <c r="C138" s="735"/>
      <c r="D138" s="784" t="s">
        <v>212</v>
      </c>
      <c r="E138" s="762" t="s">
        <v>345</v>
      </c>
      <c r="F138" s="763"/>
      <c r="G138" s="539"/>
      <c r="H138" s="388" t="str">
        <f t="shared" si="24"/>
        <v/>
      </c>
      <c r="I138" s="539"/>
      <c r="J138" s="539"/>
      <c r="K138" s="557" t="str">
        <f t="shared" si="25"/>
        <v/>
      </c>
      <c r="L138" s="362"/>
      <c r="M138" s="544" t="b">
        <v>0</v>
      </c>
      <c r="N138" s="401" t="b">
        <v>0</v>
      </c>
      <c r="O138" s="5"/>
      <c r="P138" s="363"/>
      <c r="Q138" s="557"/>
      <c r="R138" s="5"/>
      <c r="S138" s="5"/>
      <c r="T138" s="5"/>
      <c r="U138" s="5"/>
      <c r="V138" s="557">
        <f t="shared" si="22"/>
        <v>0</v>
      </c>
      <c r="W138" s="5"/>
      <c r="X138" s="362"/>
      <c r="Y138" s="394" t="s">
        <v>210</v>
      </c>
      <c r="Z138" s="5"/>
      <c r="AA138" s="5"/>
      <c r="AB138" s="392"/>
      <c r="AC138" s="5"/>
      <c r="AD138" s="5"/>
      <c r="AE138" s="363"/>
      <c r="AF138" s="557" t="str">
        <f t="shared" si="26"/>
        <v/>
      </c>
      <c r="AG138" s="557" t="str">
        <f t="shared" si="27"/>
        <v/>
      </c>
      <c r="AH138" s="589"/>
      <c r="AK138" s="108" t="s">
        <v>211</v>
      </c>
      <c r="AL138" s="387">
        <f t="shared" si="10"/>
        <v>0</v>
      </c>
      <c r="AM138" s="387">
        <f t="shared" si="10"/>
        <v>0</v>
      </c>
    </row>
    <row r="139" spans="1:39" s="391" customFormat="1" ht="68" hidden="1" customHeight="1" outlineLevel="3">
      <c r="A139" s="722"/>
      <c r="B139" s="733"/>
      <c r="C139" s="735"/>
      <c r="D139" s="785"/>
      <c r="E139" s="762" t="s">
        <v>319</v>
      </c>
      <c r="F139" s="763"/>
      <c r="G139" s="539"/>
      <c r="H139" s="388" t="str">
        <f t="shared" si="24"/>
        <v/>
      </c>
      <c r="I139" s="539"/>
      <c r="J139" s="539"/>
      <c r="K139" s="557" t="str">
        <f t="shared" si="25"/>
        <v/>
      </c>
      <c r="L139" s="362"/>
      <c r="M139" s="544" t="b">
        <v>0</v>
      </c>
      <c r="N139" s="401" t="b">
        <v>0</v>
      </c>
      <c r="O139" s="5"/>
      <c r="P139" s="363"/>
      <c r="Q139" s="557"/>
      <c r="R139" s="5"/>
      <c r="S139" s="5"/>
      <c r="T139" s="5"/>
      <c r="U139" s="5"/>
      <c r="V139" s="557">
        <f t="shared" si="22"/>
        <v>0</v>
      </c>
      <c r="W139" s="5"/>
      <c r="X139" s="362"/>
      <c r="Y139" s="394" t="s">
        <v>210</v>
      </c>
      <c r="Z139" s="5"/>
      <c r="AA139" s="5"/>
      <c r="AB139" s="392"/>
      <c r="AC139" s="5"/>
      <c r="AD139" s="5"/>
      <c r="AE139" s="363"/>
      <c r="AF139" s="557" t="str">
        <f t="shared" si="26"/>
        <v/>
      </c>
      <c r="AG139" s="557" t="str">
        <f t="shared" si="27"/>
        <v/>
      </c>
      <c r="AH139" s="589"/>
      <c r="AK139" s="108" t="s">
        <v>211</v>
      </c>
      <c r="AL139" s="387">
        <f t="shared" si="10"/>
        <v>0</v>
      </c>
      <c r="AM139" s="387">
        <f t="shared" si="10"/>
        <v>0</v>
      </c>
    </row>
    <row r="140" spans="1:39" s="391" customFormat="1" ht="39" hidden="1" customHeight="1" outlineLevel="3">
      <c r="A140" s="722"/>
      <c r="B140" s="733"/>
      <c r="C140" s="736"/>
      <c r="D140" s="786"/>
      <c r="E140" s="762" t="s">
        <v>320</v>
      </c>
      <c r="F140" s="763"/>
      <c r="G140" s="539"/>
      <c r="H140" s="388" t="str">
        <f t="shared" si="24"/>
        <v/>
      </c>
      <c r="I140" s="539"/>
      <c r="J140" s="539"/>
      <c r="K140" s="557" t="str">
        <f t="shared" si="25"/>
        <v/>
      </c>
      <c r="L140" s="362"/>
      <c r="M140" s="544" t="b">
        <v>0</v>
      </c>
      <c r="N140" s="401" t="b">
        <v>0</v>
      </c>
      <c r="O140" s="5"/>
      <c r="P140" s="363"/>
      <c r="Q140" s="557"/>
      <c r="R140" s="5"/>
      <c r="S140" s="5"/>
      <c r="T140" s="5"/>
      <c r="U140" s="5"/>
      <c r="V140" s="557">
        <f t="shared" si="22"/>
        <v>0</v>
      </c>
      <c r="W140" s="5"/>
      <c r="X140" s="362"/>
      <c r="Y140" s="394" t="s">
        <v>210</v>
      </c>
      <c r="Z140" s="5"/>
      <c r="AA140" s="5"/>
      <c r="AB140" s="392"/>
      <c r="AC140" s="5"/>
      <c r="AD140" s="5"/>
      <c r="AE140" s="363"/>
      <c r="AF140" s="557" t="str">
        <f t="shared" si="26"/>
        <v/>
      </c>
      <c r="AG140" s="557" t="str">
        <f t="shared" si="27"/>
        <v/>
      </c>
      <c r="AH140" s="589"/>
      <c r="AK140" s="108" t="s">
        <v>211</v>
      </c>
      <c r="AL140" s="387">
        <f t="shared" si="10"/>
        <v>0</v>
      </c>
      <c r="AM140" s="387">
        <f t="shared" si="10"/>
        <v>0</v>
      </c>
    </row>
    <row r="141" spans="1:39" s="391" customFormat="1" ht="39" hidden="1" customHeight="1" outlineLevel="2" collapsed="1">
      <c r="A141" s="721" t="s">
        <v>127</v>
      </c>
      <c r="B141" s="732" t="s">
        <v>128</v>
      </c>
      <c r="C141" s="724" t="s">
        <v>129</v>
      </c>
      <c r="D141" s="725"/>
      <c r="E141" s="725"/>
      <c r="F141" s="726"/>
      <c r="G141" s="5"/>
      <c r="H141" s="388" t="str">
        <f t="shared" si="24"/>
        <v/>
      </c>
      <c r="I141" s="5"/>
      <c r="J141" s="5"/>
      <c r="K141" s="557" t="str">
        <f t="shared" si="25"/>
        <v/>
      </c>
      <c r="L141" s="362"/>
      <c r="M141" s="544" t="b">
        <v>0</v>
      </c>
      <c r="N141" s="389"/>
      <c r="O141" s="5"/>
      <c r="P141" s="363"/>
      <c r="Q141" s="5"/>
      <c r="R141" s="5"/>
      <c r="S141" s="5"/>
      <c r="T141" s="5"/>
      <c r="U141" s="5"/>
      <c r="V141" s="557">
        <f t="shared" si="22"/>
        <v>0</v>
      </c>
      <c r="W141" s="5"/>
      <c r="X141" s="362"/>
      <c r="Y141" s="557"/>
      <c r="Z141" s="557"/>
      <c r="AA141" s="557"/>
      <c r="AB141" s="390"/>
      <c r="AC141" s="557"/>
      <c r="AD141" s="557"/>
      <c r="AE141" s="363"/>
      <c r="AF141" s="557" t="str">
        <f t="shared" si="26"/>
        <v/>
      </c>
      <c r="AG141" s="557" t="str">
        <f t="shared" si="27"/>
        <v/>
      </c>
      <c r="AH141" s="589"/>
      <c r="AK141" s="108" t="s">
        <v>213</v>
      </c>
      <c r="AL141" s="387">
        <f t="shared" si="10"/>
        <v>0</v>
      </c>
      <c r="AM141" s="387">
        <f t="shared" si="10"/>
        <v>0</v>
      </c>
    </row>
    <row r="142" spans="1:39" s="391" customFormat="1" ht="73.25" hidden="1" customHeight="1" outlineLevel="3">
      <c r="A142" s="722"/>
      <c r="B142" s="733"/>
      <c r="C142" s="746" t="s">
        <v>122</v>
      </c>
      <c r="D142" s="747"/>
      <c r="E142" s="762" t="s">
        <v>347</v>
      </c>
      <c r="F142" s="763"/>
      <c r="G142" s="5"/>
      <c r="H142" s="388" t="str">
        <f t="shared" si="24"/>
        <v/>
      </c>
      <c r="I142" s="5"/>
      <c r="J142" s="5"/>
      <c r="K142" s="557" t="str">
        <f t="shared" si="25"/>
        <v/>
      </c>
      <c r="L142" s="362"/>
      <c r="M142" s="544" t="b">
        <v>0</v>
      </c>
      <c r="N142" s="389"/>
      <c r="O142" s="5"/>
      <c r="P142" s="363"/>
      <c r="Q142" s="5"/>
      <c r="R142" s="5"/>
      <c r="S142" s="5"/>
      <c r="T142" s="5"/>
      <c r="U142" s="5"/>
      <c r="V142" s="557">
        <f t="shared" si="22"/>
        <v>0</v>
      </c>
      <c r="W142" s="5"/>
      <c r="X142" s="362"/>
      <c r="Y142" s="557"/>
      <c r="Z142" s="557"/>
      <c r="AA142" s="557"/>
      <c r="AB142" s="390"/>
      <c r="AC142" s="557"/>
      <c r="AD142" s="557"/>
      <c r="AE142" s="363"/>
      <c r="AF142" s="557" t="str">
        <f t="shared" si="26"/>
        <v/>
      </c>
      <c r="AG142" s="557" t="str">
        <f t="shared" si="27"/>
        <v/>
      </c>
      <c r="AH142" s="589"/>
      <c r="AK142" s="108" t="s">
        <v>213</v>
      </c>
      <c r="AL142" s="387">
        <f t="shared" si="10"/>
        <v>0</v>
      </c>
      <c r="AM142" s="387">
        <f t="shared" si="10"/>
        <v>0</v>
      </c>
    </row>
    <row r="143" spans="1:39" s="391" customFormat="1" ht="73.25" hidden="1" customHeight="1" outlineLevel="3">
      <c r="A143" s="722"/>
      <c r="B143" s="733"/>
      <c r="C143" s="830"/>
      <c r="D143" s="831"/>
      <c r="E143" s="762" t="s">
        <v>323</v>
      </c>
      <c r="F143" s="763"/>
      <c r="G143" s="5"/>
      <c r="H143" s="388" t="str">
        <f t="shared" si="24"/>
        <v/>
      </c>
      <c r="I143" s="5"/>
      <c r="J143" s="5"/>
      <c r="K143" s="557" t="str">
        <f t="shared" si="25"/>
        <v/>
      </c>
      <c r="L143" s="362"/>
      <c r="M143" s="544" t="b">
        <v>0</v>
      </c>
      <c r="N143" s="389"/>
      <c r="O143" s="5"/>
      <c r="P143" s="363"/>
      <c r="Q143" s="5"/>
      <c r="R143" s="5"/>
      <c r="S143" s="5"/>
      <c r="T143" s="5"/>
      <c r="U143" s="5"/>
      <c r="V143" s="557">
        <f t="shared" si="22"/>
        <v>0</v>
      </c>
      <c r="W143" s="5"/>
      <c r="X143" s="362"/>
      <c r="Y143" s="557"/>
      <c r="Z143" s="557"/>
      <c r="AA143" s="557"/>
      <c r="AB143" s="390"/>
      <c r="AC143" s="557"/>
      <c r="AD143" s="557"/>
      <c r="AE143" s="363"/>
      <c r="AF143" s="557" t="str">
        <f t="shared" si="26"/>
        <v/>
      </c>
      <c r="AG143" s="557" t="str">
        <f t="shared" si="27"/>
        <v/>
      </c>
      <c r="AH143" s="589"/>
      <c r="AK143" s="108" t="s">
        <v>213</v>
      </c>
      <c r="AL143" s="387">
        <f t="shared" si="10"/>
        <v>0</v>
      </c>
      <c r="AM143" s="387">
        <f t="shared" si="10"/>
        <v>0</v>
      </c>
    </row>
    <row r="144" spans="1:39" s="391" customFormat="1" ht="39" hidden="1" customHeight="1" outlineLevel="3">
      <c r="A144" s="723"/>
      <c r="B144" s="733"/>
      <c r="C144" s="748"/>
      <c r="D144" s="749"/>
      <c r="E144" s="762" t="s">
        <v>348</v>
      </c>
      <c r="F144" s="763"/>
      <c r="G144" s="5"/>
      <c r="H144" s="388" t="str">
        <f t="shared" si="24"/>
        <v/>
      </c>
      <c r="I144" s="5"/>
      <c r="J144" s="5"/>
      <c r="K144" s="557" t="str">
        <f t="shared" si="25"/>
        <v/>
      </c>
      <c r="L144" s="362"/>
      <c r="M144" s="544" t="b">
        <v>0</v>
      </c>
      <c r="N144" s="389"/>
      <c r="O144" s="5"/>
      <c r="P144" s="363"/>
      <c r="Q144" s="5"/>
      <c r="R144" s="5"/>
      <c r="S144" s="5"/>
      <c r="T144" s="5"/>
      <c r="U144" s="5"/>
      <c r="V144" s="557">
        <f t="shared" si="22"/>
        <v>0</v>
      </c>
      <c r="W144" s="5"/>
      <c r="X144" s="362"/>
      <c r="Y144" s="557"/>
      <c r="Z144" s="557"/>
      <c r="AA144" s="557"/>
      <c r="AB144" s="390"/>
      <c r="AC144" s="557"/>
      <c r="AD144" s="557"/>
      <c r="AE144" s="363"/>
      <c r="AF144" s="557" t="str">
        <f t="shared" si="26"/>
        <v/>
      </c>
      <c r="AG144" s="557" t="str">
        <f t="shared" si="27"/>
        <v/>
      </c>
      <c r="AH144" s="589"/>
      <c r="AK144" s="108" t="s">
        <v>213</v>
      </c>
      <c r="AL144" s="387">
        <f t="shared" si="10"/>
        <v>0</v>
      </c>
      <c r="AM144" s="387">
        <f t="shared" si="10"/>
        <v>0</v>
      </c>
    </row>
    <row r="145" spans="1:39" s="391" customFormat="1" ht="39" hidden="1" customHeight="1" outlineLevel="2" collapsed="1">
      <c r="A145" s="721" t="s">
        <v>133</v>
      </c>
      <c r="B145" s="732" t="s">
        <v>134</v>
      </c>
      <c r="C145" s="724" t="s">
        <v>135</v>
      </c>
      <c r="D145" s="725"/>
      <c r="E145" s="725"/>
      <c r="F145" s="726"/>
      <c r="G145" s="5"/>
      <c r="H145" s="388" t="str">
        <f t="shared" si="24"/>
        <v/>
      </c>
      <c r="I145" s="5"/>
      <c r="J145" s="5"/>
      <c r="K145" s="557" t="str">
        <f t="shared" si="25"/>
        <v/>
      </c>
      <c r="L145" s="362"/>
      <c r="M145" s="544" t="b">
        <v>0</v>
      </c>
      <c r="N145" s="389"/>
      <c r="O145" s="5"/>
      <c r="P145" s="363"/>
      <c r="Q145" s="5"/>
      <c r="R145" s="5"/>
      <c r="S145" s="5"/>
      <c r="T145" s="5"/>
      <c r="U145" s="5"/>
      <c r="V145" s="557">
        <f t="shared" si="22"/>
        <v>0</v>
      </c>
      <c r="W145" s="5"/>
      <c r="X145" s="362"/>
      <c r="Y145" s="557"/>
      <c r="Z145" s="557"/>
      <c r="AA145" s="557"/>
      <c r="AB145" s="390"/>
      <c r="AC145" s="557"/>
      <c r="AD145" s="557"/>
      <c r="AE145" s="363"/>
      <c r="AF145" s="557" t="str">
        <f t="shared" si="26"/>
        <v/>
      </c>
      <c r="AG145" s="557" t="str">
        <f t="shared" si="27"/>
        <v/>
      </c>
      <c r="AH145" s="589"/>
      <c r="AK145" s="108" t="s">
        <v>214</v>
      </c>
      <c r="AL145" s="387">
        <f t="shared" ref="AL145:AM166" si="28">COUNTIFS($AK$80:$AK$166,$AK145,M$80:M$166,TRUE)</f>
        <v>0</v>
      </c>
      <c r="AM145" s="387">
        <f t="shared" si="28"/>
        <v>0</v>
      </c>
    </row>
    <row r="146" spans="1:39" s="391" customFormat="1" ht="39" hidden="1" customHeight="1" outlineLevel="3">
      <c r="A146" s="722"/>
      <c r="B146" s="733"/>
      <c r="C146" s="756" t="s">
        <v>122</v>
      </c>
      <c r="D146" s="757"/>
      <c r="E146" s="762" t="s">
        <v>325</v>
      </c>
      <c r="F146" s="763"/>
      <c r="G146" s="5"/>
      <c r="H146" s="388" t="str">
        <f t="shared" si="24"/>
        <v/>
      </c>
      <c r="I146" s="5"/>
      <c r="J146" s="5"/>
      <c r="K146" s="557" t="str">
        <f t="shared" si="25"/>
        <v/>
      </c>
      <c r="L146" s="362"/>
      <c r="M146" s="544" t="b">
        <v>0</v>
      </c>
      <c r="N146" s="389"/>
      <c r="O146" s="5"/>
      <c r="P146" s="363"/>
      <c r="Q146" s="5"/>
      <c r="R146" s="5"/>
      <c r="S146" s="5"/>
      <c r="T146" s="5"/>
      <c r="U146" s="5"/>
      <c r="V146" s="557">
        <f t="shared" si="22"/>
        <v>0</v>
      </c>
      <c r="W146" s="5"/>
      <c r="X146" s="362"/>
      <c r="Y146" s="557"/>
      <c r="Z146" s="557"/>
      <c r="AA146" s="557"/>
      <c r="AB146" s="390"/>
      <c r="AC146" s="557"/>
      <c r="AD146" s="557"/>
      <c r="AE146" s="363"/>
      <c r="AF146" s="557" t="str">
        <f t="shared" si="26"/>
        <v/>
      </c>
      <c r="AG146" s="557" t="str">
        <f t="shared" si="27"/>
        <v/>
      </c>
      <c r="AH146" s="589"/>
      <c r="AK146" s="108" t="s">
        <v>214</v>
      </c>
      <c r="AL146" s="387">
        <f t="shared" si="28"/>
        <v>0</v>
      </c>
      <c r="AM146" s="387">
        <f t="shared" si="28"/>
        <v>0</v>
      </c>
    </row>
    <row r="147" spans="1:39" s="391" customFormat="1" ht="55.25" hidden="1" customHeight="1" outlineLevel="3">
      <c r="A147" s="722"/>
      <c r="B147" s="733"/>
      <c r="C147" s="758"/>
      <c r="D147" s="759"/>
      <c r="E147" s="762" t="s">
        <v>326</v>
      </c>
      <c r="F147" s="763"/>
      <c r="G147" s="5"/>
      <c r="H147" s="388" t="str">
        <f t="shared" si="24"/>
        <v/>
      </c>
      <c r="I147" s="5"/>
      <c r="J147" s="5"/>
      <c r="K147" s="557" t="str">
        <f t="shared" si="25"/>
        <v/>
      </c>
      <c r="L147" s="362"/>
      <c r="M147" s="544" t="b">
        <v>0</v>
      </c>
      <c r="N147" s="389"/>
      <c r="O147" s="5"/>
      <c r="P147" s="363"/>
      <c r="Q147" s="5"/>
      <c r="R147" s="5"/>
      <c r="S147" s="5"/>
      <c r="T147" s="5"/>
      <c r="U147" s="5"/>
      <c r="V147" s="557">
        <f t="shared" si="22"/>
        <v>0</v>
      </c>
      <c r="W147" s="5"/>
      <c r="X147" s="362"/>
      <c r="Y147" s="557"/>
      <c r="Z147" s="557"/>
      <c r="AA147" s="557"/>
      <c r="AB147" s="390"/>
      <c r="AC147" s="557"/>
      <c r="AD147" s="557"/>
      <c r="AE147" s="363"/>
      <c r="AF147" s="557" t="str">
        <f t="shared" si="26"/>
        <v/>
      </c>
      <c r="AG147" s="557" t="str">
        <f t="shared" si="27"/>
        <v/>
      </c>
      <c r="AH147" s="589"/>
      <c r="AK147" s="108" t="s">
        <v>214</v>
      </c>
      <c r="AL147" s="387">
        <f t="shared" si="28"/>
        <v>0</v>
      </c>
      <c r="AM147" s="387">
        <f t="shared" si="28"/>
        <v>0</v>
      </c>
    </row>
    <row r="148" spans="1:39" s="391" customFormat="1" ht="39" hidden="1" customHeight="1" outlineLevel="3">
      <c r="A148" s="723"/>
      <c r="B148" s="733"/>
      <c r="C148" s="760"/>
      <c r="D148" s="761"/>
      <c r="E148" s="762" t="s">
        <v>327</v>
      </c>
      <c r="F148" s="763"/>
      <c r="G148" s="5"/>
      <c r="H148" s="388" t="str">
        <f t="shared" si="24"/>
        <v/>
      </c>
      <c r="I148" s="5"/>
      <c r="J148" s="5"/>
      <c r="K148" s="557" t="str">
        <f t="shared" si="25"/>
        <v/>
      </c>
      <c r="L148" s="362"/>
      <c r="M148" s="544" t="b">
        <v>0</v>
      </c>
      <c r="N148" s="389"/>
      <c r="O148" s="5"/>
      <c r="P148" s="363"/>
      <c r="Q148" s="5"/>
      <c r="R148" s="5"/>
      <c r="S148" s="5"/>
      <c r="T148" s="5"/>
      <c r="U148" s="5"/>
      <c r="V148" s="557">
        <f t="shared" si="22"/>
        <v>0</v>
      </c>
      <c r="W148" s="5"/>
      <c r="X148" s="362"/>
      <c r="Y148" s="557"/>
      <c r="Z148" s="557"/>
      <c r="AA148" s="557"/>
      <c r="AB148" s="390"/>
      <c r="AC148" s="557"/>
      <c r="AD148" s="557"/>
      <c r="AE148" s="363"/>
      <c r="AF148" s="557" t="str">
        <f t="shared" si="26"/>
        <v/>
      </c>
      <c r="AG148" s="557" t="str">
        <f t="shared" si="27"/>
        <v/>
      </c>
      <c r="AH148" s="589"/>
      <c r="AK148" s="108" t="s">
        <v>214</v>
      </c>
      <c r="AL148" s="387">
        <f t="shared" si="28"/>
        <v>0</v>
      </c>
      <c r="AM148" s="387">
        <f t="shared" si="28"/>
        <v>0</v>
      </c>
    </row>
    <row r="149" spans="1:39" s="391" customFormat="1" ht="39" hidden="1" customHeight="1" outlineLevel="3">
      <c r="A149" s="722"/>
      <c r="B149" s="733"/>
      <c r="C149" s="785"/>
      <c r="D149" s="784" t="s">
        <v>266</v>
      </c>
      <c r="E149" s="764" t="s">
        <v>325</v>
      </c>
      <c r="F149" s="765"/>
      <c r="G149" s="710"/>
      <c r="H149" s="838" t="str">
        <f t="shared" si="24"/>
        <v/>
      </c>
      <c r="I149" s="710"/>
      <c r="J149" s="710"/>
      <c r="K149" s="712" t="str">
        <f>IF(SUM(I149:J150)=0,"",SUM(I149:J150))</f>
        <v/>
      </c>
      <c r="L149" s="362"/>
      <c r="M149" s="796"/>
      <c r="N149" s="401" t="b">
        <v>0</v>
      </c>
      <c r="O149" s="5"/>
      <c r="P149" s="363"/>
      <c r="Q149" s="712"/>
      <c r="R149" s="712"/>
      <c r="S149" s="712"/>
      <c r="T149" s="712"/>
      <c r="U149" s="712"/>
      <c r="V149" s="712"/>
      <c r="W149" s="712"/>
      <c r="X149" s="362"/>
      <c r="Y149" s="364" t="s">
        <v>112</v>
      </c>
      <c r="Z149" s="5"/>
      <c r="AA149" s="5"/>
      <c r="AB149" s="358"/>
      <c r="AC149" s="710"/>
      <c r="AD149" s="710"/>
      <c r="AE149" s="358"/>
      <c r="AF149" s="712" t="str">
        <f t="shared" ref="AF149" si="29">IF(G149="","",IF(AND(V149="",Z149="",Z150="",AC149=""),"Missing Info",IF(G149-V149-Z149-Z150+AC149=0,"OK","Review financial exposure")))</f>
        <v/>
      </c>
      <c r="AG149" s="712" t="str">
        <f>IF(K149="","",IF(AND(W149="",AA149="",AA150="",AD149=""),"Missing Info",IF(K149-W149-AA149-AA150+AD149=0,"OK","Review emissions")))</f>
        <v/>
      </c>
      <c r="AH149" s="589"/>
      <c r="AK149" s="108" t="s">
        <v>265</v>
      </c>
      <c r="AL149" s="387">
        <f t="shared" si="28"/>
        <v>0</v>
      </c>
      <c r="AM149" s="387">
        <f t="shared" si="28"/>
        <v>0</v>
      </c>
    </row>
    <row r="150" spans="1:39" s="391" customFormat="1" ht="39" hidden="1" customHeight="1" outlineLevel="3">
      <c r="A150" s="722"/>
      <c r="B150" s="733"/>
      <c r="C150" s="785"/>
      <c r="D150" s="785"/>
      <c r="E150" s="766"/>
      <c r="F150" s="767"/>
      <c r="G150" s="711"/>
      <c r="H150" s="839"/>
      <c r="I150" s="711"/>
      <c r="J150" s="711"/>
      <c r="K150" s="713"/>
      <c r="L150" s="362"/>
      <c r="M150" s="797"/>
      <c r="N150" s="401" t="b">
        <v>0</v>
      </c>
      <c r="O150" s="5"/>
      <c r="P150" s="363"/>
      <c r="Q150" s="713"/>
      <c r="R150" s="713"/>
      <c r="S150" s="713"/>
      <c r="T150" s="713"/>
      <c r="U150" s="713"/>
      <c r="V150" s="713"/>
      <c r="W150" s="713"/>
      <c r="X150" s="362"/>
      <c r="Y150" s="364" t="s">
        <v>114</v>
      </c>
      <c r="Z150" s="5"/>
      <c r="AA150" s="5"/>
      <c r="AB150" s="358"/>
      <c r="AC150" s="711"/>
      <c r="AD150" s="711"/>
      <c r="AE150" s="358"/>
      <c r="AF150" s="713"/>
      <c r="AG150" s="713"/>
      <c r="AH150" s="589"/>
      <c r="AK150" s="108" t="s">
        <v>265</v>
      </c>
      <c r="AL150" s="387">
        <f t="shared" si="28"/>
        <v>0</v>
      </c>
      <c r="AM150" s="387">
        <f t="shared" si="28"/>
        <v>0</v>
      </c>
    </row>
    <row r="151" spans="1:39" s="391" customFormat="1" ht="39" hidden="1" customHeight="1" outlineLevel="3">
      <c r="A151" s="722"/>
      <c r="B151" s="733"/>
      <c r="C151" s="785"/>
      <c r="D151" s="541" t="s">
        <v>783</v>
      </c>
      <c r="E151" s="762" t="s">
        <v>325</v>
      </c>
      <c r="F151" s="763"/>
      <c r="G151" s="5"/>
      <c r="H151" s="388" t="str">
        <f>IF(G151="","",G151/$G$179)</f>
        <v/>
      </c>
      <c r="I151" s="5"/>
      <c r="J151" s="5"/>
      <c r="K151" s="557" t="str">
        <f>IF(SUM(I151:J151)=0,"",SUM(I151:J151))</f>
        <v/>
      </c>
      <c r="L151" s="362"/>
      <c r="M151" s="401" t="b">
        <v>0</v>
      </c>
      <c r="N151" s="401" t="b">
        <v>0</v>
      </c>
      <c r="O151" s="5"/>
      <c r="P151" s="363"/>
      <c r="Q151" s="5"/>
      <c r="R151" s="5"/>
      <c r="S151" s="5"/>
      <c r="T151" s="5"/>
      <c r="U151" s="5"/>
      <c r="V151" s="557">
        <f t="shared" ref="V151:V166" si="30">IF(M151=TRUE,SUM(Q151:U151),0)</f>
        <v>0</v>
      </c>
      <c r="W151" s="5"/>
      <c r="X151" s="362"/>
      <c r="Y151" s="364" t="s">
        <v>112</v>
      </c>
      <c r="Z151" s="5"/>
      <c r="AA151" s="5"/>
      <c r="AB151" s="358"/>
      <c r="AC151" s="5"/>
      <c r="AD151" s="5"/>
      <c r="AE151" s="358"/>
      <c r="AF151" s="557" t="str">
        <f t="shared" ref="AF151:AF152" si="31">IF(G151="","",IF(AND(V151="",Z151="",AC151=""),"Missing Info",IF(G151-V151-Z151+AC151=0,"OK","Review financial exposure")))</f>
        <v/>
      </c>
      <c r="AG151" s="557" t="str">
        <f t="shared" ref="AG151:AG152" si="32">IF(K151="","",IF(AND(W151="",AA151="",AD151=""),"Missing Info",IF(K151-W151-AA151+AD151=0,"OK","Review emissions")))</f>
        <v/>
      </c>
      <c r="AH151" s="589"/>
      <c r="AK151" s="108" t="s">
        <v>265</v>
      </c>
      <c r="AL151" s="387">
        <f t="shared" si="28"/>
        <v>0</v>
      </c>
      <c r="AM151" s="387">
        <f t="shared" si="28"/>
        <v>0</v>
      </c>
    </row>
    <row r="152" spans="1:39" s="391" customFormat="1" ht="39" hidden="1" customHeight="1" outlineLevel="3">
      <c r="A152" s="722"/>
      <c r="B152" s="733"/>
      <c r="C152" s="785"/>
      <c r="D152" s="545" t="s">
        <v>179</v>
      </c>
      <c r="E152" s="762" t="s">
        <v>325</v>
      </c>
      <c r="F152" s="763"/>
      <c r="G152" s="539"/>
      <c r="H152" s="388" t="str">
        <f>IF(G152="","",G152/$G$179)</f>
        <v/>
      </c>
      <c r="I152" s="539"/>
      <c r="J152" s="539"/>
      <c r="K152" s="557" t="str">
        <f>IF(SUM(I152:J152)=0,"",SUM(I152:J152))</f>
        <v/>
      </c>
      <c r="L152" s="362"/>
      <c r="M152" s="544" t="b">
        <v>0</v>
      </c>
      <c r="N152" s="544" t="b">
        <v>0</v>
      </c>
      <c r="O152" s="5"/>
      <c r="P152" s="363"/>
      <c r="Q152" s="5"/>
      <c r="R152" s="5"/>
      <c r="S152" s="5"/>
      <c r="T152" s="5"/>
      <c r="U152" s="5"/>
      <c r="V152" s="557">
        <f t="shared" si="30"/>
        <v>0</v>
      </c>
      <c r="W152" s="5"/>
      <c r="X152" s="362"/>
      <c r="Y152" s="364" t="s">
        <v>177</v>
      </c>
      <c r="Z152" s="5"/>
      <c r="AA152" s="5"/>
      <c r="AB152" s="392"/>
      <c r="AC152" s="5"/>
      <c r="AD152" s="5"/>
      <c r="AE152" s="363"/>
      <c r="AF152" s="557" t="str">
        <f t="shared" si="31"/>
        <v/>
      </c>
      <c r="AG152" s="557" t="str">
        <f t="shared" si="32"/>
        <v/>
      </c>
      <c r="AH152" s="589"/>
      <c r="AK152" s="108" t="s">
        <v>216</v>
      </c>
      <c r="AL152" s="387">
        <f t="shared" si="28"/>
        <v>0</v>
      </c>
      <c r="AM152" s="387">
        <f t="shared" si="28"/>
        <v>0</v>
      </c>
    </row>
    <row r="153" spans="1:39" s="391" customFormat="1" ht="39" hidden="1" customHeight="1" outlineLevel="3">
      <c r="A153" s="722"/>
      <c r="B153" s="733"/>
      <c r="C153" s="785"/>
      <c r="D153" s="784" t="s">
        <v>184</v>
      </c>
      <c r="E153" s="764" t="s">
        <v>325</v>
      </c>
      <c r="F153" s="765"/>
      <c r="G153" s="710"/>
      <c r="H153" s="838" t="str">
        <f>IF(G153="","",G153/$G$179)</f>
        <v/>
      </c>
      <c r="I153" s="710"/>
      <c r="J153" s="710"/>
      <c r="K153" s="712" t="str">
        <f>IF(SUM(I153:J154)=0,"",SUM(I153:J154))</f>
        <v/>
      </c>
      <c r="L153" s="362"/>
      <c r="M153" s="808" t="b">
        <v>0</v>
      </c>
      <c r="N153" s="544" t="b">
        <v>0</v>
      </c>
      <c r="O153" s="5"/>
      <c r="P153" s="363"/>
      <c r="Q153" s="710"/>
      <c r="R153" s="710"/>
      <c r="S153" s="710"/>
      <c r="T153" s="710"/>
      <c r="U153" s="710"/>
      <c r="V153" s="712">
        <f t="shared" si="30"/>
        <v>0</v>
      </c>
      <c r="W153" s="710"/>
      <c r="X153" s="362"/>
      <c r="Y153" s="364" t="s">
        <v>181</v>
      </c>
      <c r="Z153" s="5"/>
      <c r="AA153" s="5"/>
      <c r="AB153" s="392"/>
      <c r="AC153" s="710"/>
      <c r="AD153" s="710"/>
      <c r="AE153" s="363"/>
      <c r="AF153" s="712" t="str">
        <f t="shared" ref="AF153:AF155" si="33">IF(G153="","",IF(AND(V153="",Z153="",Z154="",AC153=""),"Missing Info",IF(G153-V153-Z153-Z154+AC153=0,"OK","Review financial exposure")))</f>
        <v/>
      </c>
      <c r="AG153" s="712" t="str">
        <f>IF(K153="","",IF(AND(W153="",AA153="",AA154="",AD153=""),"Missing Info",IF(K153-W153-AA153-AA154+AD153=0,"OK","Review emissions")))</f>
        <v/>
      </c>
      <c r="AH153" s="589"/>
      <c r="AK153" s="108" t="s">
        <v>218</v>
      </c>
      <c r="AL153" s="387">
        <f t="shared" si="28"/>
        <v>0</v>
      </c>
      <c r="AM153" s="387">
        <f t="shared" si="28"/>
        <v>0</v>
      </c>
    </row>
    <row r="154" spans="1:39" s="391" customFormat="1" ht="39" hidden="1" customHeight="1" outlineLevel="3">
      <c r="A154" s="722"/>
      <c r="B154" s="733"/>
      <c r="C154" s="785"/>
      <c r="D154" s="785"/>
      <c r="E154" s="766"/>
      <c r="F154" s="767"/>
      <c r="G154" s="711"/>
      <c r="H154" s="839"/>
      <c r="I154" s="711"/>
      <c r="J154" s="711"/>
      <c r="K154" s="713"/>
      <c r="L154" s="362"/>
      <c r="M154" s="809"/>
      <c r="N154" s="544" t="b">
        <v>0</v>
      </c>
      <c r="O154" s="5"/>
      <c r="P154" s="363"/>
      <c r="Q154" s="711"/>
      <c r="R154" s="711"/>
      <c r="S154" s="711"/>
      <c r="T154" s="711"/>
      <c r="U154" s="711"/>
      <c r="V154" s="713">
        <f t="shared" si="30"/>
        <v>0</v>
      </c>
      <c r="W154" s="711"/>
      <c r="X154" s="362"/>
      <c r="Y154" s="364" t="s">
        <v>183</v>
      </c>
      <c r="Z154" s="5"/>
      <c r="AA154" s="5"/>
      <c r="AB154" s="392"/>
      <c r="AC154" s="711"/>
      <c r="AD154" s="711"/>
      <c r="AE154" s="363"/>
      <c r="AF154" s="713"/>
      <c r="AG154" s="713"/>
      <c r="AH154" s="589"/>
      <c r="AK154" s="108" t="s">
        <v>218</v>
      </c>
      <c r="AL154" s="387">
        <f t="shared" si="28"/>
        <v>0</v>
      </c>
      <c r="AM154" s="387">
        <f t="shared" si="28"/>
        <v>0</v>
      </c>
    </row>
    <row r="155" spans="1:39" s="391" customFormat="1" ht="39" hidden="1" customHeight="1" outlineLevel="3">
      <c r="A155" s="722"/>
      <c r="B155" s="733"/>
      <c r="C155" s="785"/>
      <c r="D155" s="784" t="s">
        <v>189</v>
      </c>
      <c r="E155" s="764" t="s">
        <v>325</v>
      </c>
      <c r="F155" s="765"/>
      <c r="G155" s="710"/>
      <c r="H155" s="838" t="str">
        <f>IF(G155="","",G155/$G$179)</f>
        <v/>
      </c>
      <c r="I155" s="710"/>
      <c r="J155" s="710"/>
      <c r="K155" s="712" t="str">
        <f>IF(SUM(I155:J156)=0,"",SUM(I155:J156))</f>
        <v/>
      </c>
      <c r="L155" s="362"/>
      <c r="M155" s="808" t="b">
        <v>0</v>
      </c>
      <c r="N155" s="544" t="b">
        <v>0</v>
      </c>
      <c r="O155" s="5"/>
      <c r="P155" s="363"/>
      <c r="Q155" s="710"/>
      <c r="R155" s="710"/>
      <c r="S155" s="710"/>
      <c r="T155" s="710"/>
      <c r="U155" s="710"/>
      <c r="V155" s="712">
        <f t="shared" si="30"/>
        <v>0</v>
      </c>
      <c r="W155" s="710"/>
      <c r="X155" s="362"/>
      <c r="Y155" s="364" t="s">
        <v>186</v>
      </c>
      <c r="Z155" s="5"/>
      <c r="AA155" s="5"/>
      <c r="AB155" s="392"/>
      <c r="AC155" s="710"/>
      <c r="AD155" s="710"/>
      <c r="AE155" s="363"/>
      <c r="AF155" s="712" t="str">
        <f t="shared" si="33"/>
        <v/>
      </c>
      <c r="AG155" s="712" t="str">
        <f>IF(K155="","",IF(AND(W155="",AA155="",AA156="",AD155=""),"Missing Info",IF(K155-W155-AA155-AA156+AD155=0,"OK","Review emissions")))</f>
        <v/>
      </c>
      <c r="AH155" s="589"/>
      <c r="AK155" s="108" t="s">
        <v>220</v>
      </c>
      <c r="AL155" s="387">
        <f t="shared" si="28"/>
        <v>0</v>
      </c>
      <c r="AM155" s="387">
        <f t="shared" si="28"/>
        <v>0</v>
      </c>
    </row>
    <row r="156" spans="1:39" s="391" customFormat="1" ht="39" hidden="1" customHeight="1" outlineLevel="3">
      <c r="A156" s="722"/>
      <c r="B156" s="733"/>
      <c r="C156" s="785"/>
      <c r="D156" s="785"/>
      <c r="E156" s="766"/>
      <c r="F156" s="767"/>
      <c r="G156" s="711"/>
      <c r="H156" s="839"/>
      <c r="I156" s="711"/>
      <c r="J156" s="711"/>
      <c r="K156" s="713"/>
      <c r="L156" s="362"/>
      <c r="M156" s="809"/>
      <c r="N156" s="544" t="b">
        <v>0</v>
      </c>
      <c r="O156" s="5"/>
      <c r="P156" s="363"/>
      <c r="Q156" s="711"/>
      <c r="R156" s="711"/>
      <c r="S156" s="711"/>
      <c r="T156" s="711"/>
      <c r="U156" s="711"/>
      <c r="V156" s="713">
        <f t="shared" si="30"/>
        <v>0</v>
      </c>
      <c r="W156" s="711"/>
      <c r="X156" s="362"/>
      <c r="Y156" s="364" t="s">
        <v>188</v>
      </c>
      <c r="Z156" s="5"/>
      <c r="AA156" s="5"/>
      <c r="AB156" s="392"/>
      <c r="AC156" s="711"/>
      <c r="AD156" s="711"/>
      <c r="AE156" s="363"/>
      <c r="AF156" s="713"/>
      <c r="AG156" s="713"/>
      <c r="AH156" s="589"/>
      <c r="AK156" s="108" t="s">
        <v>220</v>
      </c>
      <c r="AL156" s="387">
        <f t="shared" si="28"/>
        <v>0</v>
      </c>
      <c r="AM156" s="387">
        <f t="shared" si="28"/>
        <v>0</v>
      </c>
    </row>
    <row r="157" spans="1:39" s="391" customFormat="1" ht="39" hidden="1" customHeight="1" outlineLevel="3">
      <c r="A157" s="722"/>
      <c r="B157" s="733"/>
      <c r="C157" s="785"/>
      <c r="D157" s="545" t="s">
        <v>194</v>
      </c>
      <c r="E157" s="762" t="s">
        <v>325</v>
      </c>
      <c r="F157" s="763"/>
      <c r="G157" s="539"/>
      <c r="H157" s="388" t="str">
        <f>IF(G157="","",G157/$G$179)</f>
        <v/>
      </c>
      <c r="I157" s="539"/>
      <c r="J157" s="539"/>
      <c r="K157" s="557" t="str">
        <f>IF(SUM(I157:J157)=0,"",SUM(I157:J157))</f>
        <v/>
      </c>
      <c r="L157" s="362"/>
      <c r="M157" s="544" t="b">
        <v>0</v>
      </c>
      <c r="N157" s="544" t="b">
        <v>0</v>
      </c>
      <c r="O157" s="5"/>
      <c r="P157" s="363"/>
      <c r="Q157" s="5"/>
      <c r="R157" s="5"/>
      <c r="S157" s="5"/>
      <c r="T157" s="5"/>
      <c r="U157" s="5"/>
      <c r="V157" s="557">
        <f t="shared" si="30"/>
        <v>0</v>
      </c>
      <c r="W157" s="5"/>
      <c r="X157" s="362"/>
      <c r="Y157" s="364" t="s">
        <v>192</v>
      </c>
      <c r="Z157" s="5"/>
      <c r="AA157" s="5"/>
      <c r="AB157" s="392"/>
      <c r="AC157" s="5"/>
      <c r="AD157" s="5"/>
      <c r="AE157" s="363"/>
      <c r="AF157" s="557" t="str">
        <f t="shared" ref="AF157:AF158" si="34">IF(G157="","",IF(AND(V157="",Z157="",AC157=""),"Missing Info",IF(G157-V157-Z157+AC157=0,"OK","Review financial exposure")))</f>
        <v/>
      </c>
      <c r="AG157" s="557" t="str">
        <f t="shared" ref="AG157:AG158" si="35">IF(K157="","",IF(AND(W157="",AA157="",AD157=""),"Missing Info",IF(K157-W157-AA157+AD157=0,"OK","Review emissions")))</f>
        <v/>
      </c>
      <c r="AH157" s="589"/>
      <c r="AK157" s="108" t="s">
        <v>221</v>
      </c>
      <c r="AL157" s="387">
        <f t="shared" si="28"/>
        <v>0</v>
      </c>
      <c r="AM157" s="387">
        <f t="shared" si="28"/>
        <v>0</v>
      </c>
    </row>
    <row r="158" spans="1:39" s="391" customFormat="1" ht="39" hidden="1" customHeight="1" outlineLevel="3">
      <c r="A158" s="722"/>
      <c r="B158" s="733"/>
      <c r="C158" s="785"/>
      <c r="D158" s="545" t="s">
        <v>198</v>
      </c>
      <c r="E158" s="762" t="s">
        <v>325</v>
      </c>
      <c r="F158" s="763"/>
      <c r="G158" s="539"/>
      <c r="H158" s="388" t="str">
        <f>IF(G158="","",G158/$G$179)</f>
        <v/>
      </c>
      <c r="I158" s="539"/>
      <c r="J158" s="539"/>
      <c r="K158" s="557" t="str">
        <f>IF(SUM(I158:J158)=0,"",SUM(I158:J158))</f>
        <v/>
      </c>
      <c r="L158" s="362"/>
      <c r="M158" s="544" t="b">
        <v>0</v>
      </c>
      <c r="N158" s="544" t="b">
        <v>0</v>
      </c>
      <c r="O158" s="5"/>
      <c r="P158" s="363"/>
      <c r="Q158" s="5"/>
      <c r="R158" s="5"/>
      <c r="S158" s="5"/>
      <c r="T158" s="5"/>
      <c r="U158" s="5"/>
      <c r="V158" s="557">
        <f t="shared" si="30"/>
        <v>0</v>
      </c>
      <c r="W158" s="5"/>
      <c r="X158" s="362"/>
      <c r="Y158" s="364" t="s">
        <v>196</v>
      </c>
      <c r="Z158" s="5"/>
      <c r="AA158" s="5"/>
      <c r="AB158" s="392"/>
      <c r="AC158" s="5"/>
      <c r="AD158" s="5"/>
      <c r="AE158" s="363"/>
      <c r="AF158" s="557" t="str">
        <f t="shared" si="34"/>
        <v/>
      </c>
      <c r="AG158" s="557" t="str">
        <f t="shared" si="35"/>
        <v/>
      </c>
      <c r="AH158" s="589"/>
      <c r="AK158" s="108" t="s">
        <v>222</v>
      </c>
      <c r="AL158" s="387">
        <f t="shared" si="28"/>
        <v>0</v>
      </c>
      <c r="AM158" s="387">
        <f t="shared" si="28"/>
        <v>0</v>
      </c>
    </row>
    <row r="159" spans="1:39" s="391" customFormat="1" ht="39" hidden="1" customHeight="1" outlineLevel="3">
      <c r="A159" s="722"/>
      <c r="B159" s="733"/>
      <c r="C159" s="785"/>
      <c r="D159" s="784" t="s">
        <v>204</v>
      </c>
      <c r="E159" s="764" t="s">
        <v>325</v>
      </c>
      <c r="F159" s="765"/>
      <c r="G159" s="710"/>
      <c r="H159" s="838" t="str">
        <f>IF(G159="","",G159/$G$179)</f>
        <v/>
      </c>
      <c r="I159" s="710"/>
      <c r="J159" s="710"/>
      <c r="K159" s="712" t="str">
        <f>IF(SUM(I159:J160)=0,"",SUM(I159:J160))</f>
        <v/>
      </c>
      <c r="L159" s="362"/>
      <c r="M159" s="808" t="b">
        <v>0</v>
      </c>
      <c r="N159" s="544" t="b">
        <v>0</v>
      </c>
      <c r="O159" s="5"/>
      <c r="P159" s="363"/>
      <c r="Q159" s="710"/>
      <c r="R159" s="710"/>
      <c r="S159" s="710"/>
      <c r="T159" s="710"/>
      <c r="U159" s="710"/>
      <c r="V159" s="712">
        <f t="shared" si="30"/>
        <v>0</v>
      </c>
      <c r="W159" s="710"/>
      <c r="X159" s="362"/>
      <c r="Y159" s="364" t="s">
        <v>201</v>
      </c>
      <c r="Z159" s="5"/>
      <c r="AA159" s="5"/>
      <c r="AB159" s="392"/>
      <c r="AC159" s="710"/>
      <c r="AD159" s="710"/>
      <c r="AE159" s="363"/>
      <c r="AF159" s="712" t="str">
        <f t="shared" ref="AF159" si="36">IF(G159="","",IF(AND(V159="",Z159="",Z160="",AC159=""),"Missing Info",IF(G159-V159-Z159-Z160+AC159=0,"OK","Review financial exposure")))</f>
        <v/>
      </c>
      <c r="AG159" s="712" t="str">
        <f>IF(K159="","",IF(AND(W159="",AA159="",AA160="",AD159=""),"Missing Info",IF(K159-W159-AA159-AA160+AD159=0,"OK","Review emissions")))</f>
        <v/>
      </c>
      <c r="AH159" s="589"/>
      <c r="AK159" s="108" t="s">
        <v>223</v>
      </c>
      <c r="AL159" s="387">
        <f t="shared" si="28"/>
        <v>0</v>
      </c>
      <c r="AM159" s="387">
        <f t="shared" si="28"/>
        <v>0</v>
      </c>
    </row>
    <row r="160" spans="1:39" s="391" customFormat="1" ht="39" hidden="1" customHeight="1" outlineLevel="3">
      <c r="A160" s="722"/>
      <c r="B160" s="733"/>
      <c r="C160" s="785"/>
      <c r="D160" s="785"/>
      <c r="E160" s="766"/>
      <c r="F160" s="767"/>
      <c r="G160" s="711"/>
      <c r="H160" s="839"/>
      <c r="I160" s="711"/>
      <c r="J160" s="711"/>
      <c r="K160" s="713"/>
      <c r="L160" s="362"/>
      <c r="M160" s="809"/>
      <c r="N160" s="544" t="b">
        <v>0</v>
      </c>
      <c r="O160" s="5"/>
      <c r="P160" s="363"/>
      <c r="Q160" s="711"/>
      <c r="R160" s="711"/>
      <c r="S160" s="711"/>
      <c r="T160" s="711"/>
      <c r="U160" s="711"/>
      <c r="V160" s="713">
        <f t="shared" si="30"/>
        <v>0</v>
      </c>
      <c r="W160" s="711"/>
      <c r="X160" s="362"/>
      <c r="Y160" s="364" t="s">
        <v>203</v>
      </c>
      <c r="Z160" s="5"/>
      <c r="AA160" s="5"/>
      <c r="AB160" s="392"/>
      <c r="AC160" s="711"/>
      <c r="AD160" s="711"/>
      <c r="AE160" s="363"/>
      <c r="AF160" s="713"/>
      <c r="AG160" s="713"/>
      <c r="AH160" s="589"/>
      <c r="AK160" s="108" t="s">
        <v>223</v>
      </c>
      <c r="AL160" s="387">
        <f t="shared" si="28"/>
        <v>0</v>
      </c>
      <c r="AM160" s="387">
        <f t="shared" si="28"/>
        <v>0</v>
      </c>
    </row>
    <row r="161" spans="1:39" s="391" customFormat="1" ht="39" hidden="1" customHeight="1" outlineLevel="3">
      <c r="A161" s="722"/>
      <c r="B161" s="733"/>
      <c r="C161" s="542"/>
      <c r="D161" s="545" t="s">
        <v>16</v>
      </c>
      <c r="E161" s="762" t="s">
        <v>325</v>
      </c>
      <c r="F161" s="763"/>
      <c r="G161" s="539"/>
      <c r="H161" s="388" t="str">
        <f t="shared" ref="H161:H174" si="37">IF(G161="","",G161/$G$179)</f>
        <v/>
      </c>
      <c r="I161" s="539"/>
      <c r="J161" s="539"/>
      <c r="K161" s="557" t="str">
        <f t="shared" ref="K161:K166" si="38">IF(SUM(I161:J161)=0,"",SUM(I161:J161))</f>
        <v/>
      </c>
      <c r="L161" s="362"/>
      <c r="M161" s="544" t="b">
        <v>0</v>
      </c>
      <c r="N161" s="544" t="b">
        <v>0</v>
      </c>
      <c r="O161" s="5"/>
      <c r="P161" s="363"/>
      <c r="Q161" s="5"/>
      <c r="R161" s="5"/>
      <c r="S161" s="5"/>
      <c r="T161" s="5"/>
      <c r="U161" s="5"/>
      <c r="V161" s="557">
        <f t="shared" si="30"/>
        <v>0</v>
      </c>
      <c r="W161" s="5"/>
      <c r="X161" s="362"/>
      <c r="Y161" s="364" t="s">
        <v>206</v>
      </c>
      <c r="Z161" s="5"/>
      <c r="AA161" s="5"/>
      <c r="AB161" s="392"/>
      <c r="AC161" s="5"/>
      <c r="AD161" s="5"/>
      <c r="AE161" s="363"/>
      <c r="AF161" s="557" t="str">
        <f t="shared" ref="AF161:AF166" si="39">IF(G161="","",IF(AND(V161="",Z161="",AC161=""),"Missing Info",IF(G161-V161-Z161+AC161=0,"OK","Review financial exposure")))</f>
        <v/>
      </c>
      <c r="AG161" s="557" t="str">
        <f t="shared" ref="AG161:AG166" si="40">IF(K161="","",IF(AND(W161="",AA161="",AD161=""),"Missing Info",IF(K161-W161-AA161+AD161=0,"OK","Review emissions")))</f>
        <v/>
      </c>
      <c r="AH161" s="589"/>
      <c r="AK161" s="108" t="s">
        <v>224</v>
      </c>
      <c r="AL161" s="387">
        <f t="shared" si="28"/>
        <v>0</v>
      </c>
      <c r="AM161" s="387">
        <f t="shared" si="28"/>
        <v>0</v>
      </c>
    </row>
    <row r="162" spans="1:39" s="391" customFormat="1" ht="39" hidden="1" customHeight="1" outlineLevel="3">
      <c r="A162" s="722"/>
      <c r="B162" s="733"/>
      <c r="C162" s="764" t="s">
        <v>208</v>
      </c>
      <c r="D162" s="737" t="s">
        <v>225</v>
      </c>
      <c r="E162" s="738"/>
      <c r="F162" s="739"/>
      <c r="G162" s="539"/>
      <c r="H162" s="388" t="str">
        <f t="shared" si="37"/>
        <v/>
      </c>
      <c r="I162" s="539"/>
      <c r="J162" s="539"/>
      <c r="K162" s="557" t="str">
        <f t="shared" si="38"/>
        <v/>
      </c>
      <c r="L162" s="362"/>
      <c r="M162" s="544" t="b">
        <v>0</v>
      </c>
      <c r="N162" s="544" t="b">
        <v>0</v>
      </c>
      <c r="O162" s="5"/>
      <c r="P162" s="363"/>
      <c r="Q162" s="5"/>
      <c r="R162" s="5"/>
      <c r="S162" s="5"/>
      <c r="T162" s="5"/>
      <c r="U162" s="5"/>
      <c r="V162" s="557">
        <f t="shared" si="30"/>
        <v>0</v>
      </c>
      <c r="W162" s="5"/>
      <c r="X162" s="362"/>
      <c r="Y162" s="394" t="s">
        <v>210</v>
      </c>
      <c r="Z162" s="5"/>
      <c r="AA162" s="5"/>
      <c r="AB162" s="392"/>
      <c r="AC162" s="5"/>
      <c r="AD162" s="5"/>
      <c r="AE162" s="363"/>
      <c r="AF162" s="557" t="str">
        <f t="shared" si="39"/>
        <v/>
      </c>
      <c r="AG162" s="557" t="str">
        <f t="shared" si="40"/>
        <v/>
      </c>
      <c r="AH162" s="589"/>
      <c r="AK162" s="108" t="s">
        <v>226</v>
      </c>
      <c r="AL162" s="387">
        <f t="shared" si="28"/>
        <v>0</v>
      </c>
      <c r="AM162" s="387">
        <f t="shared" si="28"/>
        <v>0</v>
      </c>
    </row>
    <row r="163" spans="1:39" s="391" customFormat="1" ht="39" hidden="1" customHeight="1" outlineLevel="3">
      <c r="A163" s="722"/>
      <c r="B163" s="733"/>
      <c r="C163" s="787"/>
      <c r="D163" s="784" t="s">
        <v>212</v>
      </c>
      <c r="E163" s="762" t="s">
        <v>325</v>
      </c>
      <c r="F163" s="763"/>
      <c r="G163" s="539"/>
      <c r="H163" s="388" t="str">
        <f t="shared" si="37"/>
        <v/>
      </c>
      <c r="I163" s="539"/>
      <c r="J163" s="539"/>
      <c r="K163" s="557" t="str">
        <f t="shared" si="38"/>
        <v/>
      </c>
      <c r="L163" s="362"/>
      <c r="M163" s="544" t="b">
        <v>0</v>
      </c>
      <c r="N163" s="544" t="b">
        <v>0</v>
      </c>
      <c r="O163" s="5"/>
      <c r="P163" s="363"/>
      <c r="Q163" s="5"/>
      <c r="R163" s="5"/>
      <c r="S163" s="5"/>
      <c r="T163" s="5"/>
      <c r="U163" s="5"/>
      <c r="V163" s="557">
        <f t="shared" si="30"/>
        <v>0</v>
      </c>
      <c r="W163" s="5"/>
      <c r="X163" s="362"/>
      <c r="Y163" s="394" t="s">
        <v>210</v>
      </c>
      <c r="Z163" s="5"/>
      <c r="AA163" s="5"/>
      <c r="AB163" s="392"/>
      <c r="AC163" s="5"/>
      <c r="AD163" s="5"/>
      <c r="AE163" s="363"/>
      <c r="AF163" s="557" t="str">
        <f t="shared" si="39"/>
        <v/>
      </c>
      <c r="AG163" s="557" t="str">
        <f t="shared" si="40"/>
        <v/>
      </c>
      <c r="AH163" s="589"/>
      <c r="AK163" s="108" t="s">
        <v>226</v>
      </c>
      <c r="AL163" s="387">
        <f t="shared" si="28"/>
        <v>0</v>
      </c>
      <c r="AM163" s="387">
        <f t="shared" si="28"/>
        <v>0</v>
      </c>
    </row>
    <row r="164" spans="1:39" s="391" customFormat="1" ht="50" hidden="1" customHeight="1" outlineLevel="3">
      <c r="A164" s="722"/>
      <c r="B164" s="733"/>
      <c r="C164" s="787"/>
      <c r="D164" s="785"/>
      <c r="E164" s="762" t="s">
        <v>326</v>
      </c>
      <c r="F164" s="763"/>
      <c r="G164" s="539"/>
      <c r="H164" s="388" t="str">
        <f t="shared" si="37"/>
        <v/>
      </c>
      <c r="I164" s="539"/>
      <c r="J164" s="539"/>
      <c r="K164" s="557" t="str">
        <f t="shared" si="38"/>
        <v/>
      </c>
      <c r="L164" s="362"/>
      <c r="M164" s="544" t="b">
        <v>0</v>
      </c>
      <c r="N164" s="544" t="b">
        <v>0</v>
      </c>
      <c r="O164" s="5"/>
      <c r="P164" s="363"/>
      <c r="Q164" s="5"/>
      <c r="R164" s="5"/>
      <c r="S164" s="5"/>
      <c r="T164" s="5"/>
      <c r="U164" s="5"/>
      <c r="V164" s="557">
        <f t="shared" si="30"/>
        <v>0</v>
      </c>
      <c r="W164" s="5"/>
      <c r="X164" s="362"/>
      <c r="Y164" s="394" t="s">
        <v>210</v>
      </c>
      <c r="Z164" s="5"/>
      <c r="AA164" s="5"/>
      <c r="AB164" s="392"/>
      <c r="AC164" s="5"/>
      <c r="AD164" s="5"/>
      <c r="AE164" s="363"/>
      <c r="AF164" s="557" t="str">
        <f t="shared" si="39"/>
        <v/>
      </c>
      <c r="AG164" s="557" t="str">
        <f t="shared" si="40"/>
        <v/>
      </c>
      <c r="AH164" s="589"/>
      <c r="AK164" s="108" t="s">
        <v>226</v>
      </c>
      <c r="AL164" s="387">
        <f t="shared" si="28"/>
        <v>0</v>
      </c>
      <c r="AM164" s="387">
        <f t="shared" si="28"/>
        <v>0</v>
      </c>
    </row>
    <row r="165" spans="1:39" s="391" customFormat="1" ht="39" hidden="1" customHeight="1" outlineLevel="3">
      <c r="A165" s="722"/>
      <c r="B165" s="733"/>
      <c r="C165" s="766"/>
      <c r="D165" s="785"/>
      <c r="E165" s="762" t="s">
        <v>327</v>
      </c>
      <c r="F165" s="763"/>
      <c r="G165" s="539"/>
      <c r="H165" s="388" t="str">
        <f t="shared" si="37"/>
        <v/>
      </c>
      <c r="I165" s="539"/>
      <c r="J165" s="539"/>
      <c r="K165" s="557" t="str">
        <f t="shared" si="38"/>
        <v/>
      </c>
      <c r="L165" s="362"/>
      <c r="M165" s="544" t="b">
        <v>0</v>
      </c>
      <c r="N165" s="544" t="b">
        <v>0</v>
      </c>
      <c r="O165" s="5"/>
      <c r="P165" s="363"/>
      <c r="Q165" s="5"/>
      <c r="R165" s="5"/>
      <c r="S165" s="5"/>
      <c r="T165" s="5"/>
      <c r="U165" s="5"/>
      <c r="V165" s="557">
        <f t="shared" si="30"/>
        <v>0</v>
      </c>
      <c r="W165" s="5"/>
      <c r="X165" s="362"/>
      <c r="Y165" s="394" t="s">
        <v>210</v>
      </c>
      <c r="Z165" s="5"/>
      <c r="AA165" s="5"/>
      <c r="AB165" s="392"/>
      <c r="AC165" s="5"/>
      <c r="AD165" s="5"/>
      <c r="AE165" s="363"/>
      <c r="AF165" s="557" t="str">
        <f t="shared" si="39"/>
        <v/>
      </c>
      <c r="AG165" s="557" t="str">
        <f t="shared" si="40"/>
        <v/>
      </c>
      <c r="AH165" s="589"/>
      <c r="AK165" s="108" t="s">
        <v>226</v>
      </c>
      <c r="AL165" s="387">
        <f t="shared" si="28"/>
        <v>0</v>
      </c>
      <c r="AM165" s="387">
        <f t="shared" si="28"/>
        <v>0</v>
      </c>
    </row>
    <row r="166" spans="1:39" s="391" customFormat="1" ht="39" hidden="1" customHeight="1" outlineLevel="3">
      <c r="A166" s="722"/>
      <c r="B166" s="733"/>
      <c r="C166" s="762" t="s">
        <v>227</v>
      </c>
      <c r="D166" s="763"/>
      <c r="E166" s="762" t="s">
        <v>325</v>
      </c>
      <c r="F166" s="763"/>
      <c r="G166" s="539"/>
      <c r="H166" s="388" t="str">
        <f t="shared" si="37"/>
        <v/>
      </c>
      <c r="I166" s="539"/>
      <c r="J166" s="539"/>
      <c r="K166" s="557" t="str">
        <f t="shared" si="38"/>
        <v/>
      </c>
      <c r="L166" s="362"/>
      <c r="M166" s="544" t="b">
        <v>0</v>
      </c>
      <c r="N166" s="389"/>
      <c r="O166" s="5"/>
      <c r="P166" s="363"/>
      <c r="Q166" s="5"/>
      <c r="R166" s="5"/>
      <c r="S166" s="5"/>
      <c r="T166" s="5"/>
      <c r="U166" s="5"/>
      <c r="V166" s="557">
        <f t="shared" si="30"/>
        <v>0</v>
      </c>
      <c r="W166" s="5"/>
      <c r="X166" s="362"/>
      <c r="Y166" s="557"/>
      <c r="Z166" s="557"/>
      <c r="AA166" s="557"/>
      <c r="AB166" s="390"/>
      <c r="AC166" s="557"/>
      <c r="AD166" s="557"/>
      <c r="AE166" s="363"/>
      <c r="AF166" s="557" t="str">
        <f t="shared" si="39"/>
        <v/>
      </c>
      <c r="AG166" s="557" t="str">
        <f t="shared" si="40"/>
        <v/>
      </c>
      <c r="AH166" s="589"/>
      <c r="AK166" s="108" t="s">
        <v>228</v>
      </c>
      <c r="AL166" s="387">
        <f t="shared" si="28"/>
        <v>0</v>
      </c>
      <c r="AM166" s="387">
        <f t="shared" si="28"/>
        <v>0</v>
      </c>
    </row>
    <row r="167" spans="1:39" s="391" customFormat="1" ht="47" hidden="1" customHeight="1" outlineLevel="2">
      <c r="A167" s="752"/>
      <c r="B167" s="814" t="s">
        <v>142</v>
      </c>
      <c r="C167" s="762" t="s">
        <v>328</v>
      </c>
      <c r="D167" s="832"/>
      <c r="E167" s="832"/>
      <c r="F167" s="832"/>
      <c r="G167" s="4"/>
      <c r="H167" s="365" t="str">
        <f t="shared" si="37"/>
        <v/>
      </c>
      <c r="I167" s="557"/>
      <c r="J167" s="557"/>
      <c r="K167" s="557"/>
      <c r="L167" s="367"/>
      <c r="M167" s="557"/>
      <c r="N167" s="557"/>
      <c r="O167" s="557"/>
      <c r="P167" s="368"/>
      <c r="Q167" s="557"/>
      <c r="R167" s="557"/>
      <c r="S167" s="557"/>
      <c r="T167" s="557"/>
      <c r="U167" s="557"/>
      <c r="V167" s="557"/>
      <c r="W167" s="557"/>
      <c r="X167" s="574"/>
      <c r="Y167" s="557"/>
      <c r="Z167" s="557"/>
      <c r="AA167" s="557"/>
      <c r="AB167" s="390"/>
      <c r="AC167" s="557"/>
      <c r="AD167" s="557"/>
      <c r="AE167" s="395"/>
      <c r="AF167" s="557"/>
      <c r="AG167" s="557"/>
      <c r="AH167" s="589"/>
      <c r="AK167" s="108"/>
    </row>
    <row r="168" spans="1:39" s="391" customFormat="1" ht="47" hidden="1" customHeight="1" outlineLevel="2">
      <c r="A168" s="753"/>
      <c r="B168" s="815"/>
      <c r="C168" s="762" t="s">
        <v>329</v>
      </c>
      <c r="D168" s="832"/>
      <c r="E168" s="832"/>
      <c r="F168" s="832"/>
      <c r="G168" s="4"/>
      <c r="H168" s="365" t="str">
        <f t="shared" si="37"/>
        <v/>
      </c>
      <c r="I168" s="557"/>
      <c r="J168" s="557"/>
      <c r="K168" s="557"/>
      <c r="L168" s="367"/>
      <c r="M168" s="557"/>
      <c r="N168" s="557"/>
      <c r="O168" s="557"/>
      <c r="P168" s="368"/>
      <c r="Q168" s="557"/>
      <c r="R168" s="557"/>
      <c r="S168" s="557"/>
      <c r="T168" s="557"/>
      <c r="U168" s="557"/>
      <c r="V168" s="557"/>
      <c r="W168" s="557"/>
      <c r="X168" s="574"/>
      <c r="Y168" s="557"/>
      <c r="Z168" s="557"/>
      <c r="AA168" s="557"/>
      <c r="AB168" s="390"/>
      <c r="AC168" s="557"/>
      <c r="AD168" s="557"/>
      <c r="AE168" s="395"/>
      <c r="AF168" s="557"/>
      <c r="AG168" s="557"/>
      <c r="AH168" s="589"/>
    </row>
    <row r="169" spans="1:39" s="391" customFormat="1" ht="47" hidden="1" customHeight="1" outlineLevel="2">
      <c r="A169" s="753"/>
      <c r="B169" s="815"/>
      <c r="C169" s="762" t="s">
        <v>330</v>
      </c>
      <c r="D169" s="832"/>
      <c r="E169" s="832"/>
      <c r="F169" s="832"/>
      <c r="G169" s="4"/>
      <c r="H169" s="365" t="str">
        <f t="shared" si="37"/>
        <v/>
      </c>
      <c r="I169" s="557"/>
      <c r="J169" s="557"/>
      <c r="K169" s="557"/>
      <c r="L169" s="367"/>
      <c r="M169" s="557"/>
      <c r="N169" s="557"/>
      <c r="O169" s="557"/>
      <c r="P169" s="368"/>
      <c r="Q169" s="557"/>
      <c r="R169" s="557"/>
      <c r="S169" s="557"/>
      <c r="T169" s="557"/>
      <c r="U169" s="557"/>
      <c r="V169" s="557"/>
      <c r="W169" s="557"/>
      <c r="X169" s="574"/>
      <c r="Y169" s="557"/>
      <c r="Z169" s="557"/>
      <c r="AA169" s="557"/>
      <c r="AB169" s="390"/>
      <c r="AC169" s="557"/>
      <c r="AD169" s="557"/>
      <c r="AE169" s="395"/>
      <c r="AF169" s="557"/>
      <c r="AG169" s="557"/>
      <c r="AH169" s="589"/>
    </row>
    <row r="170" spans="1:39" s="391" customFormat="1" ht="47" hidden="1" customHeight="1" outlineLevel="2">
      <c r="A170" s="753"/>
      <c r="B170" s="815"/>
      <c r="C170" s="762" t="s">
        <v>331</v>
      </c>
      <c r="D170" s="832"/>
      <c r="E170" s="832"/>
      <c r="F170" s="763"/>
      <c r="G170" s="4"/>
      <c r="H170" s="365" t="str">
        <f t="shared" si="37"/>
        <v/>
      </c>
      <c r="I170" s="557"/>
      <c r="J170" s="557"/>
      <c r="K170" s="557"/>
      <c r="L170" s="367"/>
      <c r="M170" s="557"/>
      <c r="N170" s="557"/>
      <c r="O170" s="557"/>
      <c r="P170" s="589"/>
      <c r="Q170" s="557"/>
      <c r="R170" s="557"/>
      <c r="S170" s="557"/>
      <c r="T170" s="557"/>
      <c r="U170" s="557"/>
      <c r="V170" s="557"/>
      <c r="W170" s="557"/>
      <c r="X170" s="589"/>
      <c r="Y170" s="557"/>
      <c r="Z170" s="557"/>
      <c r="AA170" s="557"/>
      <c r="AB170" s="589"/>
      <c r="AC170" s="557"/>
      <c r="AD170" s="557"/>
      <c r="AE170" s="589"/>
      <c r="AF170" s="557"/>
      <c r="AG170" s="557"/>
      <c r="AH170" s="589"/>
    </row>
    <row r="171" spans="1:39" s="391" customFormat="1" ht="47" hidden="1" customHeight="1" outlineLevel="2">
      <c r="A171" s="753"/>
      <c r="B171" s="815"/>
      <c r="C171" s="762" t="s">
        <v>332</v>
      </c>
      <c r="D171" s="832"/>
      <c r="E171" s="832"/>
      <c r="F171" s="763"/>
      <c r="G171" s="4"/>
      <c r="H171" s="365" t="str">
        <f t="shared" si="37"/>
        <v/>
      </c>
      <c r="I171" s="557"/>
      <c r="J171" s="557"/>
      <c r="K171" s="557"/>
      <c r="L171" s="367"/>
      <c r="M171" s="557"/>
      <c r="N171" s="557"/>
      <c r="O171" s="557"/>
      <c r="P171" s="589"/>
      <c r="Q171" s="557"/>
      <c r="R171" s="557"/>
      <c r="S171" s="557"/>
      <c r="T171" s="557"/>
      <c r="U171" s="557"/>
      <c r="V171" s="557"/>
      <c r="W171" s="557"/>
      <c r="X171" s="589"/>
      <c r="Y171" s="557"/>
      <c r="Z171" s="557"/>
      <c r="AA171" s="557"/>
      <c r="AB171" s="589"/>
      <c r="AC171" s="557"/>
      <c r="AD171" s="557"/>
      <c r="AE171" s="589"/>
      <c r="AF171" s="557"/>
      <c r="AG171" s="557"/>
      <c r="AH171" s="589"/>
    </row>
    <row r="172" spans="1:39" s="391" customFormat="1" ht="47" hidden="1" customHeight="1" outlineLevel="2">
      <c r="A172" s="753"/>
      <c r="B172" s="815"/>
      <c r="C172" s="762" t="s">
        <v>333</v>
      </c>
      <c r="D172" s="832"/>
      <c r="E172" s="832"/>
      <c r="F172" s="763"/>
      <c r="G172" s="4"/>
      <c r="H172" s="365" t="str">
        <f t="shared" si="37"/>
        <v/>
      </c>
      <c r="I172" s="557"/>
      <c r="J172" s="557"/>
      <c r="K172" s="557"/>
      <c r="L172" s="367"/>
      <c r="M172" s="557"/>
      <c r="N172" s="557"/>
      <c r="O172" s="557"/>
      <c r="P172" s="589"/>
      <c r="Q172" s="557"/>
      <c r="R172" s="557"/>
      <c r="S172" s="557"/>
      <c r="T172" s="557"/>
      <c r="U172" s="557"/>
      <c r="V172" s="557"/>
      <c r="W172" s="557"/>
      <c r="X172" s="589"/>
      <c r="Y172" s="557"/>
      <c r="Z172" s="557"/>
      <c r="AA172" s="557"/>
      <c r="AB172" s="589"/>
      <c r="AC172" s="557"/>
      <c r="AD172" s="557"/>
      <c r="AE172" s="589"/>
      <c r="AF172" s="557"/>
      <c r="AG172" s="557"/>
      <c r="AH172" s="589"/>
      <c r="AK172" s="348"/>
    </row>
    <row r="173" spans="1:39" s="391" customFormat="1" ht="47" hidden="1" customHeight="1" outlineLevel="2">
      <c r="A173" s="753"/>
      <c r="B173" s="815"/>
      <c r="C173" s="762" t="s">
        <v>334</v>
      </c>
      <c r="D173" s="832"/>
      <c r="E173" s="832"/>
      <c r="F173" s="832"/>
      <c r="G173" s="4"/>
      <c r="H173" s="365"/>
      <c r="I173" s="557"/>
      <c r="J173" s="557"/>
      <c r="K173" s="557"/>
      <c r="L173" s="367"/>
      <c r="M173" s="557"/>
      <c r="N173" s="557"/>
      <c r="O173" s="557"/>
      <c r="P173" s="589"/>
      <c r="Q173" s="557"/>
      <c r="R173" s="557"/>
      <c r="S173" s="557"/>
      <c r="T173" s="557"/>
      <c r="U173" s="557"/>
      <c r="V173" s="557"/>
      <c r="W173" s="557"/>
      <c r="X173" s="589"/>
      <c r="Y173" s="557"/>
      <c r="Z173" s="557"/>
      <c r="AA173" s="557"/>
      <c r="AB173" s="589"/>
      <c r="AC173" s="557"/>
      <c r="AD173" s="557"/>
      <c r="AE173" s="589"/>
      <c r="AF173" s="557"/>
      <c r="AG173" s="557"/>
      <c r="AH173" s="589"/>
      <c r="AK173" s="348"/>
    </row>
    <row r="174" spans="1:39" s="391" customFormat="1" ht="47" hidden="1" customHeight="1" outlineLevel="2">
      <c r="A174" s="753"/>
      <c r="B174" s="816"/>
      <c r="C174" s="818"/>
      <c r="D174" s="819"/>
      <c r="E174" s="819"/>
      <c r="F174" s="819"/>
      <c r="G174" s="4"/>
      <c r="H174" s="365" t="str">
        <f t="shared" si="37"/>
        <v/>
      </c>
      <c r="I174" s="557"/>
      <c r="J174" s="557"/>
      <c r="K174" s="557"/>
      <c r="L174" s="367"/>
      <c r="M174" s="557"/>
      <c r="N174" s="557"/>
      <c r="O174" s="557"/>
      <c r="P174" s="589"/>
      <c r="Q174" s="557"/>
      <c r="R174" s="557"/>
      <c r="S174" s="557"/>
      <c r="T174" s="557"/>
      <c r="U174" s="557"/>
      <c r="V174" s="557"/>
      <c r="W174" s="557"/>
      <c r="X174" s="589"/>
      <c r="Y174" s="557"/>
      <c r="Z174" s="557"/>
      <c r="AA174" s="557"/>
      <c r="AB174" s="589"/>
      <c r="AC174" s="557"/>
      <c r="AD174" s="557"/>
      <c r="AE174" s="589"/>
      <c r="AF174" s="557"/>
      <c r="AG174" s="557"/>
      <c r="AH174" s="589"/>
      <c r="AK174" s="348"/>
    </row>
    <row r="175" spans="1:39" s="391" customFormat="1" ht="16" hidden="1" outlineLevel="1">
      <c r="A175" s="575"/>
      <c r="B175" s="579"/>
      <c r="C175" s="579"/>
      <c r="D175" s="579"/>
      <c r="E175" s="579"/>
      <c r="F175" s="579"/>
      <c r="G175" s="579"/>
      <c r="H175" s="591"/>
      <c r="I175" s="591"/>
      <c r="J175" s="591"/>
      <c r="K175" s="591"/>
      <c r="L175" s="578"/>
      <c r="M175" s="579"/>
      <c r="N175" s="589"/>
      <c r="O175" s="589"/>
      <c r="P175" s="589"/>
      <c r="Q175" s="589"/>
      <c r="R175" s="589"/>
      <c r="S175" s="589"/>
      <c r="T175" s="589"/>
      <c r="U175" s="589"/>
      <c r="V175" s="589"/>
      <c r="W175" s="589"/>
      <c r="X175" s="589"/>
      <c r="Y175" s="589"/>
      <c r="Z175" s="589"/>
      <c r="AA175" s="589"/>
      <c r="AB175" s="589"/>
      <c r="AC175" s="589"/>
      <c r="AD175" s="589"/>
      <c r="AE175" s="589"/>
      <c r="AF175" s="589"/>
      <c r="AG175" s="589"/>
      <c r="AH175" s="589"/>
      <c r="AK175" s="348"/>
    </row>
    <row r="176" spans="1:39" s="391" customFormat="1" ht="34" hidden="1" outlineLevel="1">
      <c r="A176" s="575"/>
      <c r="B176" s="370" t="s">
        <v>148</v>
      </c>
      <c r="C176" s="370"/>
      <c r="D176" s="370"/>
      <c r="E176" s="370"/>
      <c r="F176" s="370"/>
      <c r="G176" s="370" t="s">
        <v>149</v>
      </c>
      <c r="H176" s="370" t="s">
        <v>150</v>
      </c>
      <c r="I176" s="371"/>
      <c r="J176" s="371"/>
      <c r="K176" s="371"/>
      <c r="L176" s="583"/>
      <c r="M176" s="14"/>
      <c r="N176" s="589"/>
      <c r="O176" s="589"/>
      <c r="P176" s="589"/>
      <c r="Q176" s="589"/>
      <c r="R176" s="589"/>
      <c r="S176" s="589"/>
      <c r="T176" s="589"/>
      <c r="U176" s="589"/>
      <c r="V176" s="589"/>
      <c r="W176" s="589"/>
      <c r="X176" s="589"/>
      <c r="Y176" s="589"/>
      <c r="Z176" s="589"/>
      <c r="AA176" s="589"/>
      <c r="AB176" s="589"/>
      <c r="AC176" s="589"/>
      <c r="AD176" s="589"/>
      <c r="AE176" s="589"/>
      <c r="AF176" s="589"/>
      <c r="AG176" s="589"/>
      <c r="AH176" s="589"/>
      <c r="AK176" s="348"/>
    </row>
    <row r="177" spans="1:37" s="391" customFormat="1" ht="36" hidden="1" customHeight="1" outlineLevel="1">
      <c r="A177" s="575"/>
      <c r="B177" s="812" t="s">
        <v>335</v>
      </c>
      <c r="C177" s="813"/>
      <c r="D177" s="813"/>
      <c r="E177" s="813"/>
      <c r="F177" s="813"/>
      <c r="G177" s="557">
        <f>IF(SUM(G80:G166)="","",SUM(G80:G166))</f>
        <v>0</v>
      </c>
      <c r="H177" s="365" t="str">
        <f>IF(G179=0,"",G177/$G$179)</f>
        <v/>
      </c>
      <c r="I177" s="374"/>
      <c r="J177" s="374"/>
      <c r="K177" s="374"/>
      <c r="L177" s="374"/>
      <c r="M177" s="14"/>
      <c r="N177" s="589"/>
      <c r="O177" s="589"/>
      <c r="P177" s="589"/>
      <c r="Q177" s="589"/>
      <c r="R177" s="589"/>
      <c r="S177" s="589"/>
      <c r="T177" s="589"/>
      <c r="U177" s="589"/>
      <c r="V177" s="589"/>
      <c r="W177" s="589"/>
      <c r="X177" s="589"/>
      <c r="Y177" s="589"/>
      <c r="Z177" s="589"/>
      <c r="AA177" s="589"/>
      <c r="AB177" s="589"/>
      <c r="AC177" s="589"/>
      <c r="AD177" s="589"/>
      <c r="AE177" s="589"/>
      <c r="AF177" s="589"/>
      <c r="AG177" s="589"/>
      <c r="AH177" s="589"/>
      <c r="AK177" s="348"/>
    </row>
    <row r="178" spans="1:37" s="391" customFormat="1" ht="36" hidden="1" customHeight="1" outlineLevel="1">
      <c r="A178" s="575"/>
      <c r="B178" s="812" t="s">
        <v>336</v>
      </c>
      <c r="C178" s="813"/>
      <c r="D178" s="813"/>
      <c r="E178" s="813"/>
      <c r="F178" s="813"/>
      <c r="G178" s="557">
        <f>+SUM(G167:G174)</f>
        <v>0</v>
      </c>
      <c r="H178" s="365" t="str">
        <f>IF(G179=0,"",G178/$G$179)</f>
        <v/>
      </c>
      <c r="I178" s="374"/>
      <c r="J178" s="374"/>
      <c r="K178" s="374"/>
      <c r="L178" s="374"/>
      <c r="M178" s="14"/>
      <c r="N178" s="589"/>
      <c r="O178" s="589"/>
      <c r="P178" s="589"/>
      <c r="Q178" s="589"/>
      <c r="R178" s="589"/>
      <c r="S178" s="589"/>
      <c r="T178" s="589"/>
      <c r="U178" s="589"/>
      <c r="V178" s="589"/>
      <c r="W178" s="589"/>
      <c r="X178" s="589"/>
      <c r="Y178" s="589"/>
      <c r="Z178" s="589"/>
      <c r="AA178" s="589"/>
      <c r="AB178" s="589"/>
      <c r="AC178" s="589"/>
      <c r="AD178" s="589"/>
      <c r="AE178" s="589"/>
      <c r="AF178" s="589"/>
      <c r="AG178" s="589"/>
      <c r="AH178" s="589"/>
      <c r="AK178" s="348"/>
    </row>
    <row r="179" spans="1:37" s="391" customFormat="1" ht="36" hidden="1" customHeight="1" outlineLevel="1">
      <c r="A179" s="575"/>
      <c r="B179" s="789" t="s">
        <v>337</v>
      </c>
      <c r="C179" s="790"/>
      <c r="D179" s="790"/>
      <c r="E179" s="790"/>
      <c r="F179" s="790"/>
      <c r="G179" s="376">
        <f>+G177+G178</f>
        <v>0</v>
      </c>
      <c r="H179" s="377"/>
      <c r="I179" s="848" t="str">
        <f>IF(G179="","",IF(G179&lt;&gt;'Financial activity types '!G12,"Error: The total must match the total in the Financial activity types tab","Exposure OK"))</f>
        <v>Exposure OK</v>
      </c>
      <c r="J179" s="848"/>
      <c r="K179" s="848"/>
      <c r="L179" s="374"/>
      <c r="M179" s="706" t="s">
        <v>154</v>
      </c>
      <c r="N179" s="706"/>
      <c r="O179" s="706"/>
      <c r="P179" s="589"/>
      <c r="Q179" s="589"/>
      <c r="R179" s="589"/>
      <c r="S179" s="589"/>
      <c r="T179" s="589"/>
      <c r="U179" s="589"/>
      <c r="V179" s="589"/>
      <c r="W179" s="589"/>
      <c r="X179" s="589"/>
      <c r="Y179" s="589"/>
      <c r="Z179" s="589"/>
      <c r="AA179" s="589"/>
      <c r="AB179" s="589"/>
      <c r="AC179" s="589"/>
      <c r="AD179" s="589"/>
      <c r="AE179" s="589"/>
      <c r="AF179" s="589"/>
      <c r="AG179" s="589"/>
      <c r="AH179" s="589"/>
      <c r="AK179" s="348"/>
    </row>
    <row r="180" spans="1:37" s="391" customFormat="1" ht="36" hidden="1" customHeight="1" outlineLevel="1">
      <c r="A180" s="575"/>
      <c r="B180" s="789" t="s">
        <v>338</v>
      </c>
      <c r="C180" s="790"/>
      <c r="D180" s="790"/>
      <c r="E180" s="790"/>
      <c r="F180" s="790"/>
      <c r="G180" s="376">
        <f>(SUMIF(M80:M144,TRUE,V80:V144)+SUMIF(N80:N144,TRUE,Z80:Z144)-SUMIFS(AC80:AC144,M80:M144,TRUE,N80:N144,TRUE)-SUMIFS(AC101,M101,TRUE,N102,TRUE)-SUMIFS(AC103,M103,TRUE,N104,TRUE)-SUMIFS(AC105,M105,TRUE,N106,TRUE)-SUMIFS(AC107,M107,TRUE,N108,TRUE)-SUMIFS(AC109,M109,TRUE,N110,TRUE)-SUMIFS(AC111,M111,TRUE,N112,TRUE)-SUMIFS(AC113,M113,TRUE,N114,TRUE)-SUMIFS(AC115,M115,TRUE,N116,TRUE)-SUMIFS(AC125,M125,TRUE,N126,TRUE)-SUMIFS(AC127,M127,TRUE,N128,TRUE)-SUMIFS(AC129,M129,TRUE,N130,TRUE)-SUMIFS(AC131,M131,TRUE,N132,TRUE))</f>
        <v>0</v>
      </c>
      <c r="H180" s="377" t="e">
        <f>G180/SUM(G80:G144)</f>
        <v>#DIV/0!</v>
      </c>
      <c r="I180" s="849" t="e">
        <f>IF(G179="","",IF(H180&lt;&gt;100%,"Error: The FI must cover 100% of segments A, B, and C","Coverage OK"))</f>
        <v>#DIV/0!</v>
      </c>
      <c r="J180" s="849"/>
      <c r="K180" s="849"/>
      <c r="L180" s="590"/>
      <c r="M180" s="706"/>
      <c r="N180" s="706"/>
      <c r="O180" s="706"/>
      <c r="P180" s="595"/>
      <c r="Q180" s="595"/>
      <c r="R180" s="595"/>
      <c r="S180" s="595"/>
      <c r="T180" s="595"/>
      <c r="U180" s="595"/>
      <c r="V180" s="595"/>
      <c r="W180" s="595"/>
      <c r="X180" s="595"/>
      <c r="Y180" s="595"/>
      <c r="Z180" s="595"/>
      <c r="AA180" s="595"/>
      <c r="AB180" s="595"/>
      <c r="AC180" s="595"/>
      <c r="AD180" s="595"/>
      <c r="AE180" s="595"/>
      <c r="AF180" s="595"/>
      <c r="AG180" s="595"/>
      <c r="AH180" s="606"/>
      <c r="AK180" s="348"/>
    </row>
    <row r="181" spans="1:37" s="386" customFormat="1" ht="45.75" hidden="1" customHeight="1" outlineLevel="1">
      <c r="A181" s="575"/>
      <c r="B181" s="789" t="s">
        <v>339</v>
      </c>
      <c r="C181" s="790"/>
      <c r="D181" s="790"/>
      <c r="E181" s="790"/>
      <c r="F181" s="790"/>
      <c r="G181" s="376">
        <f>(SUMIF(M80:M166,TRUE,V80:V166)+SUMIF(N80:N166,TRUE,Z80:Z166)-SUMIFS(AC80:AC166,M80:M166,TRUE,N80:N166,TRUE)-SUMIFS(AC101,M101,TRUE,N102,TRUE)-SUMIFS(AC103,M103,TRUE,N104,TRUE)-SUMIFS(AC105,M105,TRUE,N106,TRUE)-SUMIFS(AC107,M107,TRUE,N108,TRUE)-SUMIFS(AC109,M109,TRUE,N110,TRUE)-SUMIFS(AC111,M111,TRUE,N112,TRUE)-SUMIFS(AC113,M113,TRUE,N114,TRUE)-SUMIFS(AC115,M115,TRUE,N116,TRUE)-SUMIFS(AC125,M125,TRUE,N126,TRUE)-SUMIFS(AC127,M127,TRUE,N128,TRUE)-SUMIFS(AC129,M129,TRUE,N130,TRUE)-SUMIFS(AC131,M131,TRUE,N132,TRUE)-SUMIFS(AC153,M153,TRUE,N154,TRUE)-SUMIFS(AC155,M155,TRUE,N156,TRUE)-SUMIFS(AC159,M159,TRUE,N160,TRUE))</f>
        <v>0</v>
      </c>
      <c r="H181" s="377" t="e">
        <f>G181/SUM(G80:G166)</f>
        <v>#DIV/0!</v>
      </c>
      <c r="I181" s="849" t="e">
        <f>IF(G179="","",IF(H181&lt;67%,"Error: The FI must cover 67% or more of segments A, B, C, and D","Coverage OK"))</f>
        <v>#DIV/0!</v>
      </c>
      <c r="J181" s="849"/>
      <c r="K181" s="849"/>
      <c r="L181" s="586"/>
      <c r="M181" s="706"/>
      <c r="N181" s="706"/>
      <c r="O181" s="706"/>
      <c r="P181" s="599"/>
      <c r="Q181" s="599"/>
      <c r="R181" s="599"/>
      <c r="S181" s="599"/>
      <c r="T181" s="599"/>
      <c r="U181" s="599"/>
      <c r="V181" s="599"/>
      <c r="W181" s="599"/>
      <c r="X181" s="599"/>
      <c r="Y181" s="599"/>
      <c r="Z181" s="599"/>
      <c r="AA181" s="599"/>
      <c r="AB181" s="599"/>
      <c r="AC181" s="599"/>
      <c r="AD181" s="599"/>
      <c r="AE181" s="599"/>
      <c r="AF181" s="599"/>
      <c r="AG181" s="599"/>
      <c r="AH181" s="607"/>
      <c r="AK181" s="348"/>
    </row>
    <row r="182" spans="1:37" s="386" customFormat="1" ht="36" hidden="1" customHeight="1" outlineLevel="1">
      <c r="A182" s="575"/>
      <c r="B182" s="812" t="s">
        <v>157</v>
      </c>
      <c r="C182" s="813"/>
      <c r="D182" s="813"/>
      <c r="E182" s="813"/>
      <c r="F182" s="813"/>
      <c r="G182" s="557">
        <f>SUMIF(M80:M166,TRUE,V80:V166)</f>
        <v>0</v>
      </c>
      <c r="H182" s="365" t="e">
        <f>G182/SUM(G80:G166)</f>
        <v>#DIV/0!</v>
      </c>
      <c r="I182" s="396"/>
      <c r="J182" s="397"/>
      <c r="K182" s="398"/>
      <c r="L182" s="599"/>
      <c r="M182" s="706"/>
      <c r="N182" s="706"/>
      <c r="O182" s="706"/>
      <c r="P182" s="599"/>
      <c r="Q182" s="599"/>
      <c r="R182" s="599"/>
      <c r="S182" s="599"/>
      <c r="T182" s="599"/>
      <c r="U182" s="599"/>
      <c r="V182" s="599"/>
      <c r="W182" s="599"/>
      <c r="X182" s="599"/>
      <c r="Y182" s="599"/>
      <c r="Z182" s="599"/>
      <c r="AA182" s="599"/>
      <c r="AB182" s="599"/>
      <c r="AC182" s="599"/>
      <c r="AD182" s="599"/>
      <c r="AE182" s="599"/>
      <c r="AF182" s="599"/>
      <c r="AG182" s="599"/>
      <c r="AH182" s="607"/>
      <c r="AK182" s="348"/>
    </row>
    <row r="183" spans="1:37" s="386" customFormat="1" ht="36" hidden="1" customHeight="1" outlineLevel="1">
      <c r="A183" s="575"/>
      <c r="B183" s="812" t="s">
        <v>158</v>
      </c>
      <c r="C183" s="813"/>
      <c r="D183" s="813"/>
      <c r="E183" s="813"/>
      <c r="F183" s="813"/>
      <c r="G183" s="557">
        <f>SUMIF(N80:N166,TRUE,Z80:Z166)</f>
        <v>0</v>
      </c>
      <c r="H183" s="365" t="e">
        <f>G183/SUM(G80:G166)</f>
        <v>#DIV/0!</v>
      </c>
      <c r="I183" s="585"/>
      <c r="J183" s="585"/>
      <c r="K183" s="585"/>
      <c r="L183" s="600"/>
      <c r="M183" s="706"/>
      <c r="N183" s="706"/>
      <c r="O183" s="706"/>
      <c r="P183" s="600"/>
      <c r="Q183" s="600"/>
      <c r="R183" s="600"/>
      <c r="S183" s="600"/>
      <c r="T183" s="600"/>
      <c r="U183" s="600"/>
      <c r="V183" s="600"/>
      <c r="W183" s="600"/>
      <c r="X183" s="600"/>
      <c r="Y183" s="600"/>
      <c r="Z183" s="600"/>
      <c r="AA183" s="600"/>
      <c r="AB183" s="600"/>
      <c r="AC183" s="600"/>
      <c r="AD183" s="600"/>
      <c r="AE183" s="600"/>
      <c r="AF183" s="600"/>
      <c r="AG183" s="600"/>
      <c r="AH183" s="600"/>
      <c r="AK183" s="348"/>
    </row>
    <row r="184" spans="1:37" s="386" customFormat="1" ht="36" hidden="1" customHeight="1" outlineLevel="1">
      <c r="A184" s="575"/>
      <c r="B184" s="812" t="s">
        <v>159</v>
      </c>
      <c r="C184" s="813"/>
      <c r="D184" s="813"/>
      <c r="E184" s="813"/>
      <c r="F184" s="813"/>
      <c r="G184" s="557">
        <f>SUMIFS(AC80:AC166,M80:M166,TRUE,N80:N166,TRUE)</f>
        <v>0</v>
      </c>
      <c r="H184" s="365" t="e">
        <f>G184/SUM(G80:G166)</f>
        <v>#DIV/0!</v>
      </c>
      <c r="I184" s="374"/>
      <c r="J184" s="374"/>
      <c r="K184" s="374"/>
      <c r="L184" s="601"/>
      <c r="M184" s="706"/>
      <c r="N184" s="706"/>
      <c r="O184" s="706"/>
      <c r="P184" s="600"/>
      <c r="Q184" s="600"/>
      <c r="R184" s="600"/>
      <c r="S184" s="600"/>
      <c r="T184" s="600"/>
      <c r="U184" s="600"/>
      <c r="V184" s="600"/>
      <c r="W184" s="600"/>
      <c r="X184" s="600"/>
      <c r="Y184" s="600"/>
      <c r="Z184" s="600"/>
      <c r="AA184" s="600"/>
      <c r="AB184" s="600"/>
      <c r="AC184" s="600"/>
      <c r="AD184" s="600"/>
      <c r="AE184" s="600"/>
      <c r="AF184" s="600"/>
      <c r="AG184" s="600"/>
      <c r="AH184" s="600"/>
      <c r="AK184" s="348"/>
    </row>
    <row r="185" spans="1:37" ht="48.75" hidden="1" customHeight="1" outlineLevel="1">
      <c r="B185" s="791" t="s">
        <v>340</v>
      </c>
      <c r="C185" s="792"/>
      <c r="D185" s="792"/>
      <c r="E185" s="792"/>
      <c r="F185" s="792"/>
      <c r="G185" s="376">
        <f>(SUMIF(M80:M166,TRUE,W80:W166)+SUMIF(N80:N166,TRUE,AA80:AA166)-SUMIFS(AD80:AD166,M80:M166,TRUE,N80:N166,TRUE)-SUMIFS(AD101,M101,TRUE,N102,TRUE)-SUMIFS(AD103,M103,TRUE,N104,TRUE)-SUMIFS(AD105,M105,TRUE,N106,TRUE)-SUMIFS(AD107,M107,TRUE,N108,TRUE)-SUMIFS(AD109,M109,TRUE,N110,TRUE)-SUMIFS(AD111,M111,TRUE,N112,TRUE)-SUMIFS(AD113,M113,TRUE,N114,TRUE)-SUMIFS(AD115,M115,TRUE,N116,TRUE)-SUMIFS(AD125,M125,TRUE,N126,TRUE)-SUMIFS(AD127,M127,TRUE,N128,TRUE)-SUMIFS(AD129,M129,TRUE,N130,TRUE)-SUMIFS(AD131,M131,TRUE,N132,TRUE)-SUMIFS(AD153,M153,TRUE,N154,TRUE)-SUMIFS(AD155,M155,TRUE,N156,TRUE)-SUMIFS(AD159,M159,TRUE,N160,TRUE))</f>
        <v>0</v>
      </c>
      <c r="H185" s="377" t="e">
        <f>G185/SUM(K80:K166)</f>
        <v>#DIV/0!</v>
      </c>
      <c r="I185" s="849" t="e">
        <f>IF(G179="","",IF(H185&lt;67%,"Error: The FI must cover 67% or more of segments A, B, C, and D","Coverage OK"))</f>
        <v>#DIV/0!</v>
      </c>
      <c r="J185" s="849"/>
      <c r="K185" s="849"/>
      <c r="M185" s="706"/>
      <c r="N185" s="706"/>
      <c r="O185" s="706"/>
    </row>
    <row r="1048576" ht="6" customHeight="1"/>
  </sheetData>
  <sheetProtection algorithmName="SHA-512" hashValue="4eVccI1p3QewDvA581p+K9MV1oGk3k788n7LR+4zCe7UhBLPavjhs4cul3wEQ2t+WmrAY86SCOIzk/8V64819g==" saltValue="NnBisDZep1aiQl6tXXv/xQ==" spinCount="100000" sheet="1" objects="1" scenarios="1" formatCells="0" formatColumns="0" formatRows="0" selectLockedCells="1"/>
  <mergeCells count="656">
    <mergeCell ref="H113:H114"/>
    <mergeCell ref="M113:M114"/>
    <mergeCell ref="I84:I85"/>
    <mergeCell ref="M24:M25"/>
    <mergeCell ref="I57:K57"/>
    <mergeCell ref="I58:K58"/>
    <mergeCell ref="M16:O16"/>
    <mergeCell ref="I129:I130"/>
    <mergeCell ref="I101:I102"/>
    <mergeCell ref="I103:I104"/>
    <mergeCell ref="I105:I106"/>
    <mergeCell ref="I107:I108"/>
    <mergeCell ref="I109:I110"/>
    <mergeCell ref="I115:I116"/>
    <mergeCell ref="I125:I126"/>
    <mergeCell ref="I127:I128"/>
    <mergeCell ref="K26:K27"/>
    <mergeCell ref="I59:K59"/>
    <mergeCell ref="I63:K63"/>
    <mergeCell ref="K20:K21"/>
    <mergeCell ref="K22:K23"/>
    <mergeCell ref="K24:K25"/>
    <mergeCell ref="H20:H21"/>
    <mergeCell ref="M20:M21"/>
    <mergeCell ref="B63:F63"/>
    <mergeCell ref="I20:I21"/>
    <mergeCell ref="I22:I23"/>
    <mergeCell ref="I24:I25"/>
    <mergeCell ref="I26:I27"/>
    <mergeCell ref="J20:J21"/>
    <mergeCell ref="J22:J23"/>
    <mergeCell ref="J24:J25"/>
    <mergeCell ref="J26:J27"/>
    <mergeCell ref="G22:G23"/>
    <mergeCell ref="H22:H23"/>
    <mergeCell ref="C52:F52"/>
    <mergeCell ref="B55:F55"/>
    <mergeCell ref="B56:F56"/>
    <mergeCell ref="B57:F57"/>
    <mergeCell ref="B58:F58"/>
    <mergeCell ref="E42:F42"/>
    <mergeCell ref="C51:F51"/>
    <mergeCell ref="C37:F37"/>
    <mergeCell ref="E36:F36"/>
    <mergeCell ref="H24:H25"/>
    <mergeCell ref="E44:F44"/>
    <mergeCell ref="E39:F39"/>
    <mergeCell ref="E33:F33"/>
    <mergeCell ref="K131:K132"/>
    <mergeCell ref="K149:K150"/>
    <mergeCell ref="K153:K154"/>
    <mergeCell ref="K155:K156"/>
    <mergeCell ref="K159:K160"/>
    <mergeCell ref="K80:K81"/>
    <mergeCell ref="K82:K83"/>
    <mergeCell ref="K84:K85"/>
    <mergeCell ref="K86:K87"/>
    <mergeCell ref="K101:K102"/>
    <mergeCell ref="K103:K104"/>
    <mergeCell ref="K105:K106"/>
    <mergeCell ref="K107:K108"/>
    <mergeCell ref="K109:K110"/>
    <mergeCell ref="K115:K116"/>
    <mergeCell ref="K125:K126"/>
    <mergeCell ref="K127:K128"/>
    <mergeCell ref="K129:K130"/>
    <mergeCell ref="I131:I132"/>
    <mergeCell ref="I149:I150"/>
    <mergeCell ref="I153:I154"/>
    <mergeCell ref="I155:I156"/>
    <mergeCell ref="I159:I160"/>
    <mergeCell ref="J80:J81"/>
    <mergeCell ref="J82:J83"/>
    <mergeCell ref="J84:J85"/>
    <mergeCell ref="J86:J87"/>
    <mergeCell ref="J101:J102"/>
    <mergeCell ref="J103:J104"/>
    <mergeCell ref="J105:J106"/>
    <mergeCell ref="J107:J108"/>
    <mergeCell ref="J109:J110"/>
    <mergeCell ref="J115:J116"/>
    <mergeCell ref="J125:J126"/>
    <mergeCell ref="J127:J128"/>
    <mergeCell ref="J129:J130"/>
    <mergeCell ref="J131:J132"/>
    <mergeCell ref="J149:J150"/>
    <mergeCell ref="J153:J154"/>
    <mergeCell ref="J155:J156"/>
    <mergeCell ref="J159:J160"/>
    <mergeCell ref="I86:I87"/>
    <mergeCell ref="AF20:AF21"/>
    <mergeCell ref="A1:L1"/>
    <mergeCell ref="A2:AF2"/>
    <mergeCell ref="A3:H3"/>
    <mergeCell ref="A4:L4"/>
    <mergeCell ref="A6:AF6"/>
    <mergeCell ref="A7:AF7"/>
    <mergeCell ref="B12:C12"/>
    <mergeCell ref="D12:E12"/>
    <mergeCell ref="M18:O18"/>
    <mergeCell ref="B9:C9"/>
    <mergeCell ref="D9:E9"/>
    <mergeCell ref="B10:C10"/>
    <mergeCell ref="D10:E10"/>
    <mergeCell ref="B11:C11"/>
    <mergeCell ref="D11:E11"/>
    <mergeCell ref="AF18:AF19"/>
    <mergeCell ref="A19:B19"/>
    <mergeCell ref="C19:F19"/>
    <mergeCell ref="A14:AF14"/>
    <mergeCell ref="G9:M12"/>
    <mergeCell ref="C16:K16"/>
    <mergeCell ref="R20:R21"/>
    <mergeCell ref="S20:S21"/>
    <mergeCell ref="R22:R23"/>
    <mergeCell ref="S22:S23"/>
    <mergeCell ref="T22:T23"/>
    <mergeCell ref="U22:U23"/>
    <mergeCell ref="U24:U25"/>
    <mergeCell ref="V24:V25"/>
    <mergeCell ref="AC24:AC25"/>
    <mergeCell ref="AF24:AF25"/>
    <mergeCell ref="AF22:AF23"/>
    <mergeCell ref="AC22:AC23"/>
    <mergeCell ref="AD22:AD23"/>
    <mergeCell ref="R26:R27"/>
    <mergeCell ref="AF26:AF27"/>
    <mergeCell ref="S26:S27"/>
    <mergeCell ref="T26:T27"/>
    <mergeCell ref="Q24:Q25"/>
    <mergeCell ref="R24:R25"/>
    <mergeCell ref="S24:S25"/>
    <mergeCell ref="T24:T25"/>
    <mergeCell ref="AC26:AC27"/>
    <mergeCell ref="U26:U27"/>
    <mergeCell ref="V26:V27"/>
    <mergeCell ref="W26:W27"/>
    <mergeCell ref="AD24:AD25"/>
    <mergeCell ref="AD26:AD27"/>
    <mergeCell ref="C22:D27"/>
    <mergeCell ref="Q20:Q21"/>
    <mergeCell ref="E26:F27"/>
    <mergeCell ref="E29:F29"/>
    <mergeCell ref="E30:F30"/>
    <mergeCell ref="E31:F31"/>
    <mergeCell ref="A28:A31"/>
    <mergeCell ref="C28:F28"/>
    <mergeCell ref="C29:D31"/>
    <mergeCell ref="G26:G27"/>
    <mergeCell ref="H26:H27"/>
    <mergeCell ref="E22:F23"/>
    <mergeCell ref="E24:F25"/>
    <mergeCell ref="M22:M23"/>
    <mergeCell ref="Q22:Q23"/>
    <mergeCell ref="M26:M27"/>
    <mergeCell ref="Q26:Q27"/>
    <mergeCell ref="G24:G25"/>
    <mergeCell ref="U84:U85"/>
    <mergeCell ref="H84:H85"/>
    <mergeCell ref="M84:M85"/>
    <mergeCell ref="Q84:Q85"/>
    <mergeCell ref="R84:R85"/>
    <mergeCell ref="S84:S85"/>
    <mergeCell ref="T84:T85"/>
    <mergeCell ref="B61:F61"/>
    <mergeCell ref="B62:F62"/>
    <mergeCell ref="A66:AF66"/>
    <mergeCell ref="W84:W85"/>
    <mergeCell ref="V84:V85"/>
    <mergeCell ref="AC84:AC85"/>
    <mergeCell ref="M78:O78"/>
    <mergeCell ref="A67:AF67"/>
    <mergeCell ref="B69:C69"/>
    <mergeCell ref="D69:E69"/>
    <mergeCell ref="B70:C70"/>
    <mergeCell ref="D70:E70"/>
    <mergeCell ref="B71:C71"/>
    <mergeCell ref="D71:E71"/>
    <mergeCell ref="AF78:AF79"/>
    <mergeCell ref="A79:B79"/>
    <mergeCell ref="M76:O76"/>
    <mergeCell ref="U82:U83"/>
    <mergeCell ref="V82:V83"/>
    <mergeCell ref="G82:G83"/>
    <mergeCell ref="H82:H83"/>
    <mergeCell ref="M82:M83"/>
    <mergeCell ref="Q82:Q83"/>
    <mergeCell ref="Q80:Q81"/>
    <mergeCell ref="R80:R81"/>
    <mergeCell ref="S80:S81"/>
    <mergeCell ref="T80:T81"/>
    <mergeCell ref="R82:R83"/>
    <mergeCell ref="S82:S83"/>
    <mergeCell ref="T82:T83"/>
    <mergeCell ref="I82:I83"/>
    <mergeCell ref="U86:U87"/>
    <mergeCell ref="V86:V87"/>
    <mergeCell ref="AC86:AC87"/>
    <mergeCell ref="AF86:AF87"/>
    <mergeCell ref="A88:A91"/>
    <mergeCell ref="G86:G87"/>
    <mergeCell ref="H86:H87"/>
    <mergeCell ref="M86:M87"/>
    <mergeCell ref="Q86:Q87"/>
    <mergeCell ref="R86:R87"/>
    <mergeCell ref="S86:S87"/>
    <mergeCell ref="A80:A87"/>
    <mergeCell ref="B80:B91"/>
    <mergeCell ref="G80:G81"/>
    <mergeCell ref="H80:H81"/>
    <mergeCell ref="M80:M81"/>
    <mergeCell ref="AC80:AC81"/>
    <mergeCell ref="AF80:AF81"/>
    <mergeCell ref="T86:T87"/>
    <mergeCell ref="AF84:AF85"/>
    <mergeCell ref="AF82:AF83"/>
    <mergeCell ref="G84:G85"/>
    <mergeCell ref="AD80:AD81"/>
    <mergeCell ref="AC82:AC83"/>
    <mergeCell ref="Q113:Q114"/>
    <mergeCell ref="R113:R114"/>
    <mergeCell ref="Q111:Q112"/>
    <mergeCell ref="R111:R112"/>
    <mergeCell ref="S111:S112"/>
    <mergeCell ref="S113:S114"/>
    <mergeCell ref="I111:I112"/>
    <mergeCell ref="I113:I114"/>
    <mergeCell ref="J111:J112"/>
    <mergeCell ref="J113:J114"/>
    <mergeCell ref="K111:K112"/>
    <mergeCell ref="K113:K114"/>
    <mergeCell ref="R101:R102"/>
    <mergeCell ref="S101:S102"/>
    <mergeCell ref="T101:T102"/>
    <mergeCell ref="U101:U102"/>
    <mergeCell ref="V101:V102"/>
    <mergeCell ref="AC101:AC102"/>
    <mergeCell ref="D101:F102"/>
    <mergeCell ref="G101:G102"/>
    <mergeCell ref="H101:H102"/>
    <mergeCell ref="M101:M102"/>
    <mergeCell ref="Q101:Q102"/>
    <mergeCell ref="U113:U114"/>
    <mergeCell ref="AC103:AC104"/>
    <mergeCell ref="AF103:AF104"/>
    <mergeCell ref="G107:G108"/>
    <mergeCell ref="H107:H108"/>
    <mergeCell ref="M107:M108"/>
    <mergeCell ref="Q107:Q108"/>
    <mergeCell ref="S105:S106"/>
    <mergeCell ref="T105:T106"/>
    <mergeCell ref="U105:U106"/>
    <mergeCell ref="V105:V106"/>
    <mergeCell ref="M105:M106"/>
    <mergeCell ref="R105:R106"/>
    <mergeCell ref="S103:S104"/>
    <mergeCell ref="T103:T104"/>
    <mergeCell ref="G103:G104"/>
    <mergeCell ref="H103:H104"/>
    <mergeCell ref="M103:M104"/>
    <mergeCell ref="Q103:Q104"/>
    <mergeCell ref="R103:R104"/>
    <mergeCell ref="AC105:AC106"/>
    <mergeCell ref="AF105:AF106"/>
    <mergeCell ref="G105:G106"/>
    <mergeCell ref="H105:H106"/>
    <mergeCell ref="G111:G112"/>
    <mergeCell ref="H111:H112"/>
    <mergeCell ref="M111:M112"/>
    <mergeCell ref="AF107:AF108"/>
    <mergeCell ref="D109:F110"/>
    <mergeCell ref="G109:G110"/>
    <mergeCell ref="H109:H110"/>
    <mergeCell ref="M109:M110"/>
    <mergeCell ref="Q109:Q110"/>
    <mergeCell ref="R109:R110"/>
    <mergeCell ref="S109:S110"/>
    <mergeCell ref="T109:T110"/>
    <mergeCell ref="R107:R108"/>
    <mergeCell ref="S107:S108"/>
    <mergeCell ref="T107:T108"/>
    <mergeCell ref="U107:U108"/>
    <mergeCell ref="V107:V108"/>
    <mergeCell ref="AC107:AC108"/>
    <mergeCell ref="D103:D108"/>
    <mergeCell ref="U103:U104"/>
    <mergeCell ref="V103:V104"/>
    <mergeCell ref="T115:T116"/>
    <mergeCell ref="U115:U116"/>
    <mergeCell ref="V115:V116"/>
    <mergeCell ref="AC115:AC116"/>
    <mergeCell ref="G115:G116"/>
    <mergeCell ref="H115:H116"/>
    <mergeCell ref="M115:M116"/>
    <mergeCell ref="Q115:Q116"/>
    <mergeCell ref="C97:C116"/>
    <mergeCell ref="D97:F97"/>
    <mergeCell ref="D98:D100"/>
    <mergeCell ref="E111:F112"/>
    <mergeCell ref="E103:F104"/>
    <mergeCell ref="V113:V114"/>
    <mergeCell ref="AC113:AC114"/>
    <mergeCell ref="V111:V112"/>
    <mergeCell ref="AC111:AC112"/>
    <mergeCell ref="T111:T112"/>
    <mergeCell ref="U111:U112"/>
    <mergeCell ref="T113:T114"/>
    <mergeCell ref="U109:U110"/>
    <mergeCell ref="V109:V110"/>
    <mergeCell ref="AC109:AC110"/>
    <mergeCell ref="D111:D116"/>
    <mergeCell ref="C117:C124"/>
    <mergeCell ref="D117:F117"/>
    <mergeCell ref="D118:D120"/>
    <mergeCell ref="D121:F121"/>
    <mergeCell ref="D122:D124"/>
    <mergeCell ref="E122:F122"/>
    <mergeCell ref="E123:F123"/>
    <mergeCell ref="R115:R116"/>
    <mergeCell ref="S115:S116"/>
    <mergeCell ref="G127:G128"/>
    <mergeCell ref="H127:H128"/>
    <mergeCell ref="M127:M128"/>
    <mergeCell ref="Q127:Q128"/>
    <mergeCell ref="Q125:Q126"/>
    <mergeCell ref="R125:R126"/>
    <mergeCell ref="S125:S126"/>
    <mergeCell ref="T125:T126"/>
    <mergeCell ref="G125:G126"/>
    <mergeCell ref="H125:H126"/>
    <mergeCell ref="M125:M126"/>
    <mergeCell ref="T129:T130"/>
    <mergeCell ref="R127:R128"/>
    <mergeCell ref="S127:S128"/>
    <mergeCell ref="T127:T128"/>
    <mergeCell ref="AC125:AC126"/>
    <mergeCell ref="AF125:AF126"/>
    <mergeCell ref="U125:U126"/>
    <mergeCell ref="V125:V126"/>
    <mergeCell ref="U129:U130"/>
    <mergeCell ref="V129:V130"/>
    <mergeCell ref="AC129:AC130"/>
    <mergeCell ref="AF129:AF130"/>
    <mergeCell ref="AF127:AF128"/>
    <mergeCell ref="U127:U128"/>
    <mergeCell ref="V127:V128"/>
    <mergeCell ref="AC127:AC128"/>
    <mergeCell ref="W125:W126"/>
    <mergeCell ref="W127:W128"/>
    <mergeCell ref="W129:W130"/>
    <mergeCell ref="AD129:AD130"/>
    <mergeCell ref="U131:U132"/>
    <mergeCell ref="V131:V132"/>
    <mergeCell ref="AC131:AC132"/>
    <mergeCell ref="AF131:AF132"/>
    <mergeCell ref="C133:C136"/>
    <mergeCell ref="D133:F133"/>
    <mergeCell ref="D134:D136"/>
    <mergeCell ref="E136:F136"/>
    <mergeCell ref="G131:G132"/>
    <mergeCell ref="H131:H132"/>
    <mergeCell ref="M131:M132"/>
    <mergeCell ref="Q131:Q132"/>
    <mergeCell ref="R131:R132"/>
    <mergeCell ref="S131:S132"/>
    <mergeCell ref="T131:T132"/>
    <mergeCell ref="C125:C132"/>
    <mergeCell ref="G129:G130"/>
    <mergeCell ref="H129:H130"/>
    <mergeCell ref="M129:M130"/>
    <mergeCell ref="Q129:Q130"/>
    <mergeCell ref="R129:R130"/>
    <mergeCell ref="S129:S130"/>
    <mergeCell ref="AD125:AD126"/>
    <mergeCell ref="AD127:AD128"/>
    <mergeCell ref="D138:D140"/>
    <mergeCell ref="A141:A144"/>
    <mergeCell ref="B141:B144"/>
    <mergeCell ref="C141:F141"/>
    <mergeCell ref="C142:D144"/>
    <mergeCell ref="E138:F138"/>
    <mergeCell ref="E140:F140"/>
    <mergeCell ref="E142:F142"/>
    <mergeCell ref="E143:F143"/>
    <mergeCell ref="E144:F144"/>
    <mergeCell ref="A145:A148"/>
    <mergeCell ref="B145:B166"/>
    <mergeCell ref="C145:F145"/>
    <mergeCell ref="C146:D148"/>
    <mergeCell ref="E148:F148"/>
    <mergeCell ref="A149:A166"/>
    <mergeCell ref="C149:C151"/>
    <mergeCell ref="D149:D150"/>
    <mergeCell ref="E146:F146"/>
    <mergeCell ref="E161:F161"/>
    <mergeCell ref="E163:F163"/>
    <mergeCell ref="E164:F164"/>
    <mergeCell ref="E166:F166"/>
    <mergeCell ref="C166:D166"/>
    <mergeCell ref="E151:F151"/>
    <mergeCell ref="E153:F154"/>
    <mergeCell ref="C152:C156"/>
    <mergeCell ref="D153:D154"/>
    <mergeCell ref="Q153:Q154"/>
    <mergeCell ref="R153:R154"/>
    <mergeCell ref="AC149:AC150"/>
    <mergeCell ref="AF149:AF150"/>
    <mergeCell ref="Q149:Q150"/>
    <mergeCell ref="R149:R150"/>
    <mergeCell ref="S149:S150"/>
    <mergeCell ref="T149:T150"/>
    <mergeCell ref="U149:U150"/>
    <mergeCell ref="V149:V150"/>
    <mergeCell ref="AF159:AF160"/>
    <mergeCell ref="R159:R160"/>
    <mergeCell ref="S159:S160"/>
    <mergeCell ref="T159:T160"/>
    <mergeCell ref="U159:U160"/>
    <mergeCell ref="V159:V160"/>
    <mergeCell ref="AC159:AC160"/>
    <mergeCell ref="M155:M156"/>
    <mergeCell ref="S153:S154"/>
    <mergeCell ref="T153:T154"/>
    <mergeCell ref="U153:U154"/>
    <mergeCell ref="V153:V154"/>
    <mergeCell ref="AC153:AC154"/>
    <mergeCell ref="AF153:AF154"/>
    <mergeCell ref="V155:V156"/>
    <mergeCell ref="AC155:AC156"/>
    <mergeCell ref="AF155:AF156"/>
    <mergeCell ref="Q155:Q156"/>
    <mergeCell ref="R155:R156"/>
    <mergeCell ref="S155:S156"/>
    <mergeCell ref="T155:T156"/>
    <mergeCell ref="U155:U156"/>
    <mergeCell ref="M159:M160"/>
    <mergeCell ref="Q159:Q160"/>
    <mergeCell ref="M149:M150"/>
    <mergeCell ref="I185:K185"/>
    <mergeCell ref="A167:A174"/>
    <mergeCell ref="B167:B174"/>
    <mergeCell ref="C167:F167"/>
    <mergeCell ref="C168:F168"/>
    <mergeCell ref="C169:F169"/>
    <mergeCell ref="C170:F170"/>
    <mergeCell ref="C171:F171"/>
    <mergeCell ref="C172:F172"/>
    <mergeCell ref="B182:F182"/>
    <mergeCell ref="B185:F185"/>
    <mergeCell ref="B184:F184"/>
    <mergeCell ref="C174:F174"/>
    <mergeCell ref="B177:F177"/>
    <mergeCell ref="B178:F178"/>
    <mergeCell ref="B179:F179"/>
    <mergeCell ref="B180:F180"/>
    <mergeCell ref="B181:F181"/>
    <mergeCell ref="M153:M154"/>
    <mergeCell ref="G155:G156"/>
    <mergeCell ref="C76:K76"/>
    <mergeCell ref="I179:K179"/>
    <mergeCell ref="I180:K180"/>
    <mergeCell ref="I181:K181"/>
    <mergeCell ref="C173:F173"/>
    <mergeCell ref="H155:H156"/>
    <mergeCell ref="B183:F183"/>
    <mergeCell ref="C162:C165"/>
    <mergeCell ref="D162:F162"/>
    <mergeCell ref="D163:D165"/>
    <mergeCell ref="E165:F165"/>
    <mergeCell ref="C159:C160"/>
    <mergeCell ref="C157:C158"/>
    <mergeCell ref="D155:D156"/>
    <mergeCell ref="E155:F156"/>
    <mergeCell ref="E159:F160"/>
    <mergeCell ref="D159:D160"/>
    <mergeCell ref="G159:G160"/>
    <mergeCell ref="H159:H160"/>
    <mergeCell ref="G153:G154"/>
    <mergeCell ref="G149:G150"/>
    <mergeCell ref="H149:H150"/>
    <mergeCell ref="C137:C140"/>
    <mergeCell ref="D137:F137"/>
    <mergeCell ref="C92:F92"/>
    <mergeCell ref="C93:D96"/>
    <mergeCell ref="A97:A140"/>
    <mergeCell ref="A41:A44"/>
    <mergeCell ref="B41:B44"/>
    <mergeCell ref="E147:F147"/>
    <mergeCell ref="E149:F150"/>
    <mergeCell ref="E105:F106"/>
    <mergeCell ref="E107:F108"/>
    <mergeCell ref="D72:E72"/>
    <mergeCell ref="E99:F99"/>
    <mergeCell ref="E100:F100"/>
    <mergeCell ref="E84:F85"/>
    <mergeCell ref="E86:F87"/>
    <mergeCell ref="E89:F89"/>
    <mergeCell ref="E90:F90"/>
    <mergeCell ref="E91:F91"/>
    <mergeCell ref="D88:F88"/>
    <mergeCell ref="D89:D91"/>
    <mergeCell ref="C79:F79"/>
    <mergeCell ref="E93:F93"/>
    <mergeCell ref="C80:C91"/>
    <mergeCell ref="D80:F81"/>
    <mergeCell ref="D82:D87"/>
    <mergeCell ref="G113:G114"/>
    <mergeCell ref="E82:F83"/>
    <mergeCell ref="B59:F59"/>
    <mergeCell ref="E94:F94"/>
    <mergeCell ref="E96:F96"/>
    <mergeCell ref="E98:F98"/>
    <mergeCell ref="B72:C72"/>
    <mergeCell ref="Q16:W16"/>
    <mergeCell ref="W80:W81"/>
    <mergeCell ref="W101:W102"/>
    <mergeCell ref="W103:W104"/>
    <mergeCell ref="W105:W106"/>
    <mergeCell ref="W107:W108"/>
    <mergeCell ref="W109:W110"/>
    <mergeCell ref="W111:W112"/>
    <mergeCell ref="W113:W114"/>
    <mergeCell ref="W82:W83"/>
    <mergeCell ref="W24:W25"/>
    <mergeCell ref="A74:AF74"/>
    <mergeCell ref="G69:M72"/>
    <mergeCell ref="A78:K78"/>
    <mergeCell ref="I80:I81"/>
    <mergeCell ref="C38:D40"/>
    <mergeCell ref="E38:F38"/>
    <mergeCell ref="E95:F95"/>
    <mergeCell ref="Y16:AA16"/>
    <mergeCell ref="AC16:AD16"/>
    <mergeCell ref="AF16:AG16"/>
    <mergeCell ref="A18:K18"/>
    <mergeCell ref="Q18:W18"/>
    <mergeCell ref="Y18:AA18"/>
    <mergeCell ref="AC18:AD18"/>
    <mergeCell ref="AG18:AG19"/>
    <mergeCell ref="A32:A36"/>
    <mergeCell ref="B32:B36"/>
    <mergeCell ref="C32:F32"/>
    <mergeCell ref="C33:D36"/>
    <mergeCell ref="AG20:AG21"/>
    <mergeCell ref="AG22:AG23"/>
    <mergeCell ref="AG24:AG25"/>
    <mergeCell ref="AG26:AG27"/>
    <mergeCell ref="T20:T21"/>
    <mergeCell ref="U20:U21"/>
    <mergeCell ref="V20:V21"/>
    <mergeCell ref="AC20:AC21"/>
    <mergeCell ref="V22:V23"/>
    <mergeCell ref="A92:A96"/>
    <mergeCell ref="B92:B140"/>
    <mergeCell ref="W20:W21"/>
    <mergeCell ref="W22:W23"/>
    <mergeCell ref="AD20:AD21"/>
    <mergeCell ref="A37:A40"/>
    <mergeCell ref="B37:B40"/>
    <mergeCell ref="E40:F40"/>
    <mergeCell ref="E43:F43"/>
    <mergeCell ref="B60:F60"/>
    <mergeCell ref="A45:A52"/>
    <mergeCell ref="B45:B52"/>
    <mergeCell ref="C45:F45"/>
    <mergeCell ref="C46:F46"/>
    <mergeCell ref="C47:F47"/>
    <mergeCell ref="C48:F48"/>
    <mergeCell ref="C49:F49"/>
    <mergeCell ref="C50:F50"/>
    <mergeCell ref="C41:F41"/>
    <mergeCell ref="C42:D44"/>
    <mergeCell ref="E34:F34"/>
    <mergeCell ref="E35:F35"/>
    <mergeCell ref="A20:A27"/>
    <mergeCell ref="B20:B31"/>
    <mergeCell ref="C20:F21"/>
    <mergeCell ref="G20:G21"/>
    <mergeCell ref="AG80:AG81"/>
    <mergeCell ref="Q76:W76"/>
    <mergeCell ref="Y76:AA76"/>
    <mergeCell ref="AC76:AD76"/>
    <mergeCell ref="AF76:AG76"/>
    <mergeCell ref="Q78:W78"/>
    <mergeCell ref="Y78:AA78"/>
    <mergeCell ref="AC78:AD78"/>
    <mergeCell ref="AG78:AG79"/>
    <mergeCell ref="U80:U81"/>
    <mergeCell ref="V80:V81"/>
    <mergeCell ref="W131:W132"/>
    <mergeCell ref="W149:W150"/>
    <mergeCell ref="W153:W154"/>
    <mergeCell ref="W155:W156"/>
    <mergeCell ref="W159:W160"/>
    <mergeCell ref="E157:F157"/>
    <mergeCell ref="E158:F158"/>
    <mergeCell ref="E113:F114"/>
    <mergeCell ref="E115:F116"/>
    <mergeCell ref="E118:F118"/>
    <mergeCell ref="E119:F119"/>
    <mergeCell ref="E120:F120"/>
    <mergeCell ref="E152:F152"/>
    <mergeCell ref="W115:W116"/>
    <mergeCell ref="E139:F139"/>
    <mergeCell ref="E124:F124"/>
    <mergeCell ref="E127:F128"/>
    <mergeCell ref="E129:F130"/>
    <mergeCell ref="E131:F132"/>
    <mergeCell ref="E134:F134"/>
    <mergeCell ref="E135:F135"/>
    <mergeCell ref="D125:F126"/>
    <mergeCell ref="D127:D132"/>
    <mergeCell ref="H153:H154"/>
    <mergeCell ref="AG131:AG132"/>
    <mergeCell ref="AG149:AG150"/>
    <mergeCell ref="AG153:AG154"/>
    <mergeCell ref="AD82:AD83"/>
    <mergeCell ref="AD84:AD85"/>
    <mergeCell ref="AD86:AD87"/>
    <mergeCell ref="AD101:AD102"/>
    <mergeCell ref="AD103:AD104"/>
    <mergeCell ref="AD105:AD106"/>
    <mergeCell ref="AD107:AD108"/>
    <mergeCell ref="AD109:AD110"/>
    <mergeCell ref="AD111:AD112"/>
    <mergeCell ref="AF115:AF116"/>
    <mergeCell ref="AD115:AD116"/>
    <mergeCell ref="AF113:AF114"/>
    <mergeCell ref="AF111:AF112"/>
    <mergeCell ref="AD113:AD114"/>
    <mergeCell ref="AF109:AF110"/>
    <mergeCell ref="AF101:AF102"/>
    <mergeCell ref="M57:O63"/>
    <mergeCell ref="M179:O185"/>
    <mergeCell ref="AG155:AG156"/>
    <mergeCell ref="AD131:AD132"/>
    <mergeCell ref="AD149:AD150"/>
    <mergeCell ref="AD153:AD154"/>
    <mergeCell ref="AD155:AD156"/>
    <mergeCell ref="AD159:AD160"/>
    <mergeCell ref="W86:W87"/>
    <mergeCell ref="AG82:AG83"/>
    <mergeCell ref="AG84:AG85"/>
    <mergeCell ref="AG86:AG87"/>
    <mergeCell ref="AG101:AG102"/>
    <mergeCell ref="AG103:AG104"/>
    <mergeCell ref="AG105:AG106"/>
    <mergeCell ref="AG107:AG108"/>
    <mergeCell ref="AG109:AG110"/>
    <mergeCell ref="AG111:AG112"/>
    <mergeCell ref="AG159:AG160"/>
    <mergeCell ref="AG113:AG114"/>
    <mergeCell ref="AG115:AG116"/>
    <mergeCell ref="AG125:AG126"/>
    <mergeCell ref="AG127:AG128"/>
    <mergeCell ref="AG129:AG130"/>
  </mergeCells>
  <conditionalFormatting sqref="G20:G21 I20:J21 N20:N21 G28 I28:J28 M28:N28">
    <cfRule type="expression" dxfId="611" priority="170">
      <formula>$D$9="By sector"</formula>
    </cfRule>
    <cfRule type="expression" dxfId="610" priority="519">
      <formula>$D$9="By sub-asset class"</formula>
    </cfRule>
  </conditionalFormatting>
  <conditionalFormatting sqref="G22:G27 N22:N27 G29:G31 M29:N31">
    <cfRule type="expression" dxfId="609" priority="174">
      <formula>$D$9="By sector"</formula>
    </cfRule>
    <cfRule type="expression" dxfId="608" priority="446">
      <formula>$D$9="By sub-asset class"</formula>
    </cfRule>
  </conditionalFormatting>
  <conditionalFormatting sqref="G32 M32">
    <cfRule type="expression" dxfId="607" priority="518">
      <formula>$D$10="All of segment"</formula>
    </cfRule>
    <cfRule type="expression" dxfId="606" priority="558">
      <formula>$D$10="By sub-asset class"</formula>
    </cfRule>
  </conditionalFormatting>
  <conditionalFormatting sqref="G32:G36 M32:M36">
    <cfRule type="expression" dxfId="605" priority="559">
      <formula>$D$10="N/A"</formula>
    </cfRule>
  </conditionalFormatting>
  <conditionalFormatting sqref="G33:G36 M33:M36">
    <cfRule type="expression" dxfId="604" priority="556">
      <formula>$D$10="All of segment"</formula>
    </cfRule>
    <cfRule type="expression" dxfId="603" priority="557">
      <formula>$D$10="By sub-asset class"</formula>
    </cfRule>
  </conditionalFormatting>
  <conditionalFormatting sqref="G37 M37">
    <cfRule type="expression" dxfId="602" priority="517">
      <formula>$D$11="All of segment"</formula>
    </cfRule>
    <cfRule type="expression" dxfId="601" priority="550">
      <formula>$D$11="By sub-asset class"</formula>
    </cfRule>
  </conditionalFormatting>
  <conditionalFormatting sqref="G37:G40 M37:M40">
    <cfRule type="expression" dxfId="600" priority="551">
      <formula>$D$11="N/A"</formula>
    </cfRule>
  </conditionalFormatting>
  <conditionalFormatting sqref="G38:G40 M38:M40">
    <cfRule type="expression" dxfId="599" priority="548">
      <formula>$D$11="All of segment"</formula>
    </cfRule>
    <cfRule type="expression" dxfId="598" priority="549">
      <formula>$D$11="By sub-asset class"</formula>
    </cfRule>
  </conditionalFormatting>
  <conditionalFormatting sqref="G41 M41">
    <cfRule type="expression" dxfId="597" priority="516">
      <formula>$D$12="All of segment"</formula>
    </cfRule>
    <cfRule type="expression" dxfId="596" priority="542">
      <formula>$D$12="By sub-asset class"</formula>
    </cfRule>
  </conditionalFormatting>
  <conditionalFormatting sqref="G41:G44 M41:M44">
    <cfRule type="expression" dxfId="595" priority="543">
      <formula>$D$12="N/A"</formula>
    </cfRule>
  </conditionalFormatting>
  <conditionalFormatting sqref="G42:G44 M42:M44">
    <cfRule type="expression" dxfId="594" priority="540">
      <formula>$D$12="All of segment"</formula>
    </cfRule>
    <cfRule type="expression" dxfId="593" priority="541">
      <formula>$D$12="By sub-asset class"</formula>
    </cfRule>
  </conditionalFormatting>
  <conditionalFormatting sqref="G80:G81 I80:J81 N80:N81 G88 I88:J88 M88:N88">
    <cfRule type="expression" dxfId="592" priority="30">
      <formula>$D$69="By sector"</formula>
    </cfRule>
    <cfRule type="expression" dxfId="591" priority="31">
      <formula>$D$69="By sub-asset class"</formula>
    </cfRule>
  </conditionalFormatting>
  <conditionalFormatting sqref="G80:G87 N80:N91">
    <cfRule type="expression" dxfId="590" priority="476">
      <formula>$D$69="Climate-alignment only"</formula>
    </cfRule>
  </conditionalFormatting>
  <conditionalFormatting sqref="G80:G91 N80:N91 M88:M91">
    <cfRule type="expression" dxfId="589" priority="207">
      <formula>$D$69="N/A"</formula>
    </cfRule>
  </conditionalFormatting>
  <conditionalFormatting sqref="G80:G91 N80:N91">
    <cfRule type="expression" dxfId="588" priority="492">
      <formula>$D$69="Sector only"</formula>
    </cfRule>
  </conditionalFormatting>
  <conditionalFormatting sqref="G82:G87 I82:J87 N82:N87 G89:G91 I89:J91 M89:N91">
    <cfRule type="expression" dxfId="587" priority="28">
      <formula>$D$69="By sector"</formula>
    </cfRule>
    <cfRule type="expression" dxfId="586" priority="29">
      <formula>$D$69="By sub-asset class"</formula>
    </cfRule>
  </conditionalFormatting>
  <conditionalFormatting sqref="G82:G87 N82:N87">
    <cfRule type="expression" dxfId="585" priority="433">
      <formula>$G$80&gt;0</formula>
    </cfRule>
  </conditionalFormatting>
  <conditionalFormatting sqref="G88 I88:J88 M88:N88">
    <cfRule type="expression" dxfId="584" priority="32">
      <formula>$G$89&gt;0</formula>
    </cfRule>
    <cfRule type="expression" dxfId="583" priority="33">
      <formula>$G$90&gt;0</formula>
    </cfRule>
    <cfRule type="expression" dxfId="582" priority="34">
      <formula>$G$91&gt;0</formula>
    </cfRule>
  </conditionalFormatting>
  <conditionalFormatting sqref="G88:G91 M88:M91">
    <cfRule type="expression" dxfId="581" priority="432">
      <formula>$D$69="Climate-alignment only"</formula>
    </cfRule>
  </conditionalFormatting>
  <conditionalFormatting sqref="G89:G91 M89:N91">
    <cfRule type="expression" dxfId="580" priority="430">
      <formula>$G$88&gt;0</formula>
    </cfRule>
  </conditionalFormatting>
  <conditionalFormatting sqref="G92 I92:J92 M92">
    <cfRule type="expression" dxfId="579" priority="25">
      <formula>$D$70="All of segment"</formula>
    </cfRule>
    <cfRule type="expression" dxfId="578" priority="26">
      <formula>$D$70="By sub-asset class"</formula>
    </cfRule>
    <cfRule type="expression" dxfId="577" priority="27">
      <formula>$D$70="By sector"</formula>
    </cfRule>
  </conditionalFormatting>
  <conditionalFormatting sqref="G92 M92">
    <cfRule type="expression" dxfId="576" priority="563">
      <formula>$D$70="Both climate-alignment and sector"</formula>
    </cfRule>
  </conditionalFormatting>
  <conditionalFormatting sqref="G92:G96 M92:M140">
    <cfRule type="expression" dxfId="575" priority="562">
      <formula>$D$70="Sector only"</formula>
    </cfRule>
  </conditionalFormatting>
  <conditionalFormatting sqref="G92:G97 M92:M97 G101:G102 I101:J102 M101:M102 G109:G110 I109:J110 M109:M110 G117 I117:J117 M117 G121 I121:J121 M121 G125:G126 I125:J126 M125:M126 G133 I133:J133 M133 G137 I137:J137 M137">
    <cfRule type="expression" dxfId="574" priority="480">
      <formula>$D$70="Climate-alignment only"</formula>
    </cfRule>
  </conditionalFormatting>
  <conditionalFormatting sqref="G92:G140 I92:J140 M92:M140 N97:N140">
    <cfRule type="expression" dxfId="573" priority="469">
      <formula>$D$70="N/A"</formula>
    </cfRule>
  </conditionalFormatting>
  <conditionalFormatting sqref="G93:G96 I93:J96 M93:M96">
    <cfRule type="expression" dxfId="572" priority="23">
      <formula>$D$70="By sub-asset class"</formula>
    </cfRule>
    <cfRule type="expression" dxfId="571" priority="24">
      <formula>$D$70="By sector"</formula>
    </cfRule>
  </conditionalFormatting>
  <conditionalFormatting sqref="G93:G140 I93:J140 M93:N140">
    <cfRule type="expression" dxfId="570" priority="470">
      <formula>$G$92&gt;0</formula>
    </cfRule>
  </conditionalFormatting>
  <conditionalFormatting sqref="G93:G140 M93:M140 N97:N140">
    <cfRule type="expression" dxfId="569" priority="483">
      <formula>$D$70="Both climate-alignment and sector"</formula>
    </cfRule>
  </conditionalFormatting>
  <conditionalFormatting sqref="G97 I97:J97 M97:N97">
    <cfRule type="expression" dxfId="568" priority="19">
      <formula>$G$98&gt;0</formula>
    </cfRule>
    <cfRule type="expression" dxfId="567" priority="20">
      <formula>$G$99&gt;0</formula>
    </cfRule>
    <cfRule type="expression" dxfId="566" priority="21">
      <formula>$G$100&gt;0</formula>
    </cfRule>
  </conditionalFormatting>
  <conditionalFormatting sqref="G97:G140 I97:J140 M97:N140">
    <cfRule type="expression" dxfId="565" priority="468">
      <formula>$D$70="By sector"</formula>
    </cfRule>
  </conditionalFormatting>
  <conditionalFormatting sqref="G97:G140 N97:N140">
    <cfRule type="expression" dxfId="564" priority="478">
      <formula>$D$70="Sector only"</formula>
    </cfRule>
  </conditionalFormatting>
  <conditionalFormatting sqref="G98:G100 I98:J100 M98:N100">
    <cfRule type="expression" dxfId="563" priority="79">
      <formula>$G$97&gt;0</formula>
    </cfRule>
  </conditionalFormatting>
  <conditionalFormatting sqref="G101 I101:J101 M101 N101:N102">
    <cfRule type="expression" dxfId="562" priority="76">
      <formula>$G$103&gt;0</formula>
    </cfRule>
    <cfRule type="expression" dxfId="561" priority="77">
      <formula>$G$105&gt;0</formula>
    </cfRule>
    <cfRule type="expression" dxfId="560" priority="78">
      <formula>$G$107&gt;0</formula>
    </cfRule>
  </conditionalFormatting>
  <conditionalFormatting sqref="G103:G108 I103:J108 M103:N108">
    <cfRule type="expression" dxfId="559" priority="80">
      <formula>$G$101&gt;0</formula>
    </cfRule>
  </conditionalFormatting>
  <conditionalFormatting sqref="G109 I109:J109 M109 N109:N110">
    <cfRule type="expression" dxfId="558" priority="73">
      <formula>$G$111&gt;0</formula>
    </cfRule>
    <cfRule type="expression" dxfId="557" priority="74">
      <formula>$G$113&gt;0</formula>
    </cfRule>
    <cfRule type="expression" dxfId="556" priority="75">
      <formula>$G$115&gt;0</formula>
    </cfRule>
  </conditionalFormatting>
  <conditionalFormatting sqref="G111:G116 I111:J116 M111:N116">
    <cfRule type="expression" dxfId="555" priority="81">
      <formula>$G$109&gt;0</formula>
    </cfRule>
  </conditionalFormatting>
  <conditionalFormatting sqref="G117 I117:J117 M117:N117">
    <cfRule type="expression" dxfId="554" priority="70">
      <formula>$G$118&gt;0</formula>
    </cfRule>
    <cfRule type="expression" dxfId="553" priority="71">
      <formula>$G$119&gt;0</formula>
    </cfRule>
    <cfRule type="expression" dxfId="552" priority="72">
      <formula>$G$120&gt;0</formula>
    </cfRule>
  </conditionalFormatting>
  <conditionalFormatting sqref="G118:G120 M118:N120">
    <cfRule type="expression" dxfId="551" priority="123">
      <formula>$G$117&gt;0</formula>
    </cfRule>
  </conditionalFormatting>
  <conditionalFormatting sqref="G121 I121:J121 M121:N121">
    <cfRule type="expression" dxfId="550" priority="67">
      <formula>$G$122&gt;0</formula>
    </cfRule>
    <cfRule type="expression" dxfId="549" priority="68">
      <formula>$G$123&gt;0</formula>
    </cfRule>
    <cfRule type="expression" dxfId="548" priority="69">
      <formula>$G$124&gt;0</formula>
    </cfRule>
  </conditionalFormatting>
  <conditionalFormatting sqref="G125 I125:J125 M125 N125:N126">
    <cfRule type="expression" dxfId="547" priority="64">
      <formula>$G$127&gt;0</formula>
    </cfRule>
    <cfRule type="expression" dxfId="546" priority="65">
      <formula>$G$129&gt;0</formula>
    </cfRule>
    <cfRule type="expression" dxfId="545" priority="66">
      <formula>$G$131&gt;0</formula>
    </cfRule>
  </conditionalFormatting>
  <conditionalFormatting sqref="G133 I133:J133 M133:N133">
    <cfRule type="expression" dxfId="544" priority="61">
      <formula>$G$134&gt;0</formula>
    </cfRule>
    <cfRule type="expression" dxfId="543" priority="62">
      <formula>$G$135&gt;0</formula>
    </cfRule>
    <cfRule type="expression" dxfId="542" priority="63">
      <formula>$G$136&gt;0</formula>
    </cfRule>
  </conditionalFormatting>
  <conditionalFormatting sqref="G137 I137:J137 M137:N137">
    <cfRule type="expression" dxfId="541" priority="58">
      <formula>$G$138&gt;0</formula>
    </cfRule>
    <cfRule type="expression" dxfId="540" priority="59">
      <formula>$G$139&gt;0</formula>
    </cfRule>
    <cfRule type="expression" dxfId="539" priority="60">
      <formula>$G$140&gt;0</formula>
    </cfRule>
  </conditionalFormatting>
  <conditionalFormatting sqref="G141 I141:J141 M141">
    <cfRule type="expression" dxfId="538" priority="464">
      <formula>$D$71="By sub-asset class"</formula>
    </cfRule>
  </conditionalFormatting>
  <conditionalFormatting sqref="G141:G144 I141:J144 M141:M144">
    <cfRule type="expression" dxfId="537" priority="465">
      <formula>$D$71="N/A"</formula>
    </cfRule>
  </conditionalFormatting>
  <conditionalFormatting sqref="G142:G144 I142:J144 M142:M144">
    <cfRule type="expression" dxfId="536" priority="463">
      <formula>$D$71="By sub-asset class"</formula>
    </cfRule>
  </conditionalFormatting>
  <conditionalFormatting sqref="G145 I145:J145 M145">
    <cfRule type="expression" dxfId="535" priority="15">
      <formula>$D$72="All of segment"</formula>
    </cfRule>
    <cfRule type="expression" dxfId="534" priority="16">
      <formula>$D$72="By sub-asset class"</formula>
    </cfRule>
    <cfRule type="expression" dxfId="533" priority="17">
      <formula>$D$72="By sector"</formula>
    </cfRule>
  </conditionalFormatting>
  <conditionalFormatting sqref="G145 I145:J145">
    <cfRule type="expression" dxfId="532" priority="18">
      <formula>$D$72="N/A"</formula>
    </cfRule>
  </conditionalFormatting>
  <conditionalFormatting sqref="G145 M145">
    <cfRule type="expression" dxfId="531" priority="288">
      <formula>$D$72="Both climate-alignment and sector"</formula>
    </cfRule>
  </conditionalFormatting>
  <conditionalFormatting sqref="G145:G148 M145:M148 G151:G162 I151:J162 M151:M162 G166 I166:J166 M166">
    <cfRule type="expression" dxfId="530" priority="219">
      <formula>$D$72="Climate-alignment only"</formula>
    </cfRule>
  </conditionalFormatting>
  <conditionalFormatting sqref="G145:G148 M145:M148 M151:M166 G166 I166:J166">
    <cfRule type="expression" dxfId="529" priority="276">
      <formula>$D$72="Sector only"</formula>
    </cfRule>
  </conditionalFormatting>
  <conditionalFormatting sqref="G146:G148 I146:J148 M146:M148">
    <cfRule type="expression" dxfId="528" priority="13">
      <formula>$D$72="By sub-asset class"</formula>
    </cfRule>
    <cfRule type="expression" dxfId="527" priority="14">
      <formula>$D$72="By sector"</formula>
    </cfRule>
  </conditionalFormatting>
  <conditionalFormatting sqref="G146:G166 I146:J166 N149:N165 M151:M166">
    <cfRule type="expression" dxfId="526" priority="218">
      <formula>$D$72="Both climate-alignment and sector"</formula>
    </cfRule>
  </conditionalFormatting>
  <conditionalFormatting sqref="G149:G165 N149:N165">
    <cfRule type="expression" dxfId="525" priority="275">
      <formula>$D$72="Sector only"</formula>
    </cfRule>
  </conditionalFormatting>
  <conditionalFormatting sqref="G162 I162:J162 M162:N162">
    <cfRule type="expression" dxfId="524" priority="9">
      <formula>$G$163&gt;0</formula>
    </cfRule>
    <cfRule type="expression" dxfId="523" priority="10">
      <formula>$G$164&gt;0</formula>
    </cfRule>
    <cfRule type="expression" dxfId="522" priority="11">
      <formula>$G$165&gt;0</formula>
    </cfRule>
  </conditionalFormatting>
  <conditionalFormatting sqref="G163:G165 I163:J165 M163:N165">
    <cfRule type="expression" dxfId="521" priority="55">
      <formula>$G$162&gt;0</formula>
    </cfRule>
  </conditionalFormatting>
  <conditionalFormatting sqref="I57:I59 I63 I179:I181 I185">
    <cfRule type="containsText" dxfId="520" priority="560" operator="containsText" text="OK">
      <formula>NOT(ISERROR(SEARCH("OK",I57)))</formula>
    </cfRule>
    <cfRule type="containsText" dxfId="519" priority="561" operator="containsText" text="Error">
      <formula>NOT(ISERROR(SEARCH("Error",I57)))</formula>
    </cfRule>
  </conditionalFormatting>
  <conditionalFormatting sqref="I20:J31">
    <cfRule type="expression" dxfId="518" priority="524">
      <formula>$D$9="N/A"</formula>
    </cfRule>
  </conditionalFormatting>
  <conditionalFormatting sqref="I22:J27 I29:J31">
    <cfRule type="expression" dxfId="517" priority="175">
      <formula>$D$9="By sector"</formula>
    </cfRule>
    <cfRule type="expression" dxfId="516" priority="447">
      <formula>$D$9="By sub-asset class"</formula>
    </cfRule>
  </conditionalFormatting>
  <conditionalFormatting sqref="I32:J32">
    <cfRule type="expression" dxfId="515" priority="173">
      <formula>$D$10="All of segment"</formula>
    </cfRule>
    <cfRule type="expression" dxfId="514" priority="186">
      <formula>$D$10="By sub-asset class"</formula>
    </cfRule>
  </conditionalFormatting>
  <conditionalFormatting sqref="I32:J36">
    <cfRule type="expression" dxfId="513" priority="187">
      <formula>$D$10="N/A"</formula>
    </cfRule>
  </conditionalFormatting>
  <conditionalFormatting sqref="I33:J36">
    <cfRule type="expression" dxfId="512" priority="184">
      <formula>$D$10="All of segment"</formula>
    </cfRule>
    <cfRule type="expression" dxfId="511" priority="185">
      <formula>$D$10="By sub-asset class"</formula>
    </cfRule>
  </conditionalFormatting>
  <conditionalFormatting sqref="I37:J37">
    <cfRule type="expression" dxfId="510" priority="172">
      <formula>$D$11="All of segment"</formula>
    </cfRule>
    <cfRule type="expression" dxfId="509" priority="182">
      <formula>$D$11="By sub-asset class"</formula>
    </cfRule>
  </conditionalFormatting>
  <conditionalFormatting sqref="I37:J40">
    <cfRule type="expression" dxfId="508" priority="183">
      <formula>$D$11="N/A"</formula>
    </cfRule>
  </conditionalFormatting>
  <conditionalFormatting sqref="I38:J40">
    <cfRule type="expression" dxfId="507" priority="180">
      <formula>$D$11="All of segment"</formula>
    </cfRule>
    <cfRule type="expression" dxfId="506" priority="181">
      <formula>$D$11="By sub-asset class"</formula>
    </cfRule>
  </conditionalFormatting>
  <conditionalFormatting sqref="I41:J41">
    <cfRule type="expression" dxfId="505" priority="171">
      <formula>$D$12="All of segment"</formula>
    </cfRule>
    <cfRule type="expression" dxfId="504" priority="178">
      <formula>$D$12="By sub-asset class"</formula>
    </cfRule>
  </conditionalFormatting>
  <conditionalFormatting sqref="I41:J44">
    <cfRule type="expression" dxfId="503" priority="179">
      <formula>$D$12="N/A"</formula>
    </cfRule>
  </conditionalFormatting>
  <conditionalFormatting sqref="I42:J44">
    <cfRule type="expression" dxfId="502" priority="176">
      <formula>$D$12="All of segment"</formula>
    </cfRule>
    <cfRule type="expression" dxfId="501" priority="177">
      <formula>$D$12="By sub-asset class"</formula>
    </cfRule>
  </conditionalFormatting>
  <conditionalFormatting sqref="I80:J87">
    <cfRule type="expression" dxfId="500" priority="115">
      <formula>$D$69="Climate-alignment only"</formula>
    </cfRule>
  </conditionalFormatting>
  <conditionalFormatting sqref="I80:J91">
    <cfRule type="expression" dxfId="499" priority="125">
      <formula>$D$69="Sector only"</formula>
    </cfRule>
    <cfRule type="expression" dxfId="498" priority="129">
      <formula>$D$69="Both climate-alignment and sector"</formula>
    </cfRule>
    <cfRule type="expression" dxfId="497" priority="130">
      <formula>$D$69="N/A"</formula>
    </cfRule>
  </conditionalFormatting>
  <conditionalFormatting sqref="I82:J87">
    <cfRule type="expression" dxfId="496" priority="97">
      <formula>$G$80&gt;0</formula>
    </cfRule>
  </conditionalFormatting>
  <conditionalFormatting sqref="I88:J91">
    <cfRule type="expression" dxfId="495" priority="114">
      <formula>$D$69="Climate-alignment only"</formula>
    </cfRule>
  </conditionalFormatting>
  <conditionalFormatting sqref="I89:J91">
    <cfRule type="expression" dxfId="494" priority="113">
      <formula>$G$88&gt;0</formula>
    </cfRule>
  </conditionalFormatting>
  <conditionalFormatting sqref="I92:J92">
    <cfRule type="expression" dxfId="493" priority="131">
      <formula>$D$70="Both climate-alignment and sector"</formula>
    </cfRule>
  </conditionalFormatting>
  <conditionalFormatting sqref="I92:J96">
    <cfRule type="expression" dxfId="492" priority="127">
      <formula>$D$70="Sector only"</formula>
    </cfRule>
  </conditionalFormatting>
  <conditionalFormatting sqref="I92:J97">
    <cfRule type="expression" dxfId="491" priority="126">
      <formula>$D$70="Climate-alignment only"</formula>
    </cfRule>
  </conditionalFormatting>
  <conditionalFormatting sqref="I92:J140">
    <cfRule type="expression" dxfId="490" priority="328">
      <formula>$D$70="N/A"</formula>
    </cfRule>
  </conditionalFormatting>
  <conditionalFormatting sqref="I93:J96 M93:M96 G93:G140">
    <cfRule type="expression" dxfId="489" priority="22">
      <formula>$D$70="All of segment"</formula>
    </cfRule>
  </conditionalFormatting>
  <conditionalFormatting sqref="I93:J140">
    <cfRule type="expression" dxfId="488" priority="132">
      <formula>$D$70="Both climate-alignment and sector"</formula>
    </cfRule>
  </conditionalFormatting>
  <conditionalFormatting sqref="I97:J140 G97:G140 M97:N140">
    <cfRule type="expression" dxfId="487" priority="467">
      <formula>$D$70="By sub-asset class"</formula>
    </cfRule>
  </conditionalFormatting>
  <conditionalFormatting sqref="I97:J140 M97:N140">
    <cfRule type="expression" dxfId="486" priority="415">
      <formula>$D$70="All of segment"</formula>
    </cfRule>
  </conditionalFormatting>
  <conditionalFormatting sqref="I97:J140">
    <cfRule type="expression" dxfId="485" priority="128">
      <formula>$D$70="Sector only"</formula>
    </cfRule>
  </conditionalFormatting>
  <conditionalFormatting sqref="I98:J100">
    <cfRule type="expression" dxfId="484" priority="124">
      <formula>$D$70="Climate-alignment only"</formula>
    </cfRule>
  </conditionalFormatting>
  <conditionalFormatting sqref="I118:J120">
    <cfRule type="expression" dxfId="483" priority="111">
      <formula>$G$117&gt;0</formula>
    </cfRule>
  </conditionalFormatting>
  <conditionalFormatting sqref="I122:J124 G122:G124 M122:N124">
    <cfRule type="expression" dxfId="482" priority="329">
      <formula>$G$121&gt;0</formula>
    </cfRule>
  </conditionalFormatting>
  <conditionalFormatting sqref="I122:J124">
    <cfRule type="expression" dxfId="481" priority="112">
      <formula>$G$121&gt;0</formula>
    </cfRule>
  </conditionalFormatting>
  <conditionalFormatting sqref="I127:J132 G127:G132 M127:N132">
    <cfRule type="expression" dxfId="480" priority="330">
      <formula>$G$125&gt;0</formula>
    </cfRule>
  </conditionalFormatting>
  <conditionalFormatting sqref="I127:J132">
    <cfRule type="expression" dxfId="479" priority="120">
      <formula>$G$125&gt;0</formula>
    </cfRule>
  </conditionalFormatting>
  <conditionalFormatting sqref="I134:J136 G134:G136 M134:N136">
    <cfRule type="expression" dxfId="478" priority="413">
      <formula>$G$133&gt;0</formula>
    </cfRule>
  </conditionalFormatting>
  <conditionalFormatting sqref="I134:J136">
    <cfRule type="expression" dxfId="477" priority="121">
      <formula>$G$133&gt;0</formula>
    </cfRule>
  </conditionalFormatting>
  <conditionalFormatting sqref="I138:J140 G138:G140 M138:N140">
    <cfRule type="expression" dxfId="476" priority="414">
      <formula>$G$137&gt;0</formula>
    </cfRule>
  </conditionalFormatting>
  <conditionalFormatting sqref="I138:J140">
    <cfRule type="expression" dxfId="475" priority="122">
      <formula>$G$137&gt;0</formula>
    </cfRule>
  </conditionalFormatting>
  <conditionalFormatting sqref="I141:J141 G141 M141">
    <cfRule type="expression" dxfId="474" priority="206">
      <formula>$D$71="All of segment"</formula>
    </cfRule>
  </conditionalFormatting>
  <conditionalFormatting sqref="I141:J141">
    <cfRule type="expression" dxfId="473" priority="96">
      <formula>$D$71="All of segment"</formula>
    </cfRule>
    <cfRule type="expression" dxfId="472" priority="118">
      <formula>$D$71="By sub-asset class"</formula>
    </cfRule>
  </conditionalFormatting>
  <conditionalFormatting sqref="I141:J144">
    <cfRule type="expression" dxfId="471" priority="119">
      <formula>$D$71="N/A"</formula>
    </cfRule>
  </conditionalFormatting>
  <conditionalFormatting sqref="I142:J144 G142:G144 M142:M144">
    <cfRule type="expression" dxfId="470" priority="462">
      <formula>$D$71="All of segment"</formula>
    </cfRule>
  </conditionalFormatting>
  <conditionalFormatting sqref="I142:J144">
    <cfRule type="expression" dxfId="469" priority="116">
      <formula>$D$71="All of segment"</formula>
    </cfRule>
    <cfRule type="expression" dxfId="468" priority="117">
      <formula>$D$71="By sub-asset class"</formula>
    </cfRule>
  </conditionalFormatting>
  <conditionalFormatting sqref="I145:J145">
    <cfRule type="expression" dxfId="467" priority="105">
      <formula>$D$72="Both climate-alignment and sector"</formula>
    </cfRule>
  </conditionalFormatting>
  <conditionalFormatting sqref="I145:J148">
    <cfRule type="expression" dxfId="466" priority="100">
      <formula>$D$72="Climate-alignment only"</formula>
    </cfRule>
    <cfRule type="expression" dxfId="465" priority="103">
      <formula>$D$72="Sector only"</formula>
    </cfRule>
  </conditionalFormatting>
  <conditionalFormatting sqref="I146:J148">
    <cfRule type="expression" dxfId="464" priority="98">
      <formula>$G$145&gt;0</formula>
    </cfRule>
  </conditionalFormatting>
  <conditionalFormatting sqref="I146:J166 G146:G166 M146:N166">
    <cfRule type="expression" dxfId="463" priority="106">
      <formula>$G$145&gt;0</formula>
    </cfRule>
  </conditionalFormatting>
  <conditionalFormatting sqref="I146:J166 G146:G166 N149:N165 M151:M166 M145:M148">
    <cfRule type="expression" dxfId="462" priority="104">
      <formula>$D$72="N/A"</formula>
    </cfRule>
  </conditionalFormatting>
  <conditionalFormatting sqref="I149:J149 G149 N149:N165 G163:G165 M163:M165">
    <cfRule type="expression" dxfId="461" priority="217">
      <formula>$D$72="Climate-alignment only"</formula>
    </cfRule>
  </conditionalFormatting>
  <conditionalFormatting sqref="I149:J165">
    <cfRule type="expression" dxfId="460" priority="102">
      <formula>$D$72="Sector only"</formula>
    </cfRule>
  </conditionalFormatting>
  <conditionalFormatting sqref="I163:J165">
    <cfRule type="expression" dxfId="459" priority="273">
      <formula>$D$72="Climate-alignment only"</formula>
    </cfRule>
  </conditionalFormatting>
  <conditionalFormatting sqref="M88:M91">
    <cfRule type="expression" dxfId="458" priority="477">
      <formula>$D$69="Sector only"</formula>
    </cfRule>
  </conditionalFormatting>
  <conditionalFormatting sqref="M145:M148">
    <cfRule type="expression" dxfId="457" priority="289">
      <formula>$D$72="N/A"</formula>
    </cfRule>
  </conditionalFormatting>
  <conditionalFormatting sqref="M146:M148 G146:G166 I146:J166">
    <cfRule type="expression" dxfId="456" priority="12">
      <formula>$D$72="All of segment"</formula>
    </cfRule>
  </conditionalFormatting>
  <conditionalFormatting sqref="M146:M148">
    <cfRule type="expression" dxfId="455" priority="277">
      <formula>$D$72="Both climate-alignment and sector"</formula>
    </cfRule>
  </conditionalFormatting>
  <conditionalFormatting sqref="M88:N91 N80:N87 G80:G91">
    <cfRule type="expression" dxfId="454" priority="494">
      <formula>$D$69="Both climate-alignment and sector"</formula>
    </cfRule>
  </conditionalFormatting>
  <conditionalFormatting sqref="N20:N27 G20:G31 M28:N31">
    <cfRule type="expression" dxfId="453" priority="522">
      <formula>$D$9="N/A"</formula>
    </cfRule>
  </conditionalFormatting>
  <conditionalFormatting sqref="N97:N140 G98:G100 M98:M100 G103:G108 I103:J108 M103:M108 G111:G116 I111:J116 M111:M116 G118:G120 I118:J120 M118:M120 G122:G124 I122:J124 M122:M124 G127:G132 I127:J132 M127:M132 G134:G136 I134:J136 M134:M136 G138:G140 I138:J140 M138:M140">
    <cfRule type="expression" dxfId="452" priority="475">
      <formula>$D$70="Climate-alignment only"</formula>
    </cfRule>
  </conditionalFormatting>
  <conditionalFormatting sqref="N149:N165 G149:G166 I149:J166 M151:M166">
    <cfRule type="expression" dxfId="451" priority="57">
      <formula>$D$72="By sub-asset class"</formula>
    </cfRule>
    <cfRule type="expression" dxfId="450" priority="101">
      <formula>$D$72="By sector"</formula>
    </cfRule>
  </conditionalFormatting>
  <conditionalFormatting sqref="N149:N165 M151:M166">
    <cfRule type="expression" dxfId="449" priority="56">
      <formula>$D$72="All of segment"</formula>
    </cfRule>
  </conditionalFormatting>
  <conditionalFormatting sqref="O20:O44 O80:O166">
    <cfRule type="expression" dxfId="448" priority="497">
      <formula>M20=TRUE</formula>
    </cfRule>
    <cfRule type="expression" dxfId="447" priority="498">
      <formula>N20=TRUE</formula>
    </cfRule>
    <cfRule type="expression" dxfId="446" priority="499">
      <formula>AND(M20=FALSE,N20=FALSE)</formula>
    </cfRule>
  </conditionalFormatting>
  <conditionalFormatting sqref="Q37:Q44">
    <cfRule type="expression" dxfId="445" priority="89">
      <formula>G37&gt;0</formula>
    </cfRule>
  </conditionalFormatting>
  <conditionalFormatting sqref="Q141:Q148 Q151:Q166">
    <cfRule type="expression" dxfId="444" priority="82">
      <formula>G141&gt;0</formula>
    </cfRule>
  </conditionalFormatting>
  <conditionalFormatting sqref="Q180:U181">
    <cfRule type="containsText" dxfId="443" priority="564" operator="containsText" text="OK">
      <formula>NOT(ISERROR(SEARCH("OK",Q180)))</formula>
    </cfRule>
    <cfRule type="containsText" dxfId="442" priority="565" operator="containsText" text="Error">
      <formula>NOT(ISERROR(SEARCH("Error",Q180)))</formula>
    </cfRule>
  </conditionalFormatting>
  <conditionalFormatting sqref="R20:R44">
    <cfRule type="expression" dxfId="441" priority="1">
      <formula>G20&gt;0</formula>
    </cfRule>
  </conditionalFormatting>
  <conditionalFormatting sqref="R80:R148">
    <cfRule type="expression" dxfId="440" priority="5">
      <formula>G80&gt;0</formula>
    </cfRule>
  </conditionalFormatting>
  <conditionalFormatting sqref="R151:R166">
    <cfRule type="expression" dxfId="439" priority="83">
      <formula>G151&gt;0</formula>
    </cfRule>
  </conditionalFormatting>
  <conditionalFormatting sqref="S20:S44">
    <cfRule type="expression" dxfId="438" priority="2">
      <formula>G20&gt;0</formula>
    </cfRule>
  </conditionalFormatting>
  <conditionalFormatting sqref="S80:S148">
    <cfRule type="expression" dxfId="437" priority="6">
      <formula>G80&gt;0</formula>
    </cfRule>
  </conditionalFormatting>
  <conditionalFormatting sqref="S151:S166">
    <cfRule type="expression" dxfId="436" priority="84">
      <formula>G151&gt;0</formula>
    </cfRule>
  </conditionalFormatting>
  <conditionalFormatting sqref="T20:T27">
    <cfRule type="expression" dxfId="435" priority="3">
      <formula>G20&gt;0</formula>
    </cfRule>
  </conditionalFormatting>
  <conditionalFormatting sqref="T28:T44">
    <cfRule type="expression" dxfId="434" priority="92" stopIfTrue="1">
      <formula>G28&gt;0</formula>
    </cfRule>
  </conditionalFormatting>
  <conditionalFormatting sqref="T80:T148">
    <cfRule type="expression" dxfId="433" priority="7">
      <formula>G80&gt;0</formula>
    </cfRule>
  </conditionalFormatting>
  <conditionalFormatting sqref="T151:T166">
    <cfRule type="expression" dxfId="432" priority="85">
      <formula>G151&gt;0</formula>
    </cfRule>
  </conditionalFormatting>
  <conditionalFormatting sqref="U20:U27">
    <cfRule type="expression" dxfId="431" priority="4">
      <formula>G20&gt;0</formula>
    </cfRule>
  </conditionalFormatting>
  <conditionalFormatting sqref="U28:U44">
    <cfRule type="expression" dxfId="430" priority="500" stopIfTrue="1">
      <formula>G28&gt;0</formula>
    </cfRule>
  </conditionalFormatting>
  <conditionalFormatting sqref="U80:U87">
    <cfRule type="expression" dxfId="429" priority="8">
      <formula>G80&gt;0</formula>
    </cfRule>
  </conditionalFormatting>
  <conditionalFormatting sqref="U88:U148 U151:U166">
    <cfRule type="expression" dxfId="428" priority="310" stopIfTrue="1">
      <formula>G88&gt;0</formula>
    </cfRule>
  </conditionalFormatting>
  <conditionalFormatting sqref="W28:W44">
    <cfRule type="expression" dxfId="427" priority="46">
      <formula>M28=TRUE</formula>
    </cfRule>
    <cfRule type="expression" dxfId="426" priority="47">
      <formula>M28=FALSE</formula>
    </cfRule>
  </conditionalFormatting>
  <conditionalFormatting sqref="W88:W148 W151:W166">
    <cfRule type="expression" dxfId="425" priority="42">
      <formula>M88=TRUE</formula>
    </cfRule>
    <cfRule type="expression" dxfId="424" priority="43">
      <formula>M88=FALSE</formula>
    </cfRule>
  </conditionalFormatting>
  <conditionalFormatting sqref="Z20:Z31 Z80:Z91 Z97:Z140 Z149:Z165">
    <cfRule type="expression" dxfId="423" priority="40">
      <formula>N20=TRUE</formula>
    </cfRule>
    <cfRule type="expression" dxfId="422" priority="41">
      <formula>N20=FALSE</formula>
    </cfRule>
  </conditionalFormatting>
  <conditionalFormatting sqref="AA20:AA31 AA80:AA91 AA97:AA140 AA149:AA165">
    <cfRule type="expression" dxfId="421" priority="534">
      <formula>N20=TRUE</formula>
    </cfRule>
    <cfRule type="expression" dxfId="420" priority="535">
      <formula>N20=FALSE</formula>
    </cfRule>
  </conditionalFormatting>
  <conditionalFormatting sqref="AC28:AC31 AC88:AC91 AC97:AC140 AC149:AC165">
    <cfRule type="expression" dxfId="419" priority="532">
      <formula>M28=FALSE</formula>
    </cfRule>
    <cfRule type="expression" dxfId="418" priority="533">
      <formula>N28=FALSE</formula>
    </cfRule>
  </conditionalFormatting>
  <conditionalFormatting sqref="AC97:AC140 AC28:AC31 AC88:AC91 AC149:AC165">
    <cfRule type="expression" dxfId="417" priority="531">
      <formula>AND(M28=TRUE,N28=TRUE)</formula>
    </cfRule>
  </conditionalFormatting>
  <conditionalFormatting sqref="AC101:AC116 AC125:AC132 AC153:AC156 AC159:AC160">
    <cfRule type="expression" dxfId="416" priority="36">
      <formula>AND(M101=TRUE,N102=TRUE)</formula>
    </cfRule>
  </conditionalFormatting>
  <conditionalFormatting sqref="AC105:AD105">
    <cfRule type="expression" dxfId="415" priority="388">
      <formula>AND(M105=TRUE,N105=TRUE)</formula>
    </cfRule>
    <cfRule type="expression" dxfId="414" priority="389">
      <formula>M105=FALSE</formula>
    </cfRule>
    <cfRule type="expression" dxfId="413" priority="390">
      <formula>N105=FALSE</formula>
    </cfRule>
  </conditionalFormatting>
  <conditionalFormatting sqref="AC113:AD113">
    <cfRule type="expression" dxfId="412" priority="340">
      <formula>AND(M113=TRUE,N113=TRUE)</formula>
    </cfRule>
    <cfRule type="expression" dxfId="411" priority="341">
      <formula>M113=FALSE</formula>
    </cfRule>
    <cfRule type="expression" dxfId="410" priority="342">
      <formula>N113=FALSE</formula>
    </cfRule>
  </conditionalFormatting>
  <conditionalFormatting sqref="AC129:AD129">
    <cfRule type="expression" dxfId="409" priority="298">
      <formula>AND(M129=TRUE,N129=TRUE)</formula>
    </cfRule>
    <cfRule type="expression" dxfId="408" priority="299">
      <formula>M129=FALSE</formula>
    </cfRule>
    <cfRule type="expression" dxfId="407" priority="300">
      <formula>N129=FALSE</formula>
    </cfRule>
  </conditionalFormatting>
  <conditionalFormatting sqref="AD28:AD31 AD88:AD91 AD97:AD140 AD149:AD165">
    <cfRule type="expression" dxfId="406" priority="37">
      <formula>AND(M28=TRUE,N28=TRUE)</formula>
    </cfRule>
    <cfRule type="expression" dxfId="405" priority="38">
      <formula>M28=FALSE</formula>
    </cfRule>
    <cfRule type="expression" dxfId="404" priority="39">
      <formula>N28=FALSE</formula>
    </cfRule>
  </conditionalFormatting>
  <conditionalFormatting sqref="AD101:AD116 AD125:AD132 AD153:AD156 AD159:AD160">
    <cfRule type="expression" dxfId="403" priority="35">
      <formula>AND(M101=TRUE,N102=TRUE)</formula>
    </cfRule>
  </conditionalFormatting>
  <conditionalFormatting sqref="AF20:AG40 AF80:AG144">
    <cfRule type="containsText" dxfId="402" priority="536" operator="containsText" text="Review">
      <formula>NOT(ISERROR(SEARCH("Review",AF20)))</formula>
    </cfRule>
    <cfRule type="expression" dxfId="401" priority="537">
      <formula>AF20="OK"</formula>
    </cfRule>
  </conditionalFormatting>
  <conditionalFormatting sqref="AF24:AG24">
    <cfRule type="containsText" dxfId="400" priority="434" operator="containsText" text="Review">
      <formula>NOT(ISERROR(SEARCH("Review",AF24)))</formula>
    </cfRule>
    <cfRule type="expression" dxfId="399" priority="435">
      <formula>AF24="OK"</formula>
    </cfRule>
  </conditionalFormatting>
  <conditionalFormatting sqref="AF84:AG84">
    <cfRule type="containsText" dxfId="398" priority="419" operator="containsText" text="Review">
      <formula>NOT(ISERROR(SEARCH("Review",AF84)))</formula>
    </cfRule>
    <cfRule type="expression" dxfId="397" priority="420">
      <formula>AF84="OK"</formula>
    </cfRule>
  </conditionalFormatting>
  <conditionalFormatting sqref="AF105:AG105">
    <cfRule type="containsText" dxfId="396" priority="383" operator="containsText" text="Review">
      <formula>NOT(ISERROR(SEARCH("Review",AF105)))</formula>
    </cfRule>
    <cfRule type="expression" dxfId="395" priority="384">
      <formula>AF105="OK"</formula>
    </cfRule>
  </conditionalFormatting>
  <conditionalFormatting sqref="AF113:AG113">
    <cfRule type="containsText" dxfId="394" priority="335" operator="containsText" text="Review">
      <formula>NOT(ISERROR(SEARCH("Review",AF113)))</formula>
    </cfRule>
    <cfRule type="expression" dxfId="393" priority="336">
      <formula>AF113="OK"</formula>
    </cfRule>
  </conditionalFormatting>
  <conditionalFormatting sqref="AF129:AG129">
    <cfRule type="containsText" dxfId="392" priority="293" operator="containsText" text="Review">
      <formula>NOT(ISERROR(SEARCH("Review",AF129)))</formula>
    </cfRule>
    <cfRule type="expression" dxfId="391" priority="294">
      <formula>AF129="OK"</formula>
    </cfRule>
  </conditionalFormatting>
  <dataValidations count="5">
    <dataValidation type="list" allowBlank="1" showInputMessage="1" showErrorMessage="1" sqref="Y126 Y128 Y130 Y132 Y160" xr:uid="{00000000-0002-0000-0700-000000000000}">
      <formula1>"tCO2e/ MWh,% zero carbon generation"</formula1>
    </dataValidation>
    <dataValidation type="list" allowBlank="1" showInputMessage="1" showErrorMessage="1" sqref="D10:E12 D71:E71" xr:uid="{00000000-0002-0000-0700-000001000000}">
      <formula1>"All of segment, By sub-asset class, N/A"</formula1>
    </dataValidation>
    <dataValidation type="list" allowBlank="1" showInputMessage="1" showErrorMessage="1" sqref="D9:E9" xr:uid="{00000000-0002-0000-0700-000002000000}">
      <formula1>"By sector, By sub-asset class, N/A"</formula1>
    </dataValidation>
    <dataValidation type="list" allowBlank="1" showInputMessage="1" showErrorMessage="1" sqref="D70:E70 D72:E72" xr:uid="{00000000-0002-0000-0700-000003000000}">
      <formula1>"All of segment,By sub-asset class, By sector,N/A"</formula1>
    </dataValidation>
    <dataValidation type="list" allowBlank="1" showInputMessage="1" showErrorMessage="1" sqref="D69:E69" xr:uid="{00000000-0002-0000-0700-000004000000}">
      <formula1>"By sector,By sub-asset class,N/A"</formula1>
    </dataValidation>
  </dataValidation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1" tint="0.499984740745262"/>
    <outlinePr summaryBelow="0" summaryRight="0"/>
  </sheetPr>
  <dimension ref="A1:AK762"/>
  <sheetViews>
    <sheetView zoomScale="70" zoomScaleNormal="70" workbookViewId="0">
      <selection activeCell="D8" sqref="D8"/>
    </sheetView>
  </sheetViews>
  <sheetFormatPr baseColWidth="10" defaultColWidth="14.5" defaultRowHeight="134" customHeight="1" outlineLevelRow="3"/>
  <cols>
    <col min="1" max="1" width="15.6640625" style="62" customWidth="1"/>
    <col min="2" max="2" width="21.83203125" style="62" customWidth="1"/>
    <col min="3" max="3" width="34.83203125" style="62" customWidth="1"/>
    <col min="4" max="4" width="29.6640625" style="62" customWidth="1"/>
    <col min="5" max="6" width="21.6640625" style="62" customWidth="1"/>
    <col min="7" max="7" width="27.6640625" style="62" customWidth="1"/>
    <col min="8" max="8" width="21.5" style="62" customWidth="1"/>
    <col min="9" max="9" width="20.33203125" style="62" customWidth="1"/>
    <col min="10" max="10" width="18.5" style="62" customWidth="1"/>
    <col min="11" max="11" width="21.6640625" style="62" customWidth="1"/>
    <col min="12" max="12" width="19.6640625" style="62" customWidth="1"/>
    <col min="13" max="13" width="20.5" style="62" customWidth="1"/>
    <col min="14" max="14" width="14.6640625" style="62" customWidth="1"/>
    <col min="15" max="15" width="25.5" style="62" customWidth="1"/>
    <col min="16" max="16" width="23.6640625" style="62" customWidth="1"/>
    <col min="17" max="17" width="22.5" style="62" customWidth="1"/>
    <col min="18" max="18" width="21.83203125" style="62" customWidth="1"/>
    <col min="19" max="19" width="21" style="62" customWidth="1"/>
    <col min="20" max="20" width="21.5" style="62" customWidth="1"/>
    <col min="21" max="21" width="26" style="62" customWidth="1"/>
    <col min="22" max="22" width="20.5" style="62" customWidth="1"/>
    <col min="23" max="23" width="25.83203125" style="62" hidden="1" customWidth="1"/>
    <col min="24" max="24" width="21.6640625" style="113" hidden="1" customWidth="1"/>
    <col min="25" max="27" width="14.6640625" style="113" hidden="1" customWidth="1"/>
    <col min="28" max="16384" width="14.5" style="113"/>
  </cols>
  <sheetData>
    <row r="1" spans="1:37" s="109" customFormat="1" ht="30" customHeight="1">
      <c r="A1" s="861" t="s">
        <v>349</v>
      </c>
      <c r="B1" s="861"/>
      <c r="C1" s="861"/>
      <c r="D1" s="861"/>
      <c r="E1" s="861"/>
      <c r="F1" s="861"/>
      <c r="G1" s="861"/>
      <c r="H1" s="861"/>
      <c r="I1" s="861"/>
      <c r="J1" s="861"/>
      <c r="K1" s="861"/>
      <c r="L1" s="861"/>
      <c r="M1" s="861"/>
      <c r="N1" s="861"/>
      <c r="O1" s="861"/>
      <c r="P1" s="861"/>
      <c r="Q1" s="861"/>
      <c r="R1" s="861"/>
      <c r="S1" s="861"/>
      <c r="T1" s="861"/>
      <c r="U1" s="861"/>
      <c r="V1" s="861"/>
      <c r="W1" s="72"/>
      <c r="X1" s="996" t="s">
        <v>350</v>
      </c>
      <c r="Y1" s="996"/>
      <c r="Z1" s="996"/>
      <c r="AA1" s="996"/>
      <c r="AB1" s="996"/>
      <c r="AC1" s="996"/>
      <c r="AD1" s="996"/>
      <c r="AE1" s="996"/>
      <c r="AF1" s="996"/>
      <c r="AG1" s="996"/>
      <c r="AH1" s="996"/>
      <c r="AI1" s="996"/>
      <c r="AJ1" s="996"/>
      <c r="AK1" s="996"/>
    </row>
    <row r="2" spans="1:37" s="109" customFormat="1" ht="136.25" customHeight="1">
      <c r="A2" s="860" t="s">
        <v>351</v>
      </c>
      <c r="B2" s="860"/>
      <c r="C2" s="860"/>
      <c r="D2" s="860"/>
      <c r="E2" s="860"/>
      <c r="F2" s="860"/>
      <c r="G2" s="860"/>
      <c r="H2" s="860"/>
      <c r="I2" s="860"/>
      <c r="J2" s="860"/>
      <c r="K2" s="860"/>
      <c r="L2" s="860"/>
      <c r="M2" s="860"/>
      <c r="N2" s="860"/>
      <c r="O2" s="860"/>
      <c r="P2" s="860"/>
      <c r="Q2" s="860"/>
      <c r="R2" s="860"/>
      <c r="S2" s="860"/>
      <c r="T2" s="860"/>
      <c r="U2" s="860"/>
      <c r="V2" s="860"/>
      <c r="W2" s="17"/>
      <c r="X2" s="110"/>
      <c r="Y2" s="110"/>
      <c r="Z2" s="110"/>
      <c r="AA2" s="110"/>
    </row>
    <row r="3" spans="1:37" s="109" customFormat="1" ht="18">
      <c r="A3" s="463"/>
      <c r="B3" s="561"/>
      <c r="C3" s="561"/>
      <c r="D3" s="561"/>
      <c r="E3" s="561"/>
      <c r="F3" s="561"/>
      <c r="G3" s="561"/>
      <c r="H3" s="561"/>
      <c r="I3" s="561"/>
      <c r="J3" s="561"/>
      <c r="K3" s="561"/>
      <c r="L3" s="561"/>
      <c r="M3" s="561"/>
      <c r="N3" s="58"/>
      <c r="O3" s="561"/>
      <c r="P3" s="561"/>
      <c r="Q3" s="561"/>
      <c r="R3" s="561"/>
      <c r="S3" s="561"/>
      <c r="T3" s="561"/>
      <c r="U3" s="561"/>
      <c r="V3" s="561"/>
      <c r="W3" s="561"/>
      <c r="X3" s="111"/>
      <c r="Y3" s="111"/>
      <c r="Z3" s="111"/>
      <c r="AA3" s="111"/>
    </row>
    <row r="4" spans="1:37" ht="22.25" customHeight="1" collapsed="1">
      <c r="A4" s="862" t="s">
        <v>352</v>
      </c>
      <c r="B4" s="862"/>
      <c r="C4" s="862"/>
      <c r="D4" s="862"/>
      <c r="E4" s="862"/>
      <c r="F4" s="862"/>
      <c r="G4" s="862"/>
      <c r="H4" s="862"/>
      <c r="I4" s="862"/>
      <c r="J4" s="862"/>
      <c r="K4" s="862"/>
      <c r="L4" s="862"/>
      <c r="M4" s="862"/>
      <c r="N4" s="862"/>
      <c r="O4" s="862"/>
      <c r="P4" s="862"/>
      <c r="Q4" s="862"/>
      <c r="R4" s="862"/>
      <c r="S4" s="862"/>
      <c r="T4" s="862"/>
      <c r="U4" s="862"/>
      <c r="V4" s="862"/>
      <c r="W4" s="71"/>
      <c r="X4" s="112"/>
      <c r="Y4" s="112"/>
      <c r="Z4" s="112"/>
      <c r="AA4" s="112"/>
    </row>
    <row r="5" spans="1:37" ht="14.25" hidden="1" customHeight="1" outlineLevel="1">
      <c r="A5" s="19"/>
      <c r="B5" s="19"/>
      <c r="C5" s="19"/>
      <c r="D5" s="19"/>
      <c r="E5" s="19"/>
      <c r="F5" s="19"/>
      <c r="G5" s="19"/>
      <c r="H5" s="19"/>
      <c r="I5" s="19"/>
      <c r="J5" s="19"/>
      <c r="K5" s="19"/>
      <c r="L5" s="19"/>
      <c r="M5" s="19"/>
      <c r="N5" s="19"/>
      <c r="O5" s="19"/>
      <c r="P5" s="19"/>
      <c r="Q5" s="19"/>
      <c r="R5" s="19"/>
      <c r="S5" s="19"/>
      <c r="T5" s="19"/>
      <c r="U5" s="19"/>
      <c r="V5" s="19"/>
      <c r="W5" s="19"/>
      <c r="X5" s="114"/>
      <c r="Y5" s="114"/>
      <c r="Z5" s="114"/>
      <c r="AA5" s="114"/>
    </row>
    <row r="6" spans="1:37" ht="84" hidden="1" customHeight="1" outlineLevel="1">
      <c r="A6" s="19"/>
      <c r="B6" s="891" t="s">
        <v>353</v>
      </c>
      <c r="C6" s="891"/>
      <c r="D6" s="891"/>
      <c r="E6" s="891"/>
      <c r="F6" s="17"/>
      <c r="G6" s="891" t="s">
        <v>354</v>
      </c>
      <c r="H6" s="891"/>
      <c r="I6" s="891"/>
      <c r="J6" s="17"/>
      <c r="K6" s="995"/>
      <c r="L6" s="995"/>
      <c r="M6" s="995"/>
      <c r="N6" s="995"/>
      <c r="O6" s="995"/>
      <c r="P6" s="995"/>
      <c r="Q6" s="995"/>
      <c r="R6" s="995"/>
      <c r="S6" s="995"/>
      <c r="T6" s="17"/>
      <c r="U6" s="17"/>
      <c r="V6" s="17"/>
      <c r="W6" s="17"/>
      <c r="X6" s="110"/>
      <c r="Y6" s="110"/>
      <c r="Z6" s="110"/>
      <c r="AA6" s="110"/>
    </row>
    <row r="7" spans="1:37" ht="6" hidden="1" customHeight="1" outlineLevel="1">
      <c r="A7" s="19"/>
      <c r="B7" s="555"/>
      <c r="C7" s="555"/>
      <c r="D7" s="555"/>
      <c r="E7" s="17"/>
      <c r="F7" s="17"/>
      <c r="G7" s="17"/>
      <c r="H7" s="17"/>
      <c r="I7" s="17"/>
      <c r="J7" s="17"/>
      <c r="K7" s="17"/>
      <c r="L7" s="17"/>
      <c r="M7" s="17"/>
      <c r="N7" s="17"/>
      <c r="O7" s="17"/>
      <c r="P7" s="17"/>
      <c r="Q7" s="17"/>
      <c r="R7" s="17"/>
      <c r="S7" s="17"/>
      <c r="T7" s="17"/>
      <c r="U7" s="17"/>
      <c r="V7" s="17"/>
      <c r="W7" s="17"/>
      <c r="X7" s="110"/>
      <c r="Y7" s="110"/>
      <c r="Z7" s="110"/>
      <c r="AA7" s="110"/>
    </row>
    <row r="8" spans="1:37" ht="37.5" hidden="1" customHeight="1" outlineLevel="1">
      <c r="A8" s="15"/>
      <c r="B8" s="887" t="s">
        <v>801</v>
      </c>
      <c r="C8" s="887"/>
      <c r="D8" s="314"/>
      <c r="E8" s="994" t="str">
        <f>IF(AND($D$8="Climate-Alignment Target Only",$D$9="No regional differentiation"),"Note: Start in row 13",IF(AND($D$8="Climate-Alignment Target Only",$D$9="Regional differentiation"),"Note: Start in row 25",IF(AND($D$8="Mix of Climate-Alignment and Sector Targets",$D$9="No regional differentiation"),"Note: Start in row 44",IF(AND($D$8="Mix of Climate-Alignment and Sector Targets",$D$9="Regional differentiation"),"Note: Start in row 85",""))))</f>
        <v/>
      </c>
      <c r="F8" s="3"/>
      <c r="G8" s="23" t="s">
        <v>803</v>
      </c>
      <c r="H8" s="23" t="s">
        <v>804</v>
      </c>
      <c r="I8" s="34" t="s">
        <v>805</v>
      </c>
      <c r="J8" s="15"/>
      <c r="K8" s="32"/>
      <c r="L8" s="32"/>
      <c r="M8" s="33"/>
      <c r="N8" s="32"/>
      <c r="O8" s="32"/>
      <c r="P8" s="32"/>
      <c r="Q8" s="32"/>
      <c r="R8" s="32"/>
      <c r="S8" s="15"/>
      <c r="T8" s="2"/>
      <c r="U8" s="2"/>
      <c r="V8" s="2"/>
      <c r="W8" s="2"/>
      <c r="X8" s="115"/>
      <c r="Y8" s="115"/>
      <c r="Z8" s="116"/>
      <c r="AA8" s="116"/>
    </row>
    <row r="9" spans="1:37" ht="42" hidden="1" customHeight="1" outlineLevel="1">
      <c r="A9" s="15"/>
      <c r="B9" s="887" t="s">
        <v>802</v>
      </c>
      <c r="C9" s="887"/>
      <c r="D9" s="314"/>
      <c r="E9" s="994"/>
      <c r="F9" s="15"/>
      <c r="G9" s="128" t="str">
        <f>IF($D8="","",'Financial activity types '!$C$11)</f>
        <v/>
      </c>
      <c r="H9" s="128" t="str">
        <f>IF($D8="","",'Financial activity types '!$C$13)</f>
        <v/>
      </c>
      <c r="I9" s="128" t="str">
        <f>IF($D8="","",'Financial activity types '!$C$7)</f>
        <v/>
      </c>
      <c r="J9" s="15"/>
      <c r="K9" s="15"/>
      <c r="L9" s="15"/>
      <c r="M9" s="15"/>
      <c r="N9" s="15"/>
      <c r="O9" s="15"/>
      <c r="P9" s="15"/>
      <c r="Q9" s="15"/>
      <c r="R9" s="15"/>
      <c r="S9" s="15"/>
      <c r="T9" s="2"/>
      <c r="U9" s="2"/>
      <c r="V9" s="2"/>
      <c r="W9" s="2"/>
      <c r="X9" s="115"/>
      <c r="Y9" s="115"/>
      <c r="Z9" s="116"/>
      <c r="AA9" s="116"/>
    </row>
    <row r="10" spans="1:37" ht="15" hidden="1" customHeight="1" outlineLevel="1">
      <c r="G10" s="28"/>
      <c r="H10" s="28"/>
      <c r="I10" s="28"/>
    </row>
    <row r="11" spans="1:37" ht="22.25" hidden="1" customHeight="1" outlineLevel="1" collapsed="1">
      <c r="A11" s="852" t="s">
        <v>355</v>
      </c>
      <c r="B11" s="852"/>
      <c r="C11" s="852"/>
      <c r="D11" s="852"/>
      <c r="E11" s="852"/>
      <c r="F11" s="852"/>
      <c r="G11" s="852"/>
      <c r="H11" s="852"/>
      <c r="I11" s="852"/>
      <c r="J11" s="852"/>
      <c r="K11" s="852"/>
      <c r="L11" s="852"/>
      <c r="M11" s="852"/>
      <c r="N11" s="852"/>
      <c r="O11" s="852"/>
      <c r="P11" s="852"/>
      <c r="Q11" s="852"/>
      <c r="R11" s="852"/>
      <c r="S11" s="852"/>
      <c r="T11" s="852"/>
      <c r="U11" s="852"/>
      <c r="V11" s="852"/>
      <c r="W11" s="71"/>
      <c r="X11" s="112"/>
      <c r="Y11" s="112"/>
      <c r="Z11" s="112"/>
      <c r="AA11" s="112"/>
    </row>
    <row r="12" spans="1:37" s="117" customFormat="1" ht="6.75" hidden="1" customHeight="1" outlineLevel="2">
      <c r="A12" s="63"/>
      <c r="B12" s="63"/>
      <c r="C12" s="63"/>
      <c r="D12" s="561"/>
      <c r="E12" s="889"/>
      <c r="F12" s="889"/>
      <c r="G12" s="561"/>
      <c r="H12" s="561"/>
      <c r="I12" s="561"/>
      <c r="J12" s="561"/>
      <c r="K12" s="561"/>
      <c r="L12" s="561"/>
      <c r="M12" s="561"/>
      <c r="N12" s="561"/>
      <c r="O12" s="561"/>
      <c r="P12" s="561"/>
      <c r="Q12" s="561"/>
      <c r="R12" s="561"/>
      <c r="S12" s="561"/>
      <c r="T12" s="561"/>
      <c r="U12" s="561"/>
      <c r="V12" s="561"/>
      <c r="W12" s="63"/>
    </row>
    <row r="13" spans="1:37" ht="15.75" hidden="1" customHeight="1" outlineLevel="2">
      <c r="A13" s="867" t="s">
        <v>356</v>
      </c>
      <c r="B13" s="867"/>
      <c r="C13" s="867"/>
      <c r="D13" s="867"/>
      <c r="E13" s="556"/>
      <c r="F13" s="556"/>
      <c r="G13" s="556"/>
      <c r="H13" s="556"/>
      <c r="I13" s="556"/>
      <c r="J13" s="556"/>
      <c r="K13" s="556"/>
      <c r="L13" s="556"/>
      <c r="M13" s="556"/>
      <c r="N13" s="556"/>
      <c r="O13" s="556"/>
      <c r="P13" s="556"/>
      <c r="Q13" s="556"/>
      <c r="R13" s="556"/>
      <c r="S13" s="556"/>
      <c r="T13" s="556"/>
      <c r="U13" s="556"/>
      <c r="V13" s="556"/>
      <c r="W13" s="19"/>
      <c r="X13" s="114"/>
      <c r="Y13" s="114"/>
      <c r="Z13" s="114"/>
      <c r="AA13" s="114"/>
    </row>
    <row r="14" spans="1:37" ht="16" hidden="1" outlineLevel="2" collapsed="1">
      <c r="A14" s="19"/>
      <c r="B14" s="19"/>
      <c r="C14" s="19"/>
      <c r="D14" s="19"/>
      <c r="E14" s="19"/>
      <c r="F14" s="19"/>
      <c r="G14" s="19"/>
      <c r="H14" s="19"/>
      <c r="I14" s="19"/>
      <c r="J14" s="19"/>
      <c r="K14" s="19"/>
      <c r="L14" s="19"/>
      <c r="M14" s="19"/>
      <c r="N14" s="19"/>
      <c r="O14" s="19"/>
      <c r="P14" s="19"/>
      <c r="Q14" s="19"/>
      <c r="R14" s="19"/>
      <c r="S14" s="19"/>
      <c r="T14" s="19"/>
      <c r="U14" s="19"/>
      <c r="V14" s="19"/>
      <c r="W14" s="19"/>
      <c r="X14" s="114"/>
      <c r="Y14" s="114"/>
      <c r="Z14" s="114"/>
      <c r="AA14" s="114"/>
    </row>
    <row r="15" spans="1:37" ht="67.5" hidden="1" customHeight="1" outlineLevel="3">
      <c r="A15" s="126"/>
      <c r="B15" s="127"/>
      <c r="C15" s="15"/>
      <c r="D15" s="15"/>
      <c r="E15" s="15"/>
      <c r="F15" s="15"/>
      <c r="G15" s="15"/>
      <c r="H15" s="15"/>
      <c r="I15" s="15"/>
      <c r="J15" s="15"/>
      <c r="K15" s="15"/>
      <c r="L15" s="2"/>
      <c r="M15" s="859" t="s">
        <v>357</v>
      </c>
      <c r="N15" s="859"/>
      <c r="O15" s="859"/>
      <c r="P15" s="859"/>
      <c r="Q15" s="859"/>
      <c r="R15" s="859"/>
      <c r="S15" s="859"/>
      <c r="T15" s="859"/>
      <c r="U15" s="859"/>
      <c r="V15" s="859"/>
      <c r="AC15" s="972"/>
      <c r="AD15" s="972"/>
      <c r="AE15" s="972"/>
      <c r="AF15" s="972"/>
      <c r="AI15" s="113" t="s">
        <v>358</v>
      </c>
      <c r="AJ15" s="113" t="s">
        <v>359</v>
      </c>
    </row>
    <row r="16" spans="1:37" ht="12.75" hidden="1" customHeight="1" outlineLevel="3">
      <c r="AC16" s="118" t="s">
        <v>360</v>
      </c>
      <c r="AD16" s="118" t="s">
        <v>361</v>
      </c>
      <c r="AE16" s="118" t="s">
        <v>362</v>
      </c>
      <c r="AF16" s="118" t="s">
        <v>363</v>
      </c>
    </row>
    <row r="17" spans="1:36" ht="34.5" hidden="1" customHeight="1" outlineLevel="3">
      <c r="A17" s="885" t="s">
        <v>99</v>
      </c>
      <c r="B17" s="885"/>
      <c r="C17" s="912" t="s">
        <v>364</v>
      </c>
      <c r="D17" s="885" t="s">
        <v>365</v>
      </c>
      <c r="E17" s="885"/>
      <c r="F17" s="885"/>
      <c r="G17" s="885"/>
      <c r="H17" s="885"/>
      <c r="I17" s="885"/>
      <c r="J17" s="885"/>
      <c r="K17" s="885"/>
      <c r="L17" s="798" t="s">
        <v>809</v>
      </c>
      <c r="M17" s="834" t="s">
        <v>366</v>
      </c>
      <c r="N17" s="868"/>
      <c r="O17" s="868"/>
      <c r="P17" s="868"/>
      <c r="Q17" s="868"/>
      <c r="R17" s="835"/>
      <c r="S17" s="885" t="s">
        <v>367</v>
      </c>
      <c r="T17" s="885"/>
      <c r="U17" s="885"/>
      <c r="V17" s="885"/>
      <c r="AB17" s="113" t="s">
        <v>368</v>
      </c>
      <c r="AC17" s="113" t="s">
        <v>113</v>
      </c>
      <c r="AD17" s="119" t="s">
        <v>369</v>
      </c>
      <c r="AE17" s="113">
        <v>2035</v>
      </c>
      <c r="AF17" s="113">
        <v>0.95</v>
      </c>
    </row>
    <row r="18" spans="1:36" ht="52.5" hidden="1" customHeight="1" outlineLevel="3">
      <c r="A18" s="885"/>
      <c r="B18" s="885"/>
      <c r="C18" s="912"/>
      <c r="D18" s="36" t="s">
        <v>106</v>
      </c>
      <c r="E18" s="554" t="s">
        <v>101</v>
      </c>
      <c r="F18" s="554" t="s">
        <v>102</v>
      </c>
      <c r="G18" s="558" t="s">
        <v>103</v>
      </c>
      <c r="H18" s="558" t="s">
        <v>104</v>
      </c>
      <c r="I18" s="554" t="s">
        <v>105</v>
      </c>
      <c r="J18" s="798" t="s">
        <v>807</v>
      </c>
      <c r="K18" s="798" t="s">
        <v>808</v>
      </c>
      <c r="L18" s="798"/>
      <c r="M18" s="885" t="s">
        <v>810</v>
      </c>
      <c r="N18" s="798" t="s">
        <v>811</v>
      </c>
      <c r="O18" s="798" t="s">
        <v>812</v>
      </c>
      <c r="P18" s="798" t="s">
        <v>813</v>
      </c>
      <c r="Q18" s="869" t="s">
        <v>814</v>
      </c>
      <c r="R18" s="870"/>
      <c r="S18" s="885" t="s">
        <v>810</v>
      </c>
      <c r="T18" s="885" t="s">
        <v>811</v>
      </c>
      <c r="U18" s="885" t="s">
        <v>815</v>
      </c>
      <c r="V18" s="798" t="s">
        <v>813</v>
      </c>
      <c r="AB18" s="113" t="s">
        <v>371</v>
      </c>
      <c r="AC18" s="113" t="s">
        <v>113</v>
      </c>
      <c r="AD18" s="119" t="s">
        <v>372</v>
      </c>
      <c r="AE18" s="113">
        <v>2035</v>
      </c>
      <c r="AF18" s="113">
        <v>0.85</v>
      </c>
    </row>
    <row r="19" spans="1:36" ht="47.25" hidden="1" customHeight="1" outlineLevel="3">
      <c r="A19" s="885"/>
      <c r="B19" s="885"/>
      <c r="C19" s="912"/>
      <c r="D19" s="39" t="s">
        <v>806</v>
      </c>
      <c r="E19" s="928" t="s">
        <v>806</v>
      </c>
      <c r="F19" s="929"/>
      <c r="G19" s="929"/>
      <c r="H19" s="929"/>
      <c r="I19" s="929"/>
      <c r="J19" s="798"/>
      <c r="K19" s="798"/>
      <c r="L19" s="798"/>
      <c r="M19" s="885"/>
      <c r="N19" s="798"/>
      <c r="O19" s="798"/>
      <c r="P19" s="798"/>
      <c r="Q19" s="871"/>
      <c r="R19" s="872"/>
      <c r="S19" s="885"/>
      <c r="T19" s="885"/>
      <c r="U19" s="885"/>
      <c r="V19" s="798"/>
      <c r="AB19" s="113" t="s">
        <v>373</v>
      </c>
      <c r="AC19" s="113" t="s">
        <v>121</v>
      </c>
      <c r="AD19" s="119" t="s">
        <v>369</v>
      </c>
      <c r="AE19" s="113">
        <v>2040</v>
      </c>
      <c r="AF19" s="113">
        <v>0.95</v>
      </c>
    </row>
    <row r="20" spans="1:36" ht="59" hidden="1" customHeight="1" outlineLevel="3">
      <c r="A20" s="954" t="s">
        <v>113</v>
      </c>
      <c r="B20" s="954"/>
      <c r="C20" s="901" t="s">
        <v>356</v>
      </c>
      <c r="D20" s="557" t="str" cm="1">
        <f t="array" ref="D20">IF($G$9="","",SUMPRODUCT(('LND Segmentation'!$M$20:$M$42=TRUE)*($A20='LND Segmentation'!$AK$20:$AK$42)*('Climate-Alignment Target'!D$18='LND Segmentation'!$Q$19:$V$19)*('LND Segmentation'!$Q$20:$V$42)))</f>
        <v/>
      </c>
      <c r="E20" s="557" t="str" cm="1">
        <f t="array" ref="E20">IF($G$9="","",SUMPRODUCT(('LND Segmentation'!$M$20:$M$42=TRUE)*($A20='LND Segmentation'!$AK$20:$AK$42)*('Climate-Alignment Target'!E$18='LND Segmentation'!$Q$19:$V$19)*('LND Segmentation'!$Q$20:$V$42)))</f>
        <v/>
      </c>
      <c r="F20" s="557" t="str" cm="1">
        <f t="array" ref="F20">IF($G$9="","",SUMPRODUCT(('LND Segmentation'!$M$20:$M$42=TRUE)*($A20='LND Segmentation'!$AK$20:$AK$42)*('Climate-Alignment Target'!F$18='LND Segmentation'!$Q$19:$V$19)*('LND Segmentation'!$Q$20:$V$42)))</f>
        <v/>
      </c>
      <c r="G20" s="557" t="str" cm="1">
        <f t="array" ref="G20">IF($G$9="","",SUMPRODUCT(('LND Segmentation'!$M$20:$M$42=TRUE)*($A20='LND Segmentation'!$AK$20:$AK$42)*('Climate-Alignment Target'!G$18='LND Segmentation'!$Q$19:$V$19)*('LND Segmentation'!$Q$20:$V$42)))</f>
        <v/>
      </c>
      <c r="H20" s="557" t="str" cm="1">
        <f t="array" ref="H20">IF($G$9="","",SUMPRODUCT(('LND Segmentation'!$M$20:$M$42=TRUE)*($A20='LND Segmentation'!$AK$20:$AK$42)*('Climate-Alignment Target'!H$18='LND Segmentation'!$Q$19:$V$19)*('LND Segmentation'!$Q$20:$V$42)))</f>
        <v/>
      </c>
      <c r="I20" s="557" t="str" cm="1">
        <f t="array" ref="I20">IF($G$9="","",SUMPRODUCT(('LND Segmentation'!$M$20:$M$42=TRUE)*($A20='LND Segmentation'!$AK$20:$AK$42)*('Climate-Alignment Target'!I$18='LND Segmentation'!$Q$19:$V$19)*('LND Segmentation'!$Q$20:$V$42)))</f>
        <v/>
      </c>
      <c r="J20" s="557">
        <f t="shared" ref="J20:J23" si="0">IF(D20=0,"",SUM(E20:I20))</f>
        <v>0</v>
      </c>
      <c r="K20" s="557" t="e">
        <f>IF(D20=0,"",IF(D20-J20=0,"OK","Review financial exposure"))</f>
        <v>#VALUE!</v>
      </c>
      <c r="L20" s="562">
        <f>IF(SUM(E20:I20)=0,0,(G20+H20+I20)/(SUM(E20:I20)))</f>
        <v>0</v>
      </c>
      <c r="M20" s="915"/>
      <c r="N20" s="563"/>
      <c r="O20" s="562" t="str">
        <f>IF($M$20="","",IF(D20=0,"",IF(L20&gt;=$Z20,L20,(L20+($Z20-L20)/($Y20-$I$9)*($M$20-$I$9)))))</f>
        <v/>
      </c>
      <c r="P20" s="560" t="str">
        <f>IF(N20="","",IF(N20-O20&gt;=0,"OK","Minimum ambition not met, please increase ambition"))</f>
        <v/>
      </c>
      <c r="Q20" s="1003" t="str">
        <f>IFERROR(IF(M20="","",SUMPRODUCT(J20:J23,N20:N23)/SUM(J20:J23)),"")</f>
        <v/>
      </c>
      <c r="R20" s="1004"/>
      <c r="S20" s="955"/>
      <c r="T20" s="986"/>
      <c r="U20" s="897" t="str">
        <f>IF(S20="","",95%)</f>
        <v/>
      </c>
      <c r="V20" s="898" t="str">
        <f>IF(T20="","",IF(T20-U20&gt;=0,"OK","Minimum ambition not met, please increase ambition"))</f>
        <v/>
      </c>
      <c r="X20" s="113" t="s">
        <v>368</v>
      </c>
      <c r="Y20" s="113">
        <f>_xlfn.XLOOKUP($X20,$AB$17:$AB$24,AE$17:AE$24,0,0)</f>
        <v>2035</v>
      </c>
      <c r="Z20" s="113">
        <f>_xlfn.XLOOKUP($X20,$AB$17:$AB$24,AF$17:AF$24,0,0)</f>
        <v>0.95</v>
      </c>
      <c r="AB20" s="113" t="s">
        <v>374</v>
      </c>
      <c r="AC20" s="113" t="s">
        <v>121</v>
      </c>
      <c r="AD20" s="119" t="s">
        <v>372</v>
      </c>
      <c r="AE20" s="113">
        <v>2040</v>
      </c>
      <c r="AF20" s="113">
        <v>0.85</v>
      </c>
      <c r="AI20" s="120" t="s">
        <v>375</v>
      </c>
    </row>
    <row r="21" spans="1:36" ht="59" hidden="1" customHeight="1" outlineLevel="3">
      <c r="A21" s="954" t="s">
        <v>121</v>
      </c>
      <c r="B21" s="954"/>
      <c r="C21" s="901"/>
      <c r="D21" s="557" t="str" cm="1">
        <f t="array" ref="D21">IF($G$9="","",SUMPRODUCT(('LND Segmentation'!$M$20:$M$42=TRUE)*($A21='LND Segmentation'!$AK$20:$AK$42)*('Climate-Alignment Target'!D$18='LND Segmentation'!$Q$19:$V$19)*('LND Segmentation'!$Q$20:$V$42)))</f>
        <v/>
      </c>
      <c r="E21" s="557" t="str" cm="1">
        <f t="array" ref="E21">IF($G$9="","",SUMPRODUCT(('LND Segmentation'!$M$20:$M$42=TRUE)*($A21='LND Segmentation'!$AK$20:$AK$42)*('Climate-Alignment Target'!E$18='LND Segmentation'!$Q$19:$V$19)*('LND Segmentation'!$Q$20:$V$42)))</f>
        <v/>
      </c>
      <c r="F21" s="557" t="str" cm="1">
        <f t="array" ref="F21">IF($G$9="","",SUMPRODUCT(('LND Segmentation'!$M$20:$M$42=TRUE)*($A21='LND Segmentation'!$AK$20:$AK$42)*('Climate-Alignment Target'!F$18='LND Segmentation'!$Q$19:$V$19)*('LND Segmentation'!$Q$20:$V$42)))</f>
        <v/>
      </c>
      <c r="G21" s="557" t="str" cm="1">
        <f t="array" ref="G21">IF($G$9="","",SUMPRODUCT(('LND Segmentation'!$M$20:$M$42=TRUE)*($A21='LND Segmentation'!$AK$20:$AK$42)*('Climate-Alignment Target'!G$18='LND Segmentation'!$Q$19:$V$19)*('LND Segmentation'!$Q$20:$V$42)))</f>
        <v/>
      </c>
      <c r="H21" s="557" t="str" cm="1">
        <f t="array" ref="H21">IF($G$9="","",SUMPRODUCT(('LND Segmentation'!$M$20:$M$42=TRUE)*($A21='LND Segmentation'!$AK$20:$AK$42)*('Climate-Alignment Target'!H$18='LND Segmentation'!$Q$19:$V$19)*('LND Segmentation'!$Q$20:$V$42)))</f>
        <v/>
      </c>
      <c r="I21" s="557" t="str" cm="1">
        <f t="array" ref="I21">IF($G$9="","",SUMPRODUCT(('LND Segmentation'!$M$20:$M$42=TRUE)*($A21='LND Segmentation'!$AK$20:$AK$42)*('Climate-Alignment Target'!I$18='LND Segmentation'!$Q$19:$V$19)*('LND Segmentation'!$Q$20:$V$42)))</f>
        <v/>
      </c>
      <c r="J21" s="557">
        <f t="shared" si="0"/>
        <v>0</v>
      </c>
      <c r="K21" s="557" t="e">
        <f t="shared" ref="K21:K23" si="1">IF(D21=0,"",IF(D21-J21=0,"OK","Review financial exposure"))</f>
        <v>#VALUE!</v>
      </c>
      <c r="L21" s="562">
        <f>IF(SUM(E21:I21)=0,0,(G21+H21+I21)/(SUM(E21:I21)))</f>
        <v>0</v>
      </c>
      <c r="M21" s="915"/>
      <c r="N21" s="563"/>
      <c r="O21" s="562" t="str">
        <f t="shared" ref="O21:O23" si="2">IF($M$20="","",IF(D21=0,"",IF(L21&gt;=$Z21,L21,(L21+($Z21-L21)/($Y21-$I$9)*($M$20-$I$9)))))</f>
        <v/>
      </c>
      <c r="P21" s="560" t="str">
        <f>IF(N21="","",IF(N21-O21&gt;=0,"OK","Minimum ambition not met, please increase ambition"))</f>
        <v/>
      </c>
      <c r="Q21" s="1005"/>
      <c r="R21" s="1006"/>
      <c r="S21" s="956"/>
      <c r="T21" s="986"/>
      <c r="U21" s="897"/>
      <c r="V21" s="898"/>
      <c r="X21" s="113" t="s">
        <v>373</v>
      </c>
      <c r="Y21" s="113">
        <f t="shared" ref="Y21:Y23" si="3">_xlfn.XLOOKUP($X21,$AB$17:$AB$24,AE$17:AE$24,0,0)</f>
        <v>2040</v>
      </c>
      <c r="Z21" s="113">
        <f t="shared" ref="Z21:Z23" si="4">_xlfn.XLOOKUP($X21,$AB$17:$AB$24,AF$17:AF$24,0,0)</f>
        <v>0.95</v>
      </c>
      <c r="AB21" s="113" t="s">
        <v>376</v>
      </c>
      <c r="AC21" s="113" t="s">
        <v>130</v>
      </c>
      <c r="AD21" s="119" t="s">
        <v>369</v>
      </c>
      <c r="AE21" s="113">
        <v>2040</v>
      </c>
      <c r="AF21" s="113">
        <v>0.95</v>
      </c>
      <c r="AI21" s="120"/>
    </row>
    <row r="22" spans="1:36" ht="59" hidden="1" customHeight="1" outlineLevel="3">
      <c r="A22" s="954" t="s">
        <v>130</v>
      </c>
      <c r="B22" s="954"/>
      <c r="C22" s="901"/>
      <c r="D22" s="557" t="str" cm="1">
        <f t="array" ref="D22">IF($G$9="","",SUMPRODUCT(('LND Segmentation'!$M$20:$M$42=TRUE)*($A22='LND Segmentation'!$AK$20:$AK$42)*('Climate-Alignment Target'!D$18='LND Segmentation'!$Q$19:$V$19)*('LND Segmentation'!$Q$20:$V$42)))</f>
        <v/>
      </c>
      <c r="E22" s="557" t="str" cm="1">
        <f t="array" ref="E22">IF($G$9="","",SUMPRODUCT(('LND Segmentation'!$M$20:$M$42=TRUE)*($A22='LND Segmentation'!$AK$20:$AK$42)*('Climate-Alignment Target'!E$18='LND Segmentation'!$Q$19:$V$19)*('LND Segmentation'!$Q$20:$V$42)))</f>
        <v/>
      </c>
      <c r="F22" s="557" t="str" cm="1">
        <f t="array" ref="F22">IF($G$9="","",SUMPRODUCT(('LND Segmentation'!$M$20:$M$42=TRUE)*($A22='LND Segmentation'!$AK$20:$AK$42)*('Climate-Alignment Target'!F$18='LND Segmentation'!$Q$19:$V$19)*('LND Segmentation'!$Q$20:$V$42)))</f>
        <v/>
      </c>
      <c r="G22" s="557" t="str" cm="1">
        <f t="array" ref="G22">IF($G$9="","",SUMPRODUCT(('LND Segmentation'!$M$20:$M$42=TRUE)*($A22='LND Segmentation'!$AK$20:$AK$42)*('Climate-Alignment Target'!G$18='LND Segmentation'!$Q$19:$V$19)*('LND Segmentation'!$Q$20:$V$42)))</f>
        <v/>
      </c>
      <c r="H22" s="557" t="str" cm="1">
        <f t="array" ref="H22">IF($G$9="","",SUMPRODUCT(('LND Segmentation'!$M$20:$M$42=TRUE)*($A22='LND Segmentation'!$AK$20:$AK$42)*('Climate-Alignment Target'!H$18='LND Segmentation'!$Q$19:$V$19)*('LND Segmentation'!$Q$20:$V$42)))</f>
        <v/>
      </c>
      <c r="I22" s="557" t="str" cm="1">
        <f t="array" ref="I22">IF($G$9="","",SUMPRODUCT(('LND Segmentation'!$M$20:$M$42=TRUE)*($A22='LND Segmentation'!$AK$20:$AK$42)*('Climate-Alignment Target'!I$18='LND Segmentation'!$Q$19:$V$19)*('LND Segmentation'!$Q$20:$V$42)))</f>
        <v/>
      </c>
      <c r="J22" s="557">
        <f t="shared" si="0"/>
        <v>0</v>
      </c>
      <c r="K22" s="557" t="e">
        <f t="shared" si="1"/>
        <v>#VALUE!</v>
      </c>
      <c r="L22" s="562">
        <f>IF(SUM(E22:I22)=0,0,(G22+H22+I22)/(SUM(E22:I22)))</f>
        <v>0</v>
      </c>
      <c r="M22" s="915"/>
      <c r="N22" s="563"/>
      <c r="O22" s="562" t="str">
        <f t="shared" si="2"/>
        <v/>
      </c>
      <c r="P22" s="560" t="str">
        <f>IF(N22="","",IF(N22-O22&gt;=0,"OK","Minimum ambition not met, please increase ambition"))</f>
        <v/>
      </c>
      <c r="Q22" s="1005"/>
      <c r="R22" s="1006"/>
      <c r="S22" s="956"/>
      <c r="T22" s="986"/>
      <c r="U22" s="897"/>
      <c r="V22" s="898"/>
      <c r="X22" s="113" t="s">
        <v>376</v>
      </c>
      <c r="Y22" s="113">
        <f t="shared" si="3"/>
        <v>2040</v>
      </c>
      <c r="Z22" s="113">
        <f t="shared" si="4"/>
        <v>0.95</v>
      </c>
      <c r="AB22" s="113" t="s">
        <v>377</v>
      </c>
      <c r="AC22" s="113" t="s">
        <v>130</v>
      </c>
      <c r="AD22" s="119" t="s">
        <v>372</v>
      </c>
      <c r="AE22" s="113">
        <v>2040</v>
      </c>
      <c r="AF22" s="113">
        <v>0.85</v>
      </c>
      <c r="AI22" s="120"/>
    </row>
    <row r="23" spans="1:36" ht="59" hidden="1" customHeight="1" outlineLevel="3">
      <c r="A23" s="954" t="s">
        <v>136</v>
      </c>
      <c r="B23" s="954"/>
      <c r="C23" s="901"/>
      <c r="D23" s="557" t="str" cm="1">
        <f t="array" ref="D23">IF($G$9="","",SUMPRODUCT(('LND Segmentation'!$M$20:$M$42=TRUE)*($A23='LND Segmentation'!$AK$20:$AK$42)*('Climate-Alignment Target'!D$18='LND Segmentation'!$Q$19:$V$19)*('LND Segmentation'!$Q$20:$V$42)))</f>
        <v/>
      </c>
      <c r="E23" s="557" t="str" cm="1">
        <f t="array" ref="E23">IF($G$9="","",SUMPRODUCT(('LND Segmentation'!$M$20:$M$42=TRUE)*($A23='LND Segmentation'!$AK$20:$AK$42)*('Climate-Alignment Target'!E$18='LND Segmentation'!$Q$19:$V$19)*('LND Segmentation'!$Q$20:$V$42)))</f>
        <v/>
      </c>
      <c r="F23" s="557" t="str" cm="1">
        <f t="array" ref="F23">IF($G$9="","",SUMPRODUCT(('LND Segmentation'!$M$20:$M$42=TRUE)*($A23='LND Segmentation'!$AK$20:$AK$42)*('Climate-Alignment Target'!F$18='LND Segmentation'!$Q$19:$V$19)*('LND Segmentation'!$Q$20:$V$42)))</f>
        <v/>
      </c>
      <c r="G23" s="557" t="str" cm="1">
        <f t="array" ref="G23">IF($G$9="","",SUMPRODUCT(('LND Segmentation'!$M$20:$M$42=TRUE)*($A23='LND Segmentation'!$AK$20:$AK$42)*('Climate-Alignment Target'!G$18='LND Segmentation'!$Q$19:$V$19)*('LND Segmentation'!$Q$20:$V$42)))</f>
        <v/>
      </c>
      <c r="H23" s="557" t="str" cm="1">
        <f t="array" ref="H23">IF($G$9="","",SUMPRODUCT(('LND Segmentation'!$M$20:$M$42=TRUE)*($A23='LND Segmentation'!$AK$20:$AK$42)*('Climate-Alignment Target'!H$18='LND Segmentation'!$Q$19:$V$19)*('LND Segmentation'!$Q$20:$V$42)))</f>
        <v/>
      </c>
      <c r="I23" s="557" t="str" cm="1">
        <f t="array" ref="I23">IF($G$9="","",SUMPRODUCT(('LND Segmentation'!$M$20:$M$42=TRUE)*($A23='LND Segmentation'!$AK$20:$AK$42)*('Climate-Alignment Target'!I$18='LND Segmentation'!$Q$19:$V$19)*('LND Segmentation'!$Q$20:$V$42)))</f>
        <v/>
      </c>
      <c r="J23" s="557">
        <f t="shared" si="0"/>
        <v>0</v>
      </c>
      <c r="K23" s="557" t="e">
        <f t="shared" si="1"/>
        <v>#VALUE!</v>
      </c>
      <c r="L23" s="562">
        <f>IF(SUM(E23:I23)=0,0,(G23+H23+I23)/(SUM(E23:I23)))</f>
        <v>0</v>
      </c>
      <c r="M23" s="915"/>
      <c r="N23" s="563"/>
      <c r="O23" s="562" t="str">
        <f t="shared" si="2"/>
        <v/>
      </c>
      <c r="P23" s="560" t="str">
        <f>IF(N23="","",IF(N23-O23&gt;=0,"OK","Minimum ambition not met, please increase ambition"))</f>
        <v/>
      </c>
      <c r="Q23" s="1007"/>
      <c r="R23" s="1008"/>
      <c r="S23" s="956"/>
      <c r="T23" s="986"/>
      <c r="U23" s="897"/>
      <c r="V23" s="898"/>
      <c r="X23" s="113" t="s">
        <v>378</v>
      </c>
      <c r="Y23" s="113">
        <f t="shared" si="3"/>
        <v>2050</v>
      </c>
      <c r="Z23" s="113">
        <f t="shared" si="4"/>
        <v>0.95</v>
      </c>
      <c r="AB23" s="113" t="s">
        <v>378</v>
      </c>
      <c r="AC23" s="113" t="s">
        <v>136</v>
      </c>
      <c r="AD23" s="119" t="s">
        <v>369</v>
      </c>
      <c r="AE23" s="113">
        <v>2050</v>
      </c>
      <c r="AF23" s="113">
        <v>0.95</v>
      </c>
    </row>
    <row r="24" spans="1:36" ht="27.75" hidden="1" customHeight="1" outlineLevel="2">
      <c r="A24" s="315"/>
      <c r="B24" s="315"/>
      <c r="C24" s="316"/>
      <c r="D24" s="317"/>
      <c r="E24" s="318"/>
      <c r="F24" s="319"/>
      <c r="G24" s="319"/>
      <c r="H24" s="319"/>
      <c r="I24" s="319"/>
      <c r="J24" s="319"/>
      <c r="K24" s="319"/>
      <c r="L24" s="319"/>
      <c r="M24" s="319"/>
      <c r="N24" s="320"/>
      <c r="O24" s="318"/>
      <c r="P24" s="320"/>
      <c r="Q24" s="320"/>
      <c r="R24" s="320"/>
      <c r="S24" s="16"/>
      <c r="T24" s="321"/>
      <c r="U24" s="322"/>
      <c r="V24" s="320"/>
      <c r="W24" s="320"/>
      <c r="X24" s="323"/>
      <c r="AB24" s="113" t="s">
        <v>379</v>
      </c>
      <c r="AC24" s="113" t="s">
        <v>136</v>
      </c>
      <c r="AD24" s="119" t="s">
        <v>372</v>
      </c>
      <c r="AE24" s="113">
        <v>2050</v>
      </c>
      <c r="AF24" s="113">
        <v>0.85</v>
      </c>
    </row>
    <row r="25" spans="1:36" ht="15.75" hidden="1" customHeight="1" outlineLevel="2">
      <c r="A25" s="867" t="s">
        <v>380</v>
      </c>
      <c r="B25" s="867"/>
      <c r="C25" s="867"/>
      <c r="D25" s="867"/>
      <c r="E25" s="556"/>
      <c r="F25" s="556"/>
      <c r="G25" s="556"/>
      <c r="H25" s="556"/>
      <c r="I25" s="556"/>
      <c r="J25" s="556"/>
      <c r="K25" s="556"/>
      <c r="L25" s="556"/>
      <c r="M25" s="556"/>
      <c r="N25" s="556"/>
      <c r="O25" s="556"/>
      <c r="P25" s="556"/>
      <c r="Q25" s="556"/>
      <c r="R25" s="556"/>
      <c r="S25" s="556"/>
      <c r="T25" s="556"/>
      <c r="U25" s="556"/>
      <c r="V25" s="556"/>
      <c r="W25" s="19"/>
      <c r="X25" s="114"/>
      <c r="Y25" s="114"/>
    </row>
    <row r="26" spans="1:36" ht="6" hidden="1" customHeight="1" outlineLevel="2">
      <c r="A26" s="19"/>
      <c r="B26" s="19"/>
      <c r="C26" s="19"/>
      <c r="D26" s="19"/>
      <c r="E26" s="19"/>
      <c r="F26" s="19"/>
      <c r="G26" s="19"/>
      <c r="H26" s="19"/>
      <c r="I26" s="19"/>
      <c r="J26" s="19"/>
      <c r="K26" s="19"/>
      <c r="L26" s="19"/>
      <c r="M26" s="19"/>
      <c r="N26" s="19"/>
      <c r="O26" s="19"/>
      <c r="P26" s="19"/>
      <c r="Q26" s="19"/>
      <c r="R26" s="19"/>
      <c r="S26" s="19"/>
      <c r="T26" s="19"/>
      <c r="U26" s="19"/>
      <c r="V26" s="19"/>
      <c r="W26" s="19"/>
      <c r="X26" s="114"/>
      <c r="Y26" s="114"/>
    </row>
    <row r="27" spans="1:36" ht="34.5" hidden="1" customHeight="1" outlineLevel="2" collapsed="1">
      <c r="A27" s="19"/>
      <c r="B27" s="19"/>
      <c r="C27" s="19"/>
      <c r="D27" s="19"/>
      <c r="E27" s="859" t="s">
        <v>381</v>
      </c>
      <c r="F27" s="859"/>
      <c r="G27" s="859"/>
      <c r="H27" s="859"/>
      <c r="I27" s="859"/>
      <c r="J27" s="19"/>
      <c r="K27" s="19"/>
      <c r="L27" s="19"/>
      <c r="M27" s="859" t="s">
        <v>357</v>
      </c>
      <c r="N27" s="859"/>
      <c r="O27" s="859"/>
      <c r="P27" s="859"/>
      <c r="Q27" s="859"/>
      <c r="R27" s="859"/>
      <c r="S27" s="859"/>
      <c r="T27" s="859"/>
      <c r="U27" s="859"/>
      <c r="V27" s="859"/>
    </row>
    <row r="28" spans="1:36" ht="15.75" hidden="1" customHeight="1" outlineLevel="3">
      <c r="A28" s="324"/>
      <c r="B28" s="324"/>
      <c r="C28" s="325"/>
      <c r="D28" s="326"/>
      <c r="E28" s="326"/>
      <c r="F28" s="326"/>
      <c r="G28" s="326"/>
      <c r="H28" s="326"/>
      <c r="I28" s="326"/>
      <c r="J28" s="326"/>
      <c r="K28" s="326"/>
      <c r="L28" s="326"/>
      <c r="M28" s="327"/>
      <c r="N28" s="327"/>
      <c r="O28" s="327"/>
      <c r="P28" s="328"/>
      <c r="Q28" s="328"/>
      <c r="R28" s="329"/>
      <c r="S28" s="16"/>
      <c r="T28" s="327"/>
      <c r="U28" s="16"/>
    </row>
    <row r="29" spans="1:36" ht="36" hidden="1" customHeight="1" outlineLevel="3">
      <c r="A29" s="960" t="s">
        <v>99</v>
      </c>
      <c r="B29" s="961"/>
      <c r="C29" s="964" t="s">
        <v>364</v>
      </c>
      <c r="D29" s="879" t="s">
        <v>365</v>
      </c>
      <c r="E29" s="868"/>
      <c r="F29" s="868"/>
      <c r="G29" s="868"/>
      <c r="H29" s="868"/>
      <c r="I29" s="868"/>
      <c r="J29" s="868"/>
      <c r="K29" s="880"/>
      <c r="L29" s="798" t="s">
        <v>809</v>
      </c>
      <c r="M29" s="834" t="s">
        <v>366</v>
      </c>
      <c r="N29" s="868"/>
      <c r="O29" s="868"/>
      <c r="P29" s="868"/>
      <c r="Q29" s="868"/>
      <c r="R29" s="835"/>
      <c r="S29" s="885" t="s">
        <v>367</v>
      </c>
      <c r="T29" s="885"/>
      <c r="U29" s="885"/>
      <c r="V29" s="885"/>
    </row>
    <row r="30" spans="1:36" ht="51" hidden="1" customHeight="1" outlineLevel="3">
      <c r="A30" s="962"/>
      <c r="B30" s="963"/>
      <c r="C30" s="965"/>
      <c r="D30" s="36" t="s">
        <v>106</v>
      </c>
      <c r="E30" s="330" t="s">
        <v>101</v>
      </c>
      <c r="F30" s="330" t="s">
        <v>102</v>
      </c>
      <c r="G30" s="331" t="s">
        <v>103</v>
      </c>
      <c r="H30" s="331" t="s">
        <v>104</v>
      </c>
      <c r="I30" s="330" t="s">
        <v>105</v>
      </c>
      <c r="J30" s="798" t="s">
        <v>807</v>
      </c>
      <c r="K30" s="798" t="s">
        <v>808</v>
      </c>
      <c r="L30" s="798"/>
      <c r="M30" s="885" t="s">
        <v>810</v>
      </c>
      <c r="N30" s="798" t="s">
        <v>370</v>
      </c>
      <c r="O30" s="798" t="s">
        <v>812</v>
      </c>
      <c r="P30" s="798" t="s">
        <v>813</v>
      </c>
      <c r="Q30" s="879" t="s">
        <v>816</v>
      </c>
      <c r="R30" s="880"/>
      <c r="S30" s="885" t="s">
        <v>810</v>
      </c>
      <c r="T30" s="885" t="s">
        <v>811</v>
      </c>
      <c r="U30" s="885" t="s">
        <v>812</v>
      </c>
      <c r="V30" s="798" t="s">
        <v>813</v>
      </c>
    </row>
    <row r="31" spans="1:36" ht="36" hidden="1" customHeight="1" outlineLevel="3">
      <c r="A31" s="962"/>
      <c r="B31" s="963"/>
      <c r="C31" s="966"/>
      <c r="D31" s="39" t="s">
        <v>806</v>
      </c>
      <c r="E31" s="1000" t="s">
        <v>817</v>
      </c>
      <c r="F31" s="1001"/>
      <c r="G31" s="1001"/>
      <c r="H31" s="1001"/>
      <c r="I31" s="1002"/>
      <c r="J31" s="798"/>
      <c r="K31" s="798"/>
      <c r="L31" s="798"/>
      <c r="M31" s="885"/>
      <c r="N31" s="798"/>
      <c r="O31" s="798"/>
      <c r="P31" s="798"/>
      <c r="Q31" s="38" t="s">
        <v>369</v>
      </c>
      <c r="R31" s="35" t="s">
        <v>372</v>
      </c>
      <c r="S31" s="885"/>
      <c r="T31" s="885"/>
      <c r="U31" s="885"/>
      <c r="V31" s="798"/>
    </row>
    <row r="32" spans="1:36" ht="52.25" hidden="1" customHeight="1" outlineLevel="3">
      <c r="A32" s="936" t="s">
        <v>113</v>
      </c>
      <c r="B32" s="936"/>
      <c r="C32" s="332" t="s">
        <v>369</v>
      </c>
      <c r="D32" s="937" t="str">
        <f>IF($D$9="Regional differentiation",D20,"")</f>
        <v/>
      </c>
      <c r="E32" s="4"/>
      <c r="F32" s="4"/>
      <c r="G32" s="4"/>
      <c r="H32" s="4"/>
      <c r="I32" s="4"/>
      <c r="J32" s="557">
        <f>SUM(E32:I32)</f>
        <v>0</v>
      </c>
      <c r="K32" s="939" t="str">
        <f>IF(D32="","",IF(D32-J32-J33=0,"OK","Review financial exposure"))</f>
        <v/>
      </c>
      <c r="L32" s="562">
        <f t="shared" ref="L32:L38" si="5">IF(SUM(E32:I32)=0,0,(G32+H32+I32)/(SUM(E32:I32)))</f>
        <v>0</v>
      </c>
      <c r="M32" s="941"/>
      <c r="N32" s="563"/>
      <c r="O32" s="562" t="str">
        <f>IF($M$32="","",IF(D32=0,"",IF(L32&gt;=$Z32,L32,(L32+($Z32-L32)/($Y32-$I$9)*($M$32-$I$9)))))</f>
        <v/>
      </c>
      <c r="P32" s="338" t="str">
        <f>IF(N32="","",IF(N32-O32&gt;=0,"OK","Minimum ambition not met, please increase ambition"))</f>
        <v/>
      </c>
      <c r="Q32" s="906" t="str">
        <f>IFERROR(IF($M32="","",($N32*$J32+$N34*$J34+$N36*$J36+$N38*$J38)/SUMIF($C32:$C39,"Developed economies",$J32:$J39)),"")</f>
        <v/>
      </c>
      <c r="R32" s="905" t="str">
        <f>IFERROR(IF($M32="","",($N33*$J33+$N35*$J35+$N37*$J37+$N39*$J39)/SUMIF($C32:$C39,"Developing economies",$J32:$J39)),"")</f>
        <v/>
      </c>
      <c r="S32" s="944"/>
      <c r="T32" s="947"/>
      <c r="U32" s="997" t="str">
        <f>IF(S32="","",95%)</f>
        <v/>
      </c>
      <c r="V32" s="950" t="str">
        <f>IF(T32="","",IF(T32-U32&gt;=0,"OK","Minimum ambition not met, please increase ambition"))</f>
        <v/>
      </c>
      <c r="X32" s="113" t="s">
        <v>368</v>
      </c>
      <c r="Y32" s="113">
        <f t="shared" ref="Y32:Y39" si="6">_xlfn.XLOOKUP($X32,$AB$17:$AB$24,AE$17:AE$24,0,0)</f>
        <v>2035</v>
      </c>
      <c r="Z32" s="113">
        <f t="shared" ref="Z32:Z39" si="7">_xlfn.XLOOKUP($X32,$AB$17:$AB$24,AF$17:AF$24,0,0)</f>
        <v>0.95</v>
      </c>
      <c r="AI32" s="120" t="s">
        <v>383</v>
      </c>
      <c r="AJ32" s="120" t="s">
        <v>384</v>
      </c>
    </row>
    <row r="33" spans="1:27" ht="52.25" hidden="1" customHeight="1" outlineLevel="3">
      <c r="A33" s="936"/>
      <c r="B33" s="936"/>
      <c r="C33" s="332" t="s">
        <v>372</v>
      </c>
      <c r="D33" s="938"/>
      <c r="E33" s="334"/>
      <c r="F33" s="334"/>
      <c r="G33" s="334"/>
      <c r="H33" s="334"/>
      <c r="I33" s="334"/>
      <c r="J33" s="335">
        <f>SUM(E33:I33)</f>
        <v>0</v>
      </c>
      <c r="K33" s="940"/>
      <c r="L33" s="336">
        <f t="shared" si="5"/>
        <v>0</v>
      </c>
      <c r="M33" s="942"/>
      <c r="N33" s="337"/>
      <c r="O33" s="562" t="str">
        <f>IF($M$32="","",IF(D32=0,"",IF(L33&gt;=$Z33,L33,(L33+($Z33-L33)/($Y33-$I$9)*($M$32-$I$9)))))</f>
        <v/>
      </c>
      <c r="P33" s="338" t="str">
        <f t="shared" ref="P33:P39" si="8">IF(N33="","",IF(N33-O33&gt;=0,"OK","Minimum ambition not met, please increase ambition"))</f>
        <v/>
      </c>
      <c r="Q33" s="906"/>
      <c r="R33" s="906"/>
      <c r="S33" s="945"/>
      <c r="T33" s="948"/>
      <c r="U33" s="998"/>
      <c r="V33" s="951"/>
      <c r="X33" s="113" t="s">
        <v>371</v>
      </c>
      <c r="Y33" s="113">
        <f t="shared" si="6"/>
        <v>2035</v>
      </c>
      <c r="Z33" s="113">
        <f t="shared" si="7"/>
        <v>0.85</v>
      </c>
    </row>
    <row r="34" spans="1:27" ht="52.25" hidden="1" customHeight="1" outlineLevel="3">
      <c r="A34" s="936" t="s">
        <v>121</v>
      </c>
      <c r="B34" s="936"/>
      <c r="C34" s="332" t="s">
        <v>369</v>
      </c>
      <c r="D34" s="937" t="str">
        <f>IF($D$9="Regional differentiation",D21,"")</f>
        <v/>
      </c>
      <c r="E34" s="4"/>
      <c r="F34" s="4"/>
      <c r="G34" s="4"/>
      <c r="H34" s="4"/>
      <c r="I34" s="4"/>
      <c r="J34" s="557">
        <f t="shared" ref="J34:J39" si="9">SUM(E34:I34)</f>
        <v>0</v>
      </c>
      <c r="K34" s="939" t="str">
        <f>IF(D34="","",IF(D34-J34-J35=0,"OK","Review financial exposure"))</f>
        <v/>
      </c>
      <c r="L34" s="562">
        <f t="shared" si="5"/>
        <v>0</v>
      </c>
      <c r="M34" s="942"/>
      <c r="N34" s="563"/>
      <c r="O34" s="562" t="str">
        <f>IF($M$32="","",IF(D34=0,"",IF(L34&gt;=$Z34,L34,(L34+($Z34-L34)/($Y34-$I$9)*($M$32-$I$9)))))</f>
        <v/>
      </c>
      <c r="P34" s="338" t="str">
        <f t="shared" si="8"/>
        <v/>
      </c>
      <c r="Q34" s="906"/>
      <c r="R34" s="906"/>
      <c r="S34" s="945"/>
      <c r="T34" s="948"/>
      <c r="U34" s="998"/>
      <c r="V34" s="951"/>
      <c r="X34" s="113" t="s">
        <v>373</v>
      </c>
      <c r="Y34" s="113">
        <f t="shared" si="6"/>
        <v>2040</v>
      </c>
      <c r="Z34" s="113">
        <f t="shared" si="7"/>
        <v>0.95</v>
      </c>
    </row>
    <row r="35" spans="1:27" ht="52.25" hidden="1" customHeight="1" outlineLevel="3">
      <c r="A35" s="936"/>
      <c r="B35" s="936"/>
      <c r="C35" s="332" t="s">
        <v>372</v>
      </c>
      <c r="D35" s="938"/>
      <c r="E35" s="334"/>
      <c r="F35" s="334"/>
      <c r="G35" s="334"/>
      <c r="H35" s="334"/>
      <c r="I35" s="334"/>
      <c r="J35" s="335">
        <f t="shared" si="9"/>
        <v>0</v>
      </c>
      <c r="K35" s="940"/>
      <c r="L35" s="336">
        <f t="shared" si="5"/>
        <v>0</v>
      </c>
      <c r="M35" s="942"/>
      <c r="N35" s="337"/>
      <c r="O35" s="562" t="str">
        <f>IF($M$32="","",IF(D34=0,"",IF(L35&gt;=$Z35,L35,(L35+($Z35-L35)/($Y35-$I$9)*($M$32-$I$9)))))</f>
        <v/>
      </c>
      <c r="P35" s="338" t="str">
        <f>IF(N35="","",IF(N35-O35&gt;=0,"OK","Minimum ambition not met, please increase ambition"))</f>
        <v/>
      </c>
      <c r="Q35" s="906"/>
      <c r="R35" s="906"/>
      <c r="S35" s="945"/>
      <c r="T35" s="948"/>
      <c r="U35" s="998"/>
      <c r="V35" s="951"/>
      <c r="X35" s="113" t="s">
        <v>374</v>
      </c>
      <c r="Y35" s="113">
        <f t="shared" si="6"/>
        <v>2040</v>
      </c>
      <c r="Z35" s="113">
        <f t="shared" si="7"/>
        <v>0.85</v>
      </c>
    </row>
    <row r="36" spans="1:27" ht="52.25" hidden="1" customHeight="1" outlineLevel="3">
      <c r="A36" s="936" t="s">
        <v>130</v>
      </c>
      <c r="B36" s="936"/>
      <c r="C36" s="332" t="s">
        <v>369</v>
      </c>
      <c r="D36" s="937" t="str">
        <f>IF($D$9="Regional differentiation",D22,"")</f>
        <v/>
      </c>
      <c r="E36" s="4"/>
      <c r="F36" s="4"/>
      <c r="G36" s="4"/>
      <c r="H36" s="4"/>
      <c r="I36" s="4"/>
      <c r="J36" s="557">
        <f t="shared" si="9"/>
        <v>0</v>
      </c>
      <c r="K36" s="939" t="str">
        <f>IF(D36="","",IF(D36-J36-J37=0,"OK","Review financial exposure"))</f>
        <v/>
      </c>
      <c r="L36" s="562">
        <f t="shared" si="5"/>
        <v>0</v>
      </c>
      <c r="M36" s="942"/>
      <c r="N36" s="563"/>
      <c r="O36" s="562" t="str">
        <f>IF($M$32="","",IF(D36=0,"",IF(L36&gt;=$Z36,L36,(L36+($Z36-L36)/($Y36-$I$9)*($M$32-$I$9)))))</f>
        <v/>
      </c>
      <c r="P36" s="338" t="str">
        <f t="shared" si="8"/>
        <v/>
      </c>
      <c r="Q36" s="906" t="str">
        <f t="shared" ref="Q36" si="10">IF(M36="","",IF(AND(N36="",N37="",N38="",N39=""),SUMPRODUCT(J36:J39,O36:O39)/SUM(J36:J39),SUMPRODUCT(J36:J39,N36:N39)/SUM(J36:J39)))</f>
        <v/>
      </c>
      <c r="R36" s="906"/>
      <c r="S36" s="945"/>
      <c r="T36" s="948"/>
      <c r="U36" s="998"/>
      <c r="V36" s="951"/>
      <c r="X36" s="113" t="s">
        <v>376</v>
      </c>
      <c r="Y36" s="113">
        <f t="shared" si="6"/>
        <v>2040</v>
      </c>
      <c r="Z36" s="113">
        <f t="shared" si="7"/>
        <v>0.95</v>
      </c>
    </row>
    <row r="37" spans="1:27" ht="52.25" hidden="1" customHeight="1" outlineLevel="3">
      <c r="A37" s="936"/>
      <c r="B37" s="936"/>
      <c r="C37" s="332" t="s">
        <v>372</v>
      </c>
      <c r="D37" s="938"/>
      <c r="E37" s="334"/>
      <c r="F37" s="334"/>
      <c r="G37" s="334"/>
      <c r="H37" s="334"/>
      <c r="I37" s="334"/>
      <c r="J37" s="335">
        <f t="shared" si="9"/>
        <v>0</v>
      </c>
      <c r="K37" s="940"/>
      <c r="L37" s="336">
        <f t="shared" si="5"/>
        <v>0</v>
      </c>
      <c r="M37" s="942"/>
      <c r="N37" s="337"/>
      <c r="O37" s="562" t="str">
        <f>IF($M$32="","",IF(D36=0,"",IF(L37&gt;=$Z37,L37,(L37+($Z37-L37)/($Y37-$I$9)*($M$32-$I$9)))))</f>
        <v/>
      </c>
      <c r="P37" s="338" t="str">
        <f t="shared" si="8"/>
        <v/>
      </c>
      <c r="Q37" s="906"/>
      <c r="R37" s="906"/>
      <c r="S37" s="945"/>
      <c r="T37" s="948"/>
      <c r="U37" s="998"/>
      <c r="V37" s="951"/>
      <c r="X37" s="113" t="s">
        <v>377</v>
      </c>
      <c r="Y37" s="113">
        <f t="shared" si="6"/>
        <v>2040</v>
      </c>
      <c r="Z37" s="113">
        <f t="shared" si="7"/>
        <v>0.85</v>
      </c>
    </row>
    <row r="38" spans="1:27" ht="52.25" hidden="1" customHeight="1" outlineLevel="3">
      <c r="A38" s="936" t="s">
        <v>136</v>
      </c>
      <c r="B38" s="936"/>
      <c r="C38" s="332" t="s">
        <v>369</v>
      </c>
      <c r="D38" s="937" t="str">
        <f>IF($D$9="Regional differentiation",D23,"")</f>
        <v/>
      </c>
      <c r="E38" s="4"/>
      <c r="F38" s="4"/>
      <c r="G38" s="4"/>
      <c r="H38" s="4"/>
      <c r="I38" s="4"/>
      <c r="J38" s="557">
        <f t="shared" si="9"/>
        <v>0</v>
      </c>
      <c r="K38" s="939" t="str">
        <f>IF(D38="","",IF(D38-J38-J39=0,"OK","Review financial exposure"))</f>
        <v/>
      </c>
      <c r="L38" s="562">
        <f t="shared" si="5"/>
        <v>0</v>
      </c>
      <c r="M38" s="942"/>
      <c r="N38" s="563"/>
      <c r="O38" s="562" t="str">
        <f>IF($M$32="","",IF(D38=0,"",IF(L38&gt;=$Z38,L38,(L38+($Z38-L38)/($Y38-$I$9)*($M$32-$I$9)))))</f>
        <v/>
      </c>
      <c r="P38" s="338" t="str">
        <f t="shared" si="8"/>
        <v/>
      </c>
      <c r="Q38" s="906"/>
      <c r="R38" s="906"/>
      <c r="S38" s="945"/>
      <c r="T38" s="948"/>
      <c r="U38" s="998"/>
      <c r="V38" s="951"/>
      <c r="X38" s="113" t="s">
        <v>378</v>
      </c>
      <c r="Y38" s="113">
        <f t="shared" si="6"/>
        <v>2050</v>
      </c>
      <c r="Z38" s="113">
        <f t="shared" si="7"/>
        <v>0.95</v>
      </c>
    </row>
    <row r="39" spans="1:27" ht="52.25" hidden="1" customHeight="1" outlineLevel="3">
      <c r="A39" s="936"/>
      <c r="B39" s="953"/>
      <c r="C39" s="333" t="s">
        <v>372</v>
      </c>
      <c r="D39" s="938"/>
      <c r="E39" s="334"/>
      <c r="F39" s="334"/>
      <c r="G39" s="334"/>
      <c r="H39" s="334"/>
      <c r="I39" s="334"/>
      <c r="J39" s="335">
        <f t="shared" si="9"/>
        <v>0</v>
      </c>
      <c r="K39" s="940"/>
      <c r="L39" s="336">
        <f>IF(SUM(E39:I39)=0,0,(G39+H39+I39)/(SUM(E39:I39)))</f>
        <v>0</v>
      </c>
      <c r="M39" s="943"/>
      <c r="N39" s="337"/>
      <c r="O39" s="562" t="str">
        <f>IF($M$32="","",IF(D38=0,"",IF(L39&gt;=$Z39,L39,(L39+($Z39-L39)/($Y39-$I$9)*($M$32-$I$9)))))</f>
        <v/>
      </c>
      <c r="P39" s="338" t="str">
        <f t="shared" si="8"/>
        <v/>
      </c>
      <c r="Q39" s="907"/>
      <c r="R39" s="907"/>
      <c r="S39" s="946"/>
      <c r="T39" s="949"/>
      <c r="U39" s="999"/>
      <c r="V39" s="952"/>
      <c r="X39" s="113" t="s">
        <v>379</v>
      </c>
      <c r="Y39" s="113">
        <f t="shared" si="6"/>
        <v>2050</v>
      </c>
      <c r="Z39" s="113">
        <f t="shared" si="7"/>
        <v>0.85</v>
      </c>
    </row>
    <row r="40" spans="1:27" ht="15.75" hidden="1" customHeight="1" outlineLevel="1">
      <c r="A40" s="1"/>
      <c r="B40" s="1"/>
      <c r="C40" s="1"/>
      <c r="D40" s="1"/>
      <c r="E40" s="1"/>
      <c r="F40" s="1"/>
      <c r="G40" s="1"/>
      <c r="H40" s="1"/>
      <c r="I40" s="1"/>
      <c r="J40" s="1"/>
      <c r="K40" s="1"/>
      <c r="L40" s="1"/>
      <c r="M40" s="1"/>
      <c r="N40" s="1"/>
      <c r="O40" s="1"/>
      <c r="P40" s="1"/>
      <c r="Q40" s="1"/>
      <c r="R40" s="1"/>
      <c r="S40" s="1"/>
      <c r="T40" s="1"/>
      <c r="U40" s="1"/>
      <c r="V40" s="1"/>
      <c r="W40" s="1"/>
      <c r="X40" s="121"/>
      <c r="Y40" s="121"/>
      <c r="Z40" s="121"/>
      <c r="AA40" s="121"/>
    </row>
    <row r="41" spans="1:27" ht="15.75" hidden="1" customHeight="1" outlineLevel="1">
      <c r="A41" s="1"/>
      <c r="B41" s="1"/>
      <c r="C41" s="1"/>
      <c r="D41" s="1"/>
      <c r="E41" s="1"/>
      <c r="F41" s="1"/>
      <c r="G41" s="1"/>
      <c r="H41" s="1"/>
      <c r="I41" s="1"/>
      <c r="J41" s="1"/>
      <c r="K41" s="1"/>
      <c r="L41" s="1"/>
      <c r="M41" s="1"/>
      <c r="N41" s="1"/>
      <c r="O41" s="1"/>
      <c r="P41" s="1"/>
      <c r="Q41" s="1"/>
      <c r="R41" s="1"/>
      <c r="S41" s="1"/>
      <c r="T41" s="1"/>
      <c r="U41" s="1"/>
      <c r="V41" s="1"/>
      <c r="W41" s="1"/>
      <c r="X41" s="121"/>
      <c r="Y41" s="121"/>
      <c r="Z41" s="121"/>
      <c r="AA41" s="121"/>
    </row>
    <row r="42" spans="1:27" ht="15.75" hidden="1" customHeight="1" outlineLevel="1" collapsed="1">
      <c r="A42" s="852" t="s">
        <v>385</v>
      </c>
      <c r="B42" s="852"/>
      <c r="C42" s="852"/>
      <c r="D42" s="852"/>
      <c r="E42" s="852"/>
      <c r="F42" s="852"/>
      <c r="G42" s="852"/>
      <c r="H42" s="852"/>
      <c r="I42" s="852"/>
      <c r="J42" s="852"/>
      <c r="K42" s="852"/>
      <c r="L42" s="852"/>
      <c r="M42" s="852"/>
      <c r="N42" s="852"/>
      <c r="O42" s="852"/>
      <c r="P42" s="852"/>
      <c r="Q42" s="852"/>
      <c r="R42" s="852"/>
      <c r="S42" s="852"/>
      <c r="T42" s="852"/>
      <c r="U42" s="852"/>
      <c r="V42" s="852"/>
      <c r="W42" s="71"/>
      <c r="X42" s="112"/>
      <c r="Y42" s="112"/>
      <c r="Z42" s="112"/>
      <c r="AA42" s="112"/>
    </row>
    <row r="43" spans="1:27" ht="15.75" hidden="1" customHeight="1" outlineLevel="2">
      <c r="A43" s="19"/>
      <c r="B43" s="19"/>
      <c r="C43" s="19"/>
      <c r="D43" s="19"/>
      <c r="E43" s="19"/>
      <c r="F43" s="19"/>
      <c r="G43" s="19"/>
      <c r="H43" s="19"/>
      <c r="I43" s="19"/>
      <c r="J43" s="19"/>
      <c r="K43" s="19"/>
      <c r="L43" s="19"/>
      <c r="M43" s="19"/>
      <c r="N43" s="19"/>
      <c r="O43" s="19"/>
      <c r="P43" s="19"/>
      <c r="Q43" s="19"/>
      <c r="R43" s="19"/>
      <c r="S43" s="19"/>
      <c r="T43" s="19"/>
      <c r="U43" s="19"/>
      <c r="V43" s="19"/>
      <c r="W43" s="19"/>
      <c r="X43" s="114"/>
      <c r="Y43" s="114"/>
      <c r="Z43" s="114"/>
      <c r="AA43" s="114"/>
    </row>
    <row r="44" spans="1:27" ht="15.75" hidden="1" customHeight="1" outlineLevel="2" collapsed="1">
      <c r="A44" s="867" t="s">
        <v>356</v>
      </c>
      <c r="B44" s="867"/>
      <c r="C44" s="867"/>
      <c r="D44" s="556"/>
      <c r="E44" s="556"/>
      <c r="F44" s="556"/>
      <c r="G44" s="556"/>
      <c r="H44" s="556"/>
      <c r="I44" s="556"/>
      <c r="J44" s="556"/>
      <c r="K44" s="556"/>
      <c r="L44" s="556"/>
      <c r="M44" s="556"/>
      <c r="N44" s="556"/>
      <c r="O44" s="556"/>
      <c r="P44" s="556"/>
      <c r="Q44" s="556"/>
      <c r="R44" s="556"/>
      <c r="S44" s="556"/>
      <c r="T44" s="556"/>
      <c r="U44" s="556"/>
      <c r="V44" s="556"/>
      <c r="W44" s="19"/>
      <c r="X44" s="114"/>
      <c r="Y44" s="114"/>
      <c r="Z44" s="114"/>
      <c r="AA44" s="114"/>
    </row>
    <row r="45" spans="1:27" ht="6" hidden="1" customHeight="1" outlineLevel="3">
      <c r="B45" s="19"/>
      <c r="C45" s="19"/>
      <c r="D45" s="19"/>
      <c r="E45" s="19"/>
      <c r="F45" s="19"/>
      <c r="G45" s="19"/>
      <c r="H45" s="19"/>
      <c r="I45" s="19"/>
      <c r="J45" s="19"/>
      <c r="K45" s="19"/>
      <c r="L45" s="19"/>
      <c r="M45" s="19"/>
      <c r="N45" s="19"/>
      <c r="O45" s="19"/>
      <c r="P45" s="19"/>
      <c r="Q45" s="19"/>
      <c r="R45" s="19"/>
      <c r="S45" s="19"/>
      <c r="T45" s="19"/>
      <c r="U45" s="19"/>
      <c r="V45" s="19"/>
      <c r="W45" s="19"/>
      <c r="X45" s="114"/>
      <c r="Y45" s="114"/>
      <c r="Z45" s="114"/>
      <c r="AA45" s="114"/>
    </row>
    <row r="46" spans="1:27" s="122" customFormat="1" ht="20.25" hidden="1" customHeight="1" outlineLevel="3">
      <c r="A46" s="858" t="s">
        <v>386</v>
      </c>
      <c r="B46" s="858"/>
      <c r="C46" s="858"/>
      <c r="D46" s="858"/>
      <c r="E46" s="858"/>
      <c r="F46" s="858"/>
      <c r="G46" s="858"/>
      <c r="H46" s="858"/>
      <c r="I46" s="858"/>
      <c r="J46" s="858"/>
      <c r="K46" s="858"/>
      <c r="L46" s="858"/>
      <c r="M46" s="858"/>
      <c r="N46" s="858"/>
      <c r="O46" s="858"/>
      <c r="P46" s="858"/>
      <c r="Q46" s="858"/>
      <c r="R46" s="70"/>
      <c r="S46" s="70"/>
      <c r="T46" s="70"/>
      <c r="U46" s="70"/>
      <c r="V46" s="12"/>
      <c r="W46" s="12"/>
    </row>
    <row r="47" spans="1:27" ht="6" hidden="1" customHeight="1" outlineLevel="3">
      <c r="A47" s="1"/>
      <c r="B47" s="917"/>
      <c r="C47" s="917"/>
      <c r="D47" s="917"/>
      <c r="E47" s="917"/>
      <c r="F47" s="917"/>
      <c r="G47" s="917"/>
      <c r="H47" s="17"/>
      <c r="I47" s="17"/>
      <c r="J47" s="17"/>
      <c r="K47" s="17"/>
      <c r="L47" s="17"/>
      <c r="M47" s="17"/>
      <c r="N47" s="17"/>
      <c r="O47" s="17"/>
      <c r="P47" s="17"/>
      <c r="Q47" s="17"/>
      <c r="R47" s="17"/>
      <c r="S47" s="17"/>
      <c r="T47" s="17"/>
      <c r="U47" s="17"/>
      <c r="V47" s="17"/>
      <c r="W47" s="17"/>
      <c r="X47" s="110"/>
      <c r="Y47" s="110"/>
      <c r="Z47" s="110"/>
      <c r="AA47" s="110"/>
    </row>
    <row r="48" spans="1:27" ht="15.75" hidden="1" customHeight="1" outlineLevel="3">
      <c r="A48" s="918" t="s">
        <v>99</v>
      </c>
      <c r="B48" s="918" t="s">
        <v>387</v>
      </c>
      <c r="C48" s="934" t="s">
        <v>364</v>
      </c>
      <c r="D48" s="1037" t="s">
        <v>818</v>
      </c>
      <c r="E48" s="834" t="s">
        <v>365</v>
      </c>
      <c r="F48" s="868"/>
      <c r="G48" s="868"/>
      <c r="H48" s="868"/>
      <c r="I48" s="868"/>
      <c r="J48" s="868"/>
      <c r="K48" s="835"/>
      <c r="L48" s="554"/>
      <c r="M48" s="798" t="s">
        <v>809</v>
      </c>
      <c r="N48" s="885" t="s">
        <v>366</v>
      </c>
      <c r="O48" s="885"/>
      <c r="P48" s="885"/>
      <c r="Q48" s="885"/>
      <c r="R48" s="13"/>
      <c r="S48" s="17"/>
      <c r="T48" s="17"/>
      <c r="U48" s="17"/>
      <c r="V48" s="17"/>
      <c r="W48" s="17"/>
      <c r="X48" s="110"/>
    </row>
    <row r="49" spans="1:30" ht="90" hidden="1" customHeight="1" outlineLevel="3">
      <c r="A49" s="918"/>
      <c r="B49" s="918"/>
      <c r="C49" s="934"/>
      <c r="D49" s="1038"/>
      <c r="E49" s="36" t="s">
        <v>106</v>
      </c>
      <c r="F49" s="554" t="s">
        <v>101</v>
      </c>
      <c r="G49" s="554" t="s">
        <v>102</v>
      </c>
      <c r="H49" s="558" t="s">
        <v>103</v>
      </c>
      <c r="I49" s="558" t="s">
        <v>104</v>
      </c>
      <c r="J49" s="554" t="s">
        <v>105</v>
      </c>
      <c r="K49" s="716" t="s">
        <v>807</v>
      </c>
      <c r="L49" s="716" t="s">
        <v>808</v>
      </c>
      <c r="M49" s="798"/>
      <c r="N49" s="885" t="s">
        <v>810</v>
      </c>
      <c r="O49" s="885" t="s">
        <v>811</v>
      </c>
      <c r="P49" s="885" t="s">
        <v>821</v>
      </c>
      <c r="Q49" s="798" t="s">
        <v>813</v>
      </c>
      <c r="R49" s="13"/>
      <c r="S49" s="17"/>
      <c r="T49" s="66"/>
      <c r="U49" s="67"/>
      <c r="V49" s="1"/>
      <c r="W49" s="17"/>
      <c r="X49" s="110"/>
      <c r="Y49" s="110"/>
      <c r="Z49" s="110"/>
    </row>
    <row r="50" spans="1:30" ht="36" hidden="1" customHeight="1" outlineLevel="3">
      <c r="A50" s="919"/>
      <c r="B50" s="919"/>
      <c r="C50" s="935"/>
      <c r="D50" s="1039"/>
      <c r="E50" s="40" t="s">
        <v>819</v>
      </c>
      <c r="F50" s="969" t="s">
        <v>820</v>
      </c>
      <c r="G50" s="1040"/>
      <c r="H50" s="1040"/>
      <c r="I50" s="1040"/>
      <c r="J50" s="1041"/>
      <c r="K50" s="717"/>
      <c r="L50" s="717"/>
      <c r="M50" s="798"/>
      <c r="N50" s="885"/>
      <c r="O50" s="885"/>
      <c r="P50" s="885"/>
      <c r="Q50" s="798"/>
      <c r="R50" s="13"/>
      <c r="U50" s="1"/>
      <c r="V50" s="1"/>
      <c r="W50" s="26"/>
      <c r="X50" s="121"/>
      <c r="Y50" s="121"/>
      <c r="Z50" s="121"/>
      <c r="AA50" s="110"/>
      <c r="AB50" s="110" t="s">
        <v>388</v>
      </c>
      <c r="AC50" s="110" t="s">
        <v>389</v>
      </c>
      <c r="AD50" s="110" t="s">
        <v>390</v>
      </c>
    </row>
    <row r="51" spans="1:30" ht="53" hidden="1" customHeight="1" outlineLevel="3">
      <c r="A51" s="339" t="s">
        <v>113</v>
      </c>
      <c r="B51" s="340" t="s">
        <v>391</v>
      </c>
      <c r="C51" s="927" t="s">
        <v>356</v>
      </c>
      <c r="D51" s="333" t="str">
        <f>IF(SUMIF('LND Segmentation'!$AK$75:$AK$151,'Climate-Alignment Target'!AD51,'LND Segmentation'!$AL$75:$AL$151)&gt;0,"Climate-alignment target",IF(SUMIF('LND Segmentation'!$AK$75:$AK$151,'Climate-Alignment Target'!AD51,'LND Segmentation'!$AM$75:$AM$151)&gt;0,"Sector target","No target type selected"))</f>
        <v>No target type selected</v>
      </c>
      <c r="E51" s="557" cm="1">
        <f t="array" ref="E51">SUMPRODUCT(('LND Segmentation'!$M$75:$M$151=TRUE)*($AD51='LND Segmentation'!$AK$75:$AK$151)*('Climate-Alignment Target'!E$49='LND Segmentation'!$Q$74:$V$74)*('LND Segmentation'!$Q$75:$V$151))</f>
        <v>0</v>
      </c>
      <c r="F51" s="557" t="str" cm="1">
        <f t="array" ref="F51">IF($D51="Climate-alignment target",SUMPRODUCT(('LND Segmentation'!$M$75:$M$151=TRUE)*($AD51='LND Segmentation'!$AK$75:$AK$151)*('Climate-Alignment Target'!F$49='LND Segmentation'!$Q$74:$V$74)*('LND Segmentation'!$Q$75:$V$151)),"")</f>
        <v/>
      </c>
      <c r="G51" s="557" t="str" cm="1">
        <f t="array" ref="G51">IF($D51="Climate-alignment target",SUMPRODUCT(('LND Segmentation'!$M$75:$M$151=TRUE)*($AD51='LND Segmentation'!$AK$75:$AK$151)*('Climate-Alignment Target'!G$49='LND Segmentation'!$Q$74:$V$74)*('LND Segmentation'!$Q$75:$V$151)),"")</f>
        <v/>
      </c>
      <c r="H51" s="557" t="str" cm="1">
        <f t="array" ref="H51">IF($D51="Climate-alignment target",SUMPRODUCT(('LND Segmentation'!$M$75:$M$151=TRUE)*($AD51='LND Segmentation'!$AK$75:$AK$151)*('Climate-Alignment Target'!H$49='LND Segmentation'!$Q$74:$V$74)*('LND Segmentation'!$Q$75:$V$151)),"")</f>
        <v/>
      </c>
      <c r="I51" s="557" t="str" cm="1">
        <f t="array" ref="I51">IF($D51="Climate-alignment target",SUMPRODUCT(('LND Segmentation'!$M$75:$M$151=TRUE)*($AD51='LND Segmentation'!$AK$75:$AK$151)*('Climate-Alignment Target'!I$49='LND Segmentation'!$Q$74:$V$74)*('LND Segmentation'!$Q$75:$V$151)),"")</f>
        <v/>
      </c>
      <c r="J51" s="557" t="str" cm="1">
        <f t="array" ref="J51">IF($D51="Climate-alignment target",SUMPRODUCT(('LND Segmentation'!$M$75:$M$151=TRUE)*($AD51='LND Segmentation'!$AK$75:$AK$151)*('Climate-Alignment Target'!J$49='LND Segmentation'!$Q$74:$V$74)*('LND Segmentation'!$Q$75:$V$151)),"")</f>
        <v/>
      </c>
      <c r="K51" s="557" t="str">
        <f>IF(D51&lt;&gt;"Climate-alignment target","",SUM(F51:J51))</f>
        <v/>
      </c>
      <c r="L51" s="557" t="str">
        <f>IF(AND(E51=K51,D51="Climate-alignment target"),"OK",IF(D51="Sector target","OK - covered by sector target",IF(AND(E51=0,D51="No target type selected"),"","Select a target type")))</f>
        <v/>
      </c>
      <c r="M51" s="562">
        <f t="shared" ref="M51:M72" si="11">IF(SUM(F51:J51)=0,0,SUM(H51:J51)/(SUM(F51:J51)))</f>
        <v>0</v>
      </c>
      <c r="N51" s="915"/>
      <c r="O51" s="563"/>
      <c r="P51" s="562" t="str">
        <f>IF(AND($D51="Climate-alignment target",$N$51&lt;&gt;""),IF(M51&gt;$Z51,M51,(M51+($Z51-M51)/($Y51-$I$9)*($N$51-$I$9))),"")</f>
        <v/>
      </c>
      <c r="Q51" s="560" t="str">
        <f>IF(O51="","",IF(O51-P51&gt;=0,"OK","Minimum ambition not met, please increase ambition"))</f>
        <v/>
      </c>
      <c r="R51" s="16"/>
      <c r="U51" s="1"/>
      <c r="V51" s="1"/>
      <c r="W51" s="26"/>
      <c r="X51" s="113" t="s">
        <v>368</v>
      </c>
      <c r="Y51" s="113">
        <f t="shared" ref="Y51:Y72" si="12">_xlfn.XLOOKUP($X51,$AB$17:$AB$24,AE$17:AE$24,0,0)</f>
        <v>2035</v>
      </c>
      <c r="Z51" s="113">
        <f t="shared" ref="Z51:Z72" si="13">_xlfn.XLOOKUP($X51,$AB$17:$AB$24,AF$17:AF$24,0,0)</f>
        <v>0.95</v>
      </c>
      <c r="AA51" s="121"/>
      <c r="AB51" s="121" t="str">
        <f>IF($D51&lt;&gt;"Climate-alignment target","",O51*K51)</f>
        <v/>
      </c>
      <c r="AC51" s="121" t="str">
        <f>IF($D51&lt;&gt;"Climate-alignment target","",K51)</f>
        <v/>
      </c>
      <c r="AD51" s="107" t="s">
        <v>171</v>
      </c>
    </row>
    <row r="52" spans="1:30" ht="53" hidden="1" customHeight="1" outlineLevel="3">
      <c r="A52" s="339" t="s">
        <v>113</v>
      </c>
      <c r="B52" s="340" t="s">
        <v>392</v>
      </c>
      <c r="C52" s="927"/>
      <c r="D52" s="333" t="str">
        <f>IF(SUMIF('LND Segmentation'!$AK$75:$AK$151,'Climate-Alignment Target'!AD52,'LND Segmentation'!$AL$75:$AL$151)&gt;0,"Climate-alignment target",IF(SUMIF('LND Segmentation'!$AK$75:$AK$151,'Climate-Alignment Target'!AD52,'LND Segmentation'!$AM$75:$AM$151)&gt;0,"Sector target","No target type selected"))</f>
        <v>No target type selected</v>
      </c>
      <c r="E52" s="557" cm="1">
        <f t="array" ref="E52">SUMPRODUCT(('LND Segmentation'!$M$75:$M$151=TRUE)*($AD52='LND Segmentation'!$AK$75:$AK$151)*('Climate-Alignment Target'!E$49='LND Segmentation'!$Q$74:$V$74)*('LND Segmentation'!$Q$75:$V$151))</f>
        <v>0</v>
      </c>
      <c r="F52" s="557" t="str" cm="1">
        <f t="array" ref="F52">IF($D52="Climate-alignment target",SUMPRODUCT(('LND Segmentation'!$M$75:$M$151=TRUE)*($AD52='LND Segmentation'!$AK$75:$AK$151)*('Climate-Alignment Target'!F$49='LND Segmentation'!$Q$74:$V$74)*('LND Segmentation'!$Q$75:$V$151)),"")</f>
        <v/>
      </c>
      <c r="G52" s="557" t="str" cm="1">
        <f t="array" ref="G52">IF($D52="Climate-alignment target",SUMPRODUCT(('LND Segmentation'!$M$75:$M$151=TRUE)*($AD52='LND Segmentation'!$AK$75:$AK$151)*('Climate-Alignment Target'!G$49='LND Segmentation'!$Q$74:$V$74)*('LND Segmentation'!$Q$75:$V$151)),"")</f>
        <v/>
      </c>
      <c r="H52" s="557" t="str" cm="1">
        <f t="array" ref="H52">IF($D52="Climate-alignment target",SUMPRODUCT(('LND Segmentation'!$M$75:$M$151=TRUE)*($AD52='LND Segmentation'!$AK$75:$AK$151)*('Climate-Alignment Target'!H$49='LND Segmentation'!$Q$74:$V$74)*('LND Segmentation'!$Q$75:$V$151)),"")</f>
        <v/>
      </c>
      <c r="I52" s="557" t="str" cm="1">
        <f t="array" ref="I52">IF($D52="Climate-alignment target",SUMPRODUCT(('LND Segmentation'!$M$75:$M$151=TRUE)*($AD52='LND Segmentation'!$AK$75:$AK$151)*('Climate-Alignment Target'!I$49='LND Segmentation'!$Q$74:$V$74)*('LND Segmentation'!$Q$75:$V$151)),"")</f>
        <v/>
      </c>
      <c r="J52" s="557" t="str" cm="1">
        <f t="array" ref="J52">IF($D52="Climate-alignment target",SUMPRODUCT(('LND Segmentation'!$M$75:$M$151=TRUE)*($AD52='LND Segmentation'!$AK$75:$AK$151)*('Climate-Alignment Target'!J$49='LND Segmentation'!$Q$74:$V$74)*('LND Segmentation'!$Q$75:$V$151)),"")</f>
        <v/>
      </c>
      <c r="K52" s="557" t="str">
        <f t="shared" ref="K52:K72" si="14">IF(D52&lt;&gt;"Climate-alignment target","",SUM(F52:J52))</f>
        <v/>
      </c>
      <c r="L52" s="557" t="str">
        <f t="shared" ref="L52:L72" si="15">IF(AND(E52=K52,D52="Climate-alignment target"),"OK",IF(D52="Sector target","OK - covered by sector target",IF(AND(E52=0,D52="No target type selected"),"","Select a target type")))</f>
        <v/>
      </c>
      <c r="M52" s="562">
        <f t="shared" si="11"/>
        <v>0</v>
      </c>
      <c r="N52" s="915"/>
      <c r="O52" s="563"/>
      <c r="P52" s="562" t="str">
        <f>IF(AND($D52="Climate-alignment target",$N$51&lt;&gt;""),IF(M52&gt;$Z52,M52,(M52+($Z52-M52)/($Y52-$I$9)*($N$51-$I$9))),"")</f>
        <v/>
      </c>
      <c r="Q52" s="560" t="str">
        <f t="shared" ref="Q52:Q72" si="16">IF(O52="","",IF(O52-P52&gt;=0,"OK","Minimum ambition not met, please increase ambition"))</f>
        <v/>
      </c>
      <c r="R52" s="16"/>
      <c r="U52" s="1"/>
      <c r="V52" s="1"/>
      <c r="W52" s="26"/>
      <c r="X52" s="113" t="s">
        <v>368</v>
      </c>
      <c r="Y52" s="113">
        <f t="shared" si="12"/>
        <v>2035</v>
      </c>
      <c r="Z52" s="113">
        <f t="shared" si="13"/>
        <v>0.95</v>
      </c>
      <c r="AA52" s="121"/>
      <c r="AB52" s="121" t="str">
        <f t="shared" ref="AB52:AB72" si="17">IF($D52&lt;&gt;"Climate-alignment target","",O52*K52)</f>
        <v/>
      </c>
      <c r="AC52" s="121" t="str">
        <f t="shared" ref="AC52:AC72" si="18">IF($D52&lt;&gt;"Climate-alignment target","",K52)</f>
        <v/>
      </c>
      <c r="AD52" s="107" t="s">
        <v>172</v>
      </c>
    </row>
    <row r="53" spans="1:30" ht="53" hidden="1" customHeight="1" outlineLevel="3">
      <c r="A53" s="339" t="s">
        <v>121</v>
      </c>
      <c r="B53" s="340" t="s">
        <v>120</v>
      </c>
      <c r="C53" s="927"/>
      <c r="D53" s="333" t="str">
        <f>IF(SUMIF('LND Segmentation'!$AK$75:$AK$151,'Climate-Alignment Target'!AD53,'LND Segmentation'!$AL$75:$AL$151)&gt;0,"Climate-alignment target",IF(SUMIF('LND Segmentation'!$AK$75:$AK$151,'Climate-Alignment Target'!AD53,'LND Segmentation'!$AM$75:$AM$151)&gt;0,"Sector target","No target type selected"))</f>
        <v>No target type selected</v>
      </c>
      <c r="E53" s="557" cm="1">
        <f t="array" ref="E53">SUMPRODUCT(('LND Segmentation'!$M$75:$M$151=TRUE)*($AD53='LND Segmentation'!$AK$75:$AK$151)*('Climate-Alignment Target'!E$49='LND Segmentation'!$Q$74:$V$74)*('LND Segmentation'!$Q$75:$V$151))</f>
        <v>0</v>
      </c>
      <c r="F53" s="557" t="str" cm="1">
        <f t="array" ref="F53">IF($D53="Climate-alignment target",SUMPRODUCT(('LND Segmentation'!$M$75:$M$151=TRUE)*($AD53='LND Segmentation'!$AK$75:$AK$151)*('Climate-Alignment Target'!F$49='LND Segmentation'!$Q$74:$V$74)*('LND Segmentation'!$Q$75:$V$151)),"")</f>
        <v/>
      </c>
      <c r="G53" s="557" t="str" cm="1">
        <f t="array" ref="G53">IF($D53="Climate-alignment target",SUMPRODUCT(('LND Segmentation'!$M$75:$M$151=TRUE)*($AD53='LND Segmentation'!$AK$75:$AK$151)*('Climate-Alignment Target'!G$49='LND Segmentation'!$Q$74:$V$74)*('LND Segmentation'!$Q$75:$V$151)),"")</f>
        <v/>
      </c>
      <c r="H53" s="557" t="str" cm="1">
        <f t="array" ref="H53">IF($D53="Climate-alignment target",SUMPRODUCT(('LND Segmentation'!$M$75:$M$151=TRUE)*($AD53='LND Segmentation'!$AK$75:$AK$151)*('Climate-Alignment Target'!H$49='LND Segmentation'!$Q$74:$V$74)*('LND Segmentation'!$Q$75:$V$151)),"")</f>
        <v/>
      </c>
      <c r="I53" s="557" t="str" cm="1">
        <f t="array" ref="I53">IF($D53="Climate-alignment target",SUMPRODUCT(('LND Segmentation'!$M$75:$M$151=TRUE)*($AD53='LND Segmentation'!$AK$75:$AK$151)*('Climate-Alignment Target'!I$49='LND Segmentation'!$Q$74:$V$74)*('LND Segmentation'!$Q$75:$V$151)),"")</f>
        <v/>
      </c>
      <c r="J53" s="557" t="str" cm="1">
        <f t="array" ref="J53">IF($D53="Climate-alignment target",SUMPRODUCT(('LND Segmentation'!$M$75:$M$151=TRUE)*($AD53='LND Segmentation'!$AK$75:$AK$151)*('Climate-Alignment Target'!J$49='LND Segmentation'!$Q$74:$V$74)*('LND Segmentation'!$Q$75:$V$151)),"")</f>
        <v/>
      </c>
      <c r="K53" s="557" t="str">
        <f t="shared" si="14"/>
        <v/>
      </c>
      <c r="L53" s="557" t="str">
        <f t="shared" si="15"/>
        <v/>
      </c>
      <c r="M53" s="562">
        <f t="shared" si="11"/>
        <v>0</v>
      </c>
      <c r="N53" s="915"/>
      <c r="O53" s="563"/>
      <c r="P53" s="562" t="str">
        <f t="shared" ref="P53:P72" si="19">IF(AND($D53="Climate-alignment target",$N$51&lt;&gt;""),IF(M53&gt;$Z53,M53,(M53+($Z53-M53)/($Y53-$I$9)*($N$51-$I$9))),"")</f>
        <v/>
      </c>
      <c r="Q53" s="560" t="str">
        <f t="shared" si="16"/>
        <v/>
      </c>
      <c r="R53" s="16"/>
      <c r="U53" s="1"/>
      <c r="V53" s="1"/>
      <c r="W53" s="26"/>
      <c r="X53" s="113" t="s">
        <v>373</v>
      </c>
      <c r="Y53" s="113">
        <f t="shared" si="12"/>
        <v>2040</v>
      </c>
      <c r="Z53" s="113">
        <f t="shared" si="13"/>
        <v>0.95</v>
      </c>
      <c r="AA53" s="121"/>
      <c r="AB53" s="121" t="str">
        <f t="shared" si="17"/>
        <v/>
      </c>
      <c r="AC53" s="121" t="str">
        <f t="shared" si="18"/>
        <v/>
      </c>
      <c r="AD53" s="107" t="s">
        <v>173</v>
      </c>
    </row>
    <row r="54" spans="1:30" ht="53" hidden="1" customHeight="1" outlineLevel="3">
      <c r="A54" s="340" t="s">
        <v>121</v>
      </c>
      <c r="B54" s="340" t="s">
        <v>393</v>
      </c>
      <c r="C54" s="927"/>
      <c r="D54" s="333" t="str">
        <f>IF(SUMIF('LND Segmentation'!$AK$75:$AK$151,'Climate-Alignment Target'!AD54,'LND Segmentation'!$AL$75:$AL$151)&gt;0,"Climate-alignment target",IF(SUMIF('LND Segmentation'!$AK$75:$AK$151,'Climate-Alignment Target'!AD54,'LND Segmentation'!$AM$75:$AM$151)&gt;0,"Sector target","No target type selected"))</f>
        <v>No target type selected</v>
      </c>
      <c r="E54" s="557" cm="1">
        <f t="array" ref="E54">SUMPRODUCT(('LND Segmentation'!$M$75:$M$151=TRUE)*($AD54='LND Segmentation'!$AK$75:$AK$151)*('Climate-Alignment Target'!E$49='LND Segmentation'!$Q$74:$V$74)*('LND Segmentation'!$Q$75:$V$151))</f>
        <v>0</v>
      </c>
      <c r="F54" s="557" t="str" cm="1">
        <f t="array" ref="F54">IF($D54="Climate-alignment target",SUMPRODUCT(('LND Segmentation'!$M$75:$M$151=TRUE)*($AD54='LND Segmentation'!$AK$75:$AK$151)*('Climate-Alignment Target'!F$49='LND Segmentation'!$Q$74:$V$74)*('LND Segmentation'!$Q$75:$V$151)),"")</f>
        <v/>
      </c>
      <c r="G54" s="557" t="str" cm="1">
        <f t="array" ref="G54">IF($D54="Climate-alignment target",SUMPRODUCT(('LND Segmentation'!$M$75:$M$151=TRUE)*($AD54='LND Segmentation'!$AK$75:$AK$151)*('Climate-Alignment Target'!G$49='LND Segmentation'!$Q$74:$V$74)*('LND Segmentation'!$Q$75:$V$151)),"")</f>
        <v/>
      </c>
      <c r="H54" s="557" t="str" cm="1">
        <f t="array" ref="H54">IF($D54="Climate-alignment target",SUMPRODUCT(('LND Segmentation'!$M$75:$M$151=TRUE)*($AD54='LND Segmentation'!$AK$75:$AK$151)*('Climate-Alignment Target'!H$49='LND Segmentation'!$Q$74:$V$74)*('LND Segmentation'!$Q$75:$V$151)),"")</f>
        <v/>
      </c>
      <c r="I54" s="557" t="str" cm="1">
        <f t="array" ref="I54">IF($D54="Climate-alignment target",SUMPRODUCT(('LND Segmentation'!$M$75:$M$151=TRUE)*($AD54='LND Segmentation'!$AK$75:$AK$151)*('Climate-Alignment Target'!I$49='LND Segmentation'!$Q$74:$V$74)*('LND Segmentation'!$Q$75:$V$151)),"")</f>
        <v/>
      </c>
      <c r="J54" s="557" t="str" cm="1">
        <f t="array" ref="J54">IF($D54="Climate-alignment target",SUMPRODUCT(('LND Segmentation'!$M$75:$M$151=TRUE)*($AD54='LND Segmentation'!$AK$75:$AK$151)*('Climate-Alignment Target'!J$49='LND Segmentation'!$Q$74:$V$74)*('LND Segmentation'!$Q$75:$V$151)),"")</f>
        <v/>
      </c>
      <c r="K54" s="557" t="str">
        <f t="shared" si="14"/>
        <v/>
      </c>
      <c r="L54" s="557" t="str">
        <f t="shared" si="15"/>
        <v/>
      </c>
      <c r="M54" s="562">
        <f t="shared" si="11"/>
        <v>0</v>
      </c>
      <c r="N54" s="915"/>
      <c r="O54" s="563"/>
      <c r="P54" s="562" t="str">
        <f t="shared" si="19"/>
        <v/>
      </c>
      <c r="Q54" s="560" t="str">
        <f t="shared" si="16"/>
        <v/>
      </c>
      <c r="R54" s="16"/>
      <c r="U54" s="1"/>
      <c r="V54" s="1"/>
      <c r="W54" s="26"/>
      <c r="X54" s="113" t="s">
        <v>373</v>
      </c>
      <c r="Y54" s="113">
        <f t="shared" si="12"/>
        <v>2040</v>
      </c>
      <c r="Z54" s="113">
        <f t="shared" si="13"/>
        <v>0.95</v>
      </c>
      <c r="AA54" s="121"/>
      <c r="AB54" s="121" t="str">
        <f t="shared" si="17"/>
        <v/>
      </c>
      <c r="AC54" s="121" t="str">
        <f t="shared" si="18"/>
        <v/>
      </c>
      <c r="AD54" s="107" t="s">
        <v>178</v>
      </c>
    </row>
    <row r="55" spans="1:30" ht="53" hidden="1" customHeight="1" outlineLevel="3">
      <c r="A55" s="340" t="s">
        <v>136</v>
      </c>
      <c r="B55" s="340" t="s">
        <v>393</v>
      </c>
      <c r="C55" s="927"/>
      <c r="D55" s="333" t="str">
        <f>IF(SUMIF('LND Segmentation'!$AK$75:$AK$151,'Climate-Alignment Target'!AD55,'LND Segmentation'!$AL$75:$AL$151)&gt;0,"Climate-alignment target",IF(SUMIF('LND Segmentation'!$AK$75:$AK$151,'Climate-Alignment Target'!AD55,'LND Segmentation'!$AM$75:$AM$151)&gt;0,"Sector target","No target type selected"))</f>
        <v>No target type selected</v>
      </c>
      <c r="E55" s="557" cm="1">
        <f t="array" ref="E55">SUMPRODUCT(('LND Segmentation'!$M$75:$M$151=TRUE)*($AD55='LND Segmentation'!$AK$75:$AK$151)*('Climate-Alignment Target'!E$49='LND Segmentation'!$Q$74:$V$74)*('LND Segmentation'!$Q$75:$V$151))</f>
        <v>0</v>
      </c>
      <c r="F55" s="557" t="str" cm="1">
        <f t="array" ref="F55">IF($D55="Climate-alignment target",SUMPRODUCT(('LND Segmentation'!$M$75:$M$151=TRUE)*($AD55='LND Segmentation'!$AK$75:$AK$151)*('Climate-Alignment Target'!F$49='LND Segmentation'!$Q$74:$V$74)*('LND Segmentation'!$Q$75:$V$151)),"")</f>
        <v/>
      </c>
      <c r="G55" s="557" t="str" cm="1">
        <f t="array" ref="G55">IF($D55="Climate-alignment target",SUMPRODUCT(('LND Segmentation'!$M$75:$M$151=TRUE)*($AD55='LND Segmentation'!$AK$75:$AK$151)*('Climate-Alignment Target'!G$49='LND Segmentation'!$Q$74:$V$74)*('LND Segmentation'!$Q$75:$V$151)),"")</f>
        <v/>
      </c>
      <c r="H55" s="557" t="str" cm="1">
        <f t="array" ref="H55">IF($D55="Climate-alignment target",SUMPRODUCT(('LND Segmentation'!$M$75:$M$151=TRUE)*($AD55='LND Segmentation'!$AK$75:$AK$151)*('Climate-Alignment Target'!H$49='LND Segmentation'!$Q$74:$V$74)*('LND Segmentation'!$Q$75:$V$151)),"")</f>
        <v/>
      </c>
      <c r="I55" s="557" t="str" cm="1">
        <f t="array" ref="I55">IF($D55="Climate-alignment target",SUMPRODUCT(('LND Segmentation'!$M$75:$M$151=TRUE)*($AD55='LND Segmentation'!$AK$75:$AK$151)*('Climate-Alignment Target'!I$49='LND Segmentation'!$Q$74:$V$74)*('LND Segmentation'!$Q$75:$V$151)),"")</f>
        <v/>
      </c>
      <c r="J55" s="557" t="str" cm="1">
        <f t="array" ref="J55">IF($D55="Climate-alignment target",SUMPRODUCT(('LND Segmentation'!$M$75:$M$151=TRUE)*($AD55='LND Segmentation'!$AK$75:$AK$151)*('Climate-Alignment Target'!J$49='LND Segmentation'!$Q$74:$V$74)*('LND Segmentation'!$Q$75:$V$151)),"")</f>
        <v/>
      </c>
      <c r="K55" s="557" t="str">
        <f t="shared" si="14"/>
        <v/>
      </c>
      <c r="L55" s="557" t="str">
        <f t="shared" si="15"/>
        <v/>
      </c>
      <c r="M55" s="562">
        <f t="shared" si="11"/>
        <v>0</v>
      </c>
      <c r="N55" s="915"/>
      <c r="O55" s="563"/>
      <c r="P55" s="562" t="str">
        <f t="shared" si="19"/>
        <v/>
      </c>
      <c r="Q55" s="560" t="str">
        <f t="shared" si="16"/>
        <v/>
      </c>
      <c r="R55" s="16"/>
      <c r="U55" s="1"/>
      <c r="V55" s="1"/>
      <c r="W55" s="26"/>
      <c r="X55" s="113" t="s">
        <v>378</v>
      </c>
      <c r="Y55" s="113">
        <f t="shared" si="12"/>
        <v>2050</v>
      </c>
      <c r="Z55" s="113">
        <f t="shared" si="13"/>
        <v>0.95</v>
      </c>
      <c r="AA55" s="121"/>
      <c r="AB55" s="121" t="str">
        <f t="shared" si="17"/>
        <v/>
      </c>
      <c r="AC55" s="121" t="str">
        <f t="shared" si="18"/>
        <v/>
      </c>
      <c r="AD55" s="107" t="s">
        <v>216</v>
      </c>
    </row>
    <row r="56" spans="1:30" ht="53" hidden="1" customHeight="1" outlineLevel="3">
      <c r="A56" s="340" t="s">
        <v>121</v>
      </c>
      <c r="B56" s="340" t="s">
        <v>394</v>
      </c>
      <c r="C56" s="927"/>
      <c r="D56" s="333" t="str">
        <f>IF(SUMIF('LND Segmentation'!$AK$75:$AK$151,'Climate-Alignment Target'!AD56,'LND Segmentation'!$AL$75:$AL$151)&gt;0,"Climate-alignment target",IF(SUMIF('LND Segmentation'!$AK$75:$AK$151,'Climate-Alignment Target'!AD56,'LND Segmentation'!$AM$75:$AM$151)&gt;0,"Sector target","No target type selected"))</f>
        <v>No target type selected</v>
      </c>
      <c r="E56" s="557" cm="1">
        <f t="array" ref="E56">SUMPRODUCT(('LND Segmentation'!$M$75:$M$151=TRUE)*($AD56='LND Segmentation'!$AK$75:$AK$151)*('Climate-Alignment Target'!E$49='LND Segmentation'!$Q$74:$V$74)*('LND Segmentation'!$Q$75:$V$151))</f>
        <v>0</v>
      </c>
      <c r="F56" s="557" t="str" cm="1">
        <f t="array" ref="F56">IF($D56="Climate-alignment target",SUMPRODUCT(('LND Segmentation'!$M$75:$M$151=TRUE)*($AD56='LND Segmentation'!$AK$75:$AK$151)*('Climate-Alignment Target'!F$49='LND Segmentation'!$Q$74:$V$74)*('LND Segmentation'!$Q$75:$V$151)),"")</f>
        <v/>
      </c>
      <c r="G56" s="557" t="str" cm="1">
        <f t="array" ref="G56">IF($D56="Climate-alignment target",SUMPRODUCT(('LND Segmentation'!$M$75:$M$151=TRUE)*($AD56='LND Segmentation'!$AK$75:$AK$151)*('Climate-Alignment Target'!G$49='LND Segmentation'!$Q$74:$V$74)*('LND Segmentation'!$Q$75:$V$151)),"")</f>
        <v/>
      </c>
      <c r="H56" s="557" t="str" cm="1">
        <f t="array" ref="H56">IF($D56="Climate-alignment target",SUMPRODUCT(('LND Segmentation'!$M$75:$M$151=TRUE)*($AD56='LND Segmentation'!$AK$75:$AK$151)*('Climate-Alignment Target'!H$49='LND Segmentation'!$Q$74:$V$74)*('LND Segmentation'!$Q$75:$V$151)),"")</f>
        <v/>
      </c>
      <c r="I56" s="557" t="str" cm="1">
        <f t="array" ref="I56">IF($D56="Climate-alignment target",SUMPRODUCT(('LND Segmentation'!$M$75:$M$151=TRUE)*($AD56='LND Segmentation'!$AK$75:$AK$151)*('Climate-Alignment Target'!I$49='LND Segmentation'!$Q$74:$V$74)*('LND Segmentation'!$Q$75:$V$151)),"")</f>
        <v/>
      </c>
      <c r="J56" s="557" t="str" cm="1">
        <f t="array" ref="J56">IF($D56="Climate-alignment target",SUMPRODUCT(('LND Segmentation'!$M$75:$M$151=TRUE)*($AD56='LND Segmentation'!$AK$75:$AK$151)*('Climate-Alignment Target'!J$49='LND Segmentation'!$Q$74:$V$74)*('LND Segmentation'!$Q$75:$V$151)),"")</f>
        <v/>
      </c>
      <c r="K56" s="557" t="str">
        <f t="shared" si="14"/>
        <v/>
      </c>
      <c r="L56" s="557" t="str">
        <f t="shared" si="15"/>
        <v/>
      </c>
      <c r="M56" s="562">
        <f t="shared" si="11"/>
        <v>0</v>
      </c>
      <c r="N56" s="915"/>
      <c r="O56" s="563"/>
      <c r="P56" s="562" t="str">
        <f t="shared" si="19"/>
        <v/>
      </c>
      <c r="Q56" s="560" t="str">
        <f t="shared" si="16"/>
        <v/>
      </c>
      <c r="R56" s="16"/>
      <c r="U56" s="1"/>
      <c r="V56" s="1"/>
      <c r="W56" s="26"/>
      <c r="X56" s="113" t="s">
        <v>373</v>
      </c>
      <c r="Y56" s="113">
        <f t="shared" si="12"/>
        <v>2040</v>
      </c>
      <c r="Z56" s="113">
        <f t="shared" si="13"/>
        <v>0.95</v>
      </c>
      <c r="AA56" s="121"/>
      <c r="AB56" s="121" t="str">
        <f t="shared" si="17"/>
        <v/>
      </c>
      <c r="AC56" s="121" t="str">
        <f t="shared" si="18"/>
        <v/>
      </c>
      <c r="AD56" s="107" t="s">
        <v>182</v>
      </c>
    </row>
    <row r="57" spans="1:30" ht="53" hidden="1" customHeight="1" outlineLevel="3">
      <c r="A57" s="340" t="s">
        <v>136</v>
      </c>
      <c r="B57" s="340" t="s">
        <v>394</v>
      </c>
      <c r="C57" s="927"/>
      <c r="D57" s="333" t="str">
        <f>IF(SUMIF('LND Segmentation'!$AK$75:$AK$151,'Climate-Alignment Target'!AD57,'LND Segmentation'!$AL$75:$AL$151)&gt;0,"Climate-alignment target",IF(SUMIF('LND Segmentation'!$AK$75:$AK$151,'Climate-Alignment Target'!AD57,'LND Segmentation'!$AM$75:$AM$151)&gt;0,"Sector target","No target type selected"))</f>
        <v>No target type selected</v>
      </c>
      <c r="E57" s="557" cm="1">
        <f t="array" ref="E57">SUMPRODUCT(('LND Segmentation'!$M$75:$M$151=TRUE)*($AD57='LND Segmentation'!$AK$75:$AK$151)*('Climate-Alignment Target'!E$49='LND Segmentation'!$Q$74:$V$74)*('LND Segmentation'!$Q$75:$V$151))</f>
        <v>0</v>
      </c>
      <c r="F57" s="557" t="str" cm="1">
        <f t="array" ref="F57">IF($D57="Climate-alignment target",SUMPRODUCT(('LND Segmentation'!$M$75:$M$151=TRUE)*($AD57='LND Segmentation'!$AK$75:$AK$151)*('Climate-Alignment Target'!F$49='LND Segmentation'!$Q$74:$V$74)*('LND Segmentation'!$Q$75:$V$151)),"")</f>
        <v/>
      </c>
      <c r="G57" s="557" t="str" cm="1">
        <f t="array" ref="G57">IF($D57="Climate-alignment target",SUMPRODUCT(('LND Segmentation'!$M$75:$M$151=TRUE)*($AD57='LND Segmentation'!$AK$75:$AK$151)*('Climate-Alignment Target'!G$49='LND Segmentation'!$Q$74:$V$74)*('LND Segmentation'!$Q$75:$V$151)),"")</f>
        <v/>
      </c>
      <c r="H57" s="557" t="str" cm="1">
        <f t="array" ref="H57">IF($D57="Climate-alignment target",SUMPRODUCT(('LND Segmentation'!$M$75:$M$151=TRUE)*($AD57='LND Segmentation'!$AK$75:$AK$151)*('Climate-Alignment Target'!H$49='LND Segmentation'!$Q$74:$V$74)*('LND Segmentation'!$Q$75:$V$151)),"")</f>
        <v/>
      </c>
      <c r="I57" s="557" t="str" cm="1">
        <f t="array" ref="I57">IF($D57="Climate-alignment target",SUMPRODUCT(('LND Segmentation'!$M$75:$M$151=TRUE)*($AD57='LND Segmentation'!$AK$75:$AK$151)*('Climate-Alignment Target'!I$49='LND Segmentation'!$Q$74:$V$74)*('LND Segmentation'!$Q$75:$V$151)),"")</f>
        <v/>
      </c>
      <c r="J57" s="557" t="str" cm="1">
        <f t="array" ref="J57">IF($D57="Climate-alignment target",SUMPRODUCT(('LND Segmentation'!$M$75:$M$151=TRUE)*($AD57='LND Segmentation'!$AK$75:$AK$151)*('Climate-Alignment Target'!J$49='LND Segmentation'!$Q$74:$V$74)*('LND Segmentation'!$Q$75:$V$151)),"")</f>
        <v/>
      </c>
      <c r="K57" s="557" t="str">
        <f t="shared" si="14"/>
        <v/>
      </c>
      <c r="L57" s="557" t="str">
        <f t="shared" si="15"/>
        <v/>
      </c>
      <c r="M57" s="562">
        <f t="shared" si="11"/>
        <v>0</v>
      </c>
      <c r="N57" s="915"/>
      <c r="O57" s="563"/>
      <c r="P57" s="562" t="str">
        <f t="shared" si="19"/>
        <v/>
      </c>
      <c r="Q57" s="560" t="str">
        <f t="shared" si="16"/>
        <v/>
      </c>
      <c r="R57" s="16"/>
      <c r="U57" s="1"/>
      <c r="V57" s="1"/>
      <c r="W57" s="26"/>
      <c r="X57" s="113" t="s">
        <v>378</v>
      </c>
      <c r="Y57" s="113">
        <f t="shared" si="12"/>
        <v>2050</v>
      </c>
      <c r="Z57" s="113">
        <f t="shared" si="13"/>
        <v>0.95</v>
      </c>
      <c r="AA57" s="121"/>
      <c r="AB57" s="121" t="str">
        <f t="shared" si="17"/>
        <v/>
      </c>
      <c r="AC57" s="121" t="str">
        <f t="shared" si="18"/>
        <v/>
      </c>
      <c r="AD57" s="107" t="s">
        <v>218</v>
      </c>
    </row>
    <row r="58" spans="1:30" ht="53" hidden="1" customHeight="1" outlineLevel="3">
      <c r="A58" s="340" t="s">
        <v>121</v>
      </c>
      <c r="B58" s="340" t="s">
        <v>395</v>
      </c>
      <c r="C58" s="927"/>
      <c r="D58" s="333" t="str">
        <f>IF(SUMIF('LND Segmentation'!$AK$75:$AK$151,'Climate-Alignment Target'!AD58,'LND Segmentation'!$AL$75:$AL$151)&gt;0,"Climate-alignment target",IF(SUMIF('LND Segmentation'!$AK$75:$AK$151,'Climate-Alignment Target'!AD58,'LND Segmentation'!$AM$75:$AM$151)&gt;0,"Sector target","No target type selected"))</f>
        <v>No target type selected</v>
      </c>
      <c r="E58" s="557" cm="1">
        <f t="array" ref="E58">SUMPRODUCT(('LND Segmentation'!$M$75:$M$151=TRUE)*($AD58='LND Segmentation'!$AK$75:$AK$151)*('Climate-Alignment Target'!E$49='LND Segmentation'!$Q$74:$V$74)*('LND Segmentation'!$Q$75:$V$151))</f>
        <v>0</v>
      </c>
      <c r="F58" s="557" t="str" cm="1">
        <f t="array" ref="F58">IF($D58="Climate-alignment target",SUMPRODUCT(('LND Segmentation'!$M$75:$M$151=TRUE)*($AD58='LND Segmentation'!$AK$75:$AK$151)*('Climate-Alignment Target'!F$49='LND Segmentation'!$Q$74:$V$74)*('LND Segmentation'!$Q$75:$V$151)),"")</f>
        <v/>
      </c>
      <c r="G58" s="557" t="str" cm="1">
        <f t="array" ref="G58">IF($D58="Climate-alignment target",SUMPRODUCT(('LND Segmentation'!$M$75:$M$151=TRUE)*($AD58='LND Segmentation'!$AK$75:$AK$151)*('Climate-Alignment Target'!G$49='LND Segmentation'!$Q$74:$V$74)*('LND Segmentation'!$Q$75:$V$151)),"")</f>
        <v/>
      </c>
      <c r="H58" s="557" t="str" cm="1">
        <f t="array" ref="H58">IF($D58="Climate-alignment target",SUMPRODUCT(('LND Segmentation'!$M$75:$M$151=TRUE)*($AD58='LND Segmentation'!$AK$75:$AK$151)*('Climate-Alignment Target'!H$49='LND Segmentation'!$Q$74:$V$74)*('LND Segmentation'!$Q$75:$V$151)),"")</f>
        <v/>
      </c>
      <c r="I58" s="557" t="str" cm="1">
        <f t="array" ref="I58">IF($D58="Climate-alignment target",SUMPRODUCT(('LND Segmentation'!$M$75:$M$151=TRUE)*($AD58='LND Segmentation'!$AK$75:$AK$151)*('Climate-Alignment Target'!I$49='LND Segmentation'!$Q$74:$V$74)*('LND Segmentation'!$Q$75:$V$151)),"")</f>
        <v/>
      </c>
      <c r="J58" s="557" t="str" cm="1">
        <f t="array" ref="J58">IF($D58="Climate-alignment target",SUMPRODUCT(('LND Segmentation'!$M$75:$M$151=TRUE)*($AD58='LND Segmentation'!$AK$75:$AK$151)*('Climate-Alignment Target'!J$49='LND Segmentation'!$Q$74:$V$74)*('LND Segmentation'!$Q$75:$V$151)),"")</f>
        <v/>
      </c>
      <c r="K58" s="557" t="str">
        <f t="shared" si="14"/>
        <v/>
      </c>
      <c r="L58" s="557" t="str">
        <f t="shared" si="15"/>
        <v/>
      </c>
      <c r="M58" s="562">
        <f t="shared" si="11"/>
        <v>0</v>
      </c>
      <c r="N58" s="915"/>
      <c r="O58" s="563"/>
      <c r="P58" s="562" t="str">
        <f t="shared" si="19"/>
        <v/>
      </c>
      <c r="Q58" s="560" t="str">
        <f t="shared" si="16"/>
        <v/>
      </c>
      <c r="R58" s="16"/>
      <c r="U58" s="1"/>
      <c r="V58" s="1"/>
      <c r="W58" s="26"/>
      <c r="X58" s="113" t="s">
        <v>373</v>
      </c>
      <c r="Y58" s="113">
        <f t="shared" si="12"/>
        <v>2040</v>
      </c>
      <c r="Z58" s="113">
        <f t="shared" si="13"/>
        <v>0.95</v>
      </c>
      <c r="AA58" s="121"/>
      <c r="AB58" s="121" t="str">
        <f t="shared" si="17"/>
        <v/>
      </c>
      <c r="AC58" s="121" t="str">
        <f t="shared" si="18"/>
        <v/>
      </c>
      <c r="AD58" s="107" t="s">
        <v>187</v>
      </c>
    </row>
    <row r="59" spans="1:30" ht="53" hidden="1" customHeight="1" outlineLevel="3">
      <c r="A59" s="340" t="s">
        <v>136</v>
      </c>
      <c r="B59" s="340" t="s">
        <v>395</v>
      </c>
      <c r="C59" s="927"/>
      <c r="D59" s="333" t="str">
        <f>IF(SUMIF('LND Segmentation'!$AK$75:$AK$151,'Climate-Alignment Target'!AD59,'LND Segmentation'!$AL$75:$AL$151)&gt;0,"Climate-alignment target",IF(SUMIF('LND Segmentation'!$AK$75:$AK$151,'Climate-Alignment Target'!AD59,'LND Segmentation'!$AM$75:$AM$151)&gt;0,"Sector target","No target type selected"))</f>
        <v>No target type selected</v>
      </c>
      <c r="E59" s="557" cm="1">
        <f t="array" ref="E59">SUMPRODUCT(('LND Segmentation'!$M$75:$M$151=TRUE)*($AD59='LND Segmentation'!$AK$75:$AK$151)*('Climate-Alignment Target'!E$49='LND Segmentation'!$Q$74:$V$74)*('LND Segmentation'!$Q$75:$V$151))</f>
        <v>0</v>
      </c>
      <c r="F59" s="557" t="str" cm="1">
        <f t="array" ref="F59">IF($D59="Climate-alignment target",SUMPRODUCT(('LND Segmentation'!$M$75:$M$151=TRUE)*($AD59='LND Segmentation'!$AK$75:$AK$151)*('Climate-Alignment Target'!F$49='LND Segmentation'!$Q$74:$V$74)*('LND Segmentation'!$Q$75:$V$151)),"")</f>
        <v/>
      </c>
      <c r="G59" s="557" t="str" cm="1">
        <f t="array" ref="G59">IF($D59="Climate-alignment target",SUMPRODUCT(('LND Segmentation'!$M$75:$M$151=TRUE)*($AD59='LND Segmentation'!$AK$75:$AK$151)*('Climate-Alignment Target'!G$49='LND Segmentation'!$Q$74:$V$74)*('LND Segmentation'!$Q$75:$V$151)),"")</f>
        <v/>
      </c>
      <c r="H59" s="557" t="str" cm="1">
        <f t="array" ref="H59">IF($D59="Climate-alignment target",SUMPRODUCT(('LND Segmentation'!$M$75:$M$151=TRUE)*($AD59='LND Segmentation'!$AK$75:$AK$151)*('Climate-Alignment Target'!H$49='LND Segmentation'!$Q$74:$V$74)*('LND Segmentation'!$Q$75:$V$151)),"")</f>
        <v/>
      </c>
      <c r="I59" s="557" t="str" cm="1">
        <f t="array" ref="I59">IF($D59="Climate-alignment target",SUMPRODUCT(('LND Segmentation'!$M$75:$M$151=TRUE)*($AD59='LND Segmentation'!$AK$75:$AK$151)*('Climate-Alignment Target'!I$49='LND Segmentation'!$Q$74:$V$74)*('LND Segmentation'!$Q$75:$V$151)),"")</f>
        <v/>
      </c>
      <c r="J59" s="557" t="str" cm="1">
        <f t="array" ref="J59">IF($D59="Climate-alignment target",SUMPRODUCT(('LND Segmentation'!$M$75:$M$151=TRUE)*($AD59='LND Segmentation'!$AK$75:$AK$151)*('Climate-Alignment Target'!J$49='LND Segmentation'!$Q$74:$V$74)*('LND Segmentation'!$Q$75:$V$151)),"")</f>
        <v/>
      </c>
      <c r="K59" s="557" t="str">
        <f t="shared" si="14"/>
        <v/>
      </c>
      <c r="L59" s="557" t="str">
        <f t="shared" si="15"/>
        <v/>
      </c>
      <c r="M59" s="562">
        <f t="shared" si="11"/>
        <v>0</v>
      </c>
      <c r="N59" s="915"/>
      <c r="O59" s="563"/>
      <c r="P59" s="562" t="str">
        <f t="shared" si="19"/>
        <v/>
      </c>
      <c r="Q59" s="560" t="str">
        <f t="shared" si="16"/>
        <v/>
      </c>
      <c r="R59" s="16"/>
      <c r="U59" s="1"/>
      <c r="V59" s="1"/>
      <c r="W59" s="26"/>
      <c r="X59" s="113" t="s">
        <v>378</v>
      </c>
      <c r="Y59" s="113">
        <f t="shared" si="12"/>
        <v>2050</v>
      </c>
      <c r="Z59" s="113">
        <f t="shared" si="13"/>
        <v>0.95</v>
      </c>
      <c r="AA59" s="121"/>
      <c r="AB59" s="121" t="str">
        <f t="shared" si="17"/>
        <v/>
      </c>
      <c r="AC59" s="121" t="str">
        <f t="shared" si="18"/>
        <v/>
      </c>
      <c r="AD59" s="107" t="s">
        <v>220</v>
      </c>
    </row>
    <row r="60" spans="1:30" ht="53" hidden="1" customHeight="1" outlineLevel="3">
      <c r="A60" s="340" t="s">
        <v>121</v>
      </c>
      <c r="B60" s="340" t="s">
        <v>396</v>
      </c>
      <c r="C60" s="927"/>
      <c r="D60" s="333" t="str">
        <f>IF(SUMIF('LND Segmentation'!$AK$75:$AK$151,'Climate-Alignment Target'!AD60,'LND Segmentation'!$AL$75:$AL$151)&gt;0,"Climate-alignment target",IF(SUMIF('LND Segmentation'!$AK$75:$AK$151,'Climate-Alignment Target'!AD60,'LND Segmentation'!$AM$75:$AM$151)&gt;0,"Sector target","No target type selected"))</f>
        <v>No target type selected</v>
      </c>
      <c r="E60" s="557" cm="1">
        <f t="array" ref="E60">SUMPRODUCT(('LND Segmentation'!$M$75:$M$151=TRUE)*($AD60='LND Segmentation'!$AK$75:$AK$151)*('Climate-Alignment Target'!E$49='LND Segmentation'!$Q$74:$V$74)*('LND Segmentation'!$Q$75:$V$151))</f>
        <v>0</v>
      </c>
      <c r="F60" s="557" t="str" cm="1">
        <f t="array" ref="F60">IF($D60="Climate-alignment target",SUMPRODUCT(('LND Segmentation'!$M$75:$M$151=TRUE)*($AD60='LND Segmentation'!$AK$75:$AK$151)*('Climate-Alignment Target'!F$49='LND Segmentation'!$Q$74:$V$74)*('LND Segmentation'!$Q$75:$V$151)),"")</f>
        <v/>
      </c>
      <c r="G60" s="557" t="str" cm="1">
        <f t="array" ref="G60">IF($D60="Climate-alignment target",SUMPRODUCT(('LND Segmentation'!$M$75:$M$151=TRUE)*($AD60='LND Segmentation'!$AK$75:$AK$151)*('Climate-Alignment Target'!G$49='LND Segmentation'!$Q$74:$V$74)*('LND Segmentation'!$Q$75:$V$151)),"")</f>
        <v/>
      </c>
      <c r="H60" s="557" t="str" cm="1">
        <f t="array" ref="H60">IF($D60="Climate-alignment target",SUMPRODUCT(('LND Segmentation'!$M$75:$M$151=TRUE)*($AD60='LND Segmentation'!$AK$75:$AK$151)*('Climate-Alignment Target'!H$49='LND Segmentation'!$Q$74:$V$74)*('LND Segmentation'!$Q$75:$V$151)),"")</f>
        <v/>
      </c>
      <c r="I60" s="557" t="str" cm="1">
        <f t="array" ref="I60">IF($D60="Climate-alignment target",SUMPRODUCT(('LND Segmentation'!$M$75:$M$151=TRUE)*($AD60='LND Segmentation'!$AK$75:$AK$151)*('Climate-Alignment Target'!I$49='LND Segmentation'!$Q$74:$V$74)*('LND Segmentation'!$Q$75:$V$151)),"")</f>
        <v/>
      </c>
      <c r="J60" s="557" t="str" cm="1">
        <f t="array" ref="J60">IF($D60="Climate-alignment target",SUMPRODUCT(('LND Segmentation'!$M$75:$M$151=TRUE)*($AD60='LND Segmentation'!$AK$75:$AK$151)*('Climate-Alignment Target'!J$49='LND Segmentation'!$Q$74:$V$74)*('LND Segmentation'!$Q$75:$V$151)),"")</f>
        <v/>
      </c>
      <c r="K60" s="557" t="str">
        <f t="shared" si="14"/>
        <v/>
      </c>
      <c r="L60" s="557" t="str">
        <f t="shared" si="15"/>
        <v/>
      </c>
      <c r="M60" s="562">
        <f t="shared" si="11"/>
        <v>0</v>
      </c>
      <c r="N60" s="915"/>
      <c r="O60" s="563"/>
      <c r="P60" s="562" t="str">
        <f t="shared" si="19"/>
        <v/>
      </c>
      <c r="Q60" s="560" t="str">
        <f t="shared" si="16"/>
        <v/>
      </c>
      <c r="R60" s="16"/>
      <c r="U60" s="1"/>
      <c r="V60" s="1"/>
      <c r="W60" s="26"/>
      <c r="X60" s="113" t="s">
        <v>373</v>
      </c>
      <c r="Y60" s="113">
        <f t="shared" si="12"/>
        <v>2040</v>
      </c>
      <c r="Z60" s="113">
        <f t="shared" si="13"/>
        <v>0.95</v>
      </c>
      <c r="AA60" s="121"/>
      <c r="AB60" s="121" t="str">
        <f t="shared" si="17"/>
        <v/>
      </c>
      <c r="AC60" s="121" t="str">
        <f t="shared" si="18"/>
        <v/>
      </c>
      <c r="AD60" s="107" t="s">
        <v>193</v>
      </c>
    </row>
    <row r="61" spans="1:30" ht="53" hidden="1" customHeight="1" outlineLevel="3">
      <c r="A61" s="340" t="s">
        <v>136</v>
      </c>
      <c r="B61" s="340" t="s">
        <v>396</v>
      </c>
      <c r="C61" s="927"/>
      <c r="D61" s="333" t="str">
        <f>IF(SUMIF('LND Segmentation'!$AK$75:$AK$151,'Climate-Alignment Target'!AD61,'LND Segmentation'!$AL$75:$AL$151)&gt;0,"Climate-alignment target",IF(SUMIF('LND Segmentation'!$AK$75:$AK$151,'Climate-Alignment Target'!AD61,'LND Segmentation'!$AM$75:$AM$151)&gt;0,"Sector target","No target type selected"))</f>
        <v>No target type selected</v>
      </c>
      <c r="E61" s="557" cm="1">
        <f t="array" ref="E61">SUMPRODUCT(('LND Segmentation'!$M$75:$M$151=TRUE)*($AD61='LND Segmentation'!$AK$75:$AK$151)*('Climate-Alignment Target'!E$49='LND Segmentation'!$Q$74:$V$74)*('LND Segmentation'!$Q$75:$V$151))</f>
        <v>0</v>
      </c>
      <c r="F61" s="557" t="str" cm="1">
        <f t="array" ref="F61">IF($D61="Climate-alignment target",SUMPRODUCT(('LND Segmentation'!$M$75:$M$151=TRUE)*($AD61='LND Segmentation'!$AK$75:$AK$151)*('Climate-Alignment Target'!F$49='LND Segmentation'!$Q$74:$V$74)*('LND Segmentation'!$Q$75:$V$151)),"")</f>
        <v/>
      </c>
      <c r="G61" s="557" t="str" cm="1">
        <f t="array" ref="G61">IF($D61="Climate-alignment target",SUMPRODUCT(('LND Segmentation'!$M$75:$M$151=TRUE)*($AD61='LND Segmentation'!$AK$75:$AK$151)*('Climate-Alignment Target'!G$49='LND Segmentation'!$Q$74:$V$74)*('LND Segmentation'!$Q$75:$V$151)),"")</f>
        <v/>
      </c>
      <c r="H61" s="557" t="str" cm="1">
        <f t="array" ref="H61">IF($D61="Climate-alignment target",SUMPRODUCT(('LND Segmentation'!$M$75:$M$151=TRUE)*($AD61='LND Segmentation'!$AK$75:$AK$151)*('Climate-Alignment Target'!H$49='LND Segmentation'!$Q$74:$V$74)*('LND Segmentation'!$Q$75:$V$151)),"")</f>
        <v/>
      </c>
      <c r="I61" s="557" t="str" cm="1">
        <f t="array" ref="I61">IF($D61="Climate-alignment target",SUMPRODUCT(('LND Segmentation'!$M$75:$M$151=TRUE)*($AD61='LND Segmentation'!$AK$75:$AK$151)*('Climate-Alignment Target'!I$49='LND Segmentation'!$Q$74:$V$74)*('LND Segmentation'!$Q$75:$V$151)),"")</f>
        <v/>
      </c>
      <c r="J61" s="557" t="str" cm="1">
        <f t="array" ref="J61">IF($D61="Climate-alignment target",SUMPRODUCT(('LND Segmentation'!$M$75:$M$151=TRUE)*($AD61='LND Segmentation'!$AK$75:$AK$151)*('Climate-Alignment Target'!J$49='LND Segmentation'!$Q$74:$V$74)*('LND Segmentation'!$Q$75:$V$151)),"")</f>
        <v/>
      </c>
      <c r="K61" s="557" t="str">
        <f t="shared" si="14"/>
        <v/>
      </c>
      <c r="L61" s="557" t="str">
        <f t="shared" si="15"/>
        <v/>
      </c>
      <c r="M61" s="562">
        <f t="shared" si="11"/>
        <v>0</v>
      </c>
      <c r="N61" s="915"/>
      <c r="O61" s="563"/>
      <c r="P61" s="562" t="str">
        <f t="shared" si="19"/>
        <v/>
      </c>
      <c r="Q61" s="560" t="str">
        <f t="shared" si="16"/>
        <v/>
      </c>
      <c r="R61" s="16"/>
      <c r="U61" s="1"/>
      <c r="V61" s="1"/>
      <c r="W61" s="26"/>
      <c r="X61" s="113" t="s">
        <v>378</v>
      </c>
      <c r="Y61" s="113">
        <f t="shared" si="12"/>
        <v>2050</v>
      </c>
      <c r="Z61" s="113">
        <f t="shared" si="13"/>
        <v>0.95</v>
      </c>
      <c r="AA61" s="121"/>
      <c r="AB61" s="121" t="str">
        <f t="shared" si="17"/>
        <v/>
      </c>
      <c r="AC61" s="121" t="str">
        <f t="shared" si="18"/>
        <v/>
      </c>
      <c r="AD61" s="107" t="s">
        <v>221</v>
      </c>
    </row>
    <row r="62" spans="1:30" ht="53" hidden="1" customHeight="1" outlineLevel="3">
      <c r="A62" s="340" t="s">
        <v>121</v>
      </c>
      <c r="B62" s="340" t="s">
        <v>397</v>
      </c>
      <c r="C62" s="927"/>
      <c r="D62" s="333" t="str">
        <f>IF(SUMIF('LND Segmentation'!$AK$75:$AK$151,'Climate-Alignment Target'!AD62,'LND Segmentation'!$AL$75:$AL$151)&gt;0,"Climate-alignment target",IF(SUMIF('LND Segmentation'!$AK$75:$AK$151,'Climate-Alignment Target'!AD62,'LND Segmentation'!$AM$75:$AM$151)&gt;0,"Sector target","No target type selected"))</f>
        <v>No target type selected</v>
      </c>
      <c r="E62" s="557" cm="1">
        <f t="array" ref="E62">SUMPRODUCT(('LND Segmentation'!$M$75:$M$151=TRUE)*($AD62='LND Segmentation'!$AK$75:$AK$151)*('Climate-Alignment Target'!E$49='LND Segmentation'!$Q$74:$V$74)*('LND Segmentation'!$Q$75:$V$151))</f>
        <v>0</v>
      </c>
      <c r="F62" s="557" t="str" cm="1">
        <f t="array" ref="F62">IF($D62="Climate-alignment target",SUMPRODUCT(('LND Segmentation'!$M$75:$M$151=TRUE)*($AD62='LND Segmentation'!$AK$75:$AK$151)*('Climate-Alignment Target'!F$49='LND Segmentation'!$Q$74:$V$74)*('LND Segmentation'!$Q$75:$V$151)),"")</f>
        <v/>
      </c>
      <c r="G62" s="557" t="str" cm="1">
        <f t="array" ref="G62">IF($D62="Climate-alignment target",SUMPRODUCT(('LND Segmentation'!$M$75:$M$151=TRUE)*($AD62='LND Segmentation'!$AK$75:$AK$151)*('Climate-Alignment Target'!G$49='LND Segmentation'!$Q$74:$V$74)*('LND Segmentation'!$Q$75:$V$151)),"")</f>
        <v/>
      </c>
      <c r="H62" s="557" t="str" cm="1">
        <f t="array" ref="H62">IF($D62="Climate-alignment target",SUMPRODUCT(('LND Segmentation'!$M$75:$M$151=TRUE)*($AD62='LND Segmentation'!$AK$75:$AK$151)*('Climate-Alignment Target'!H$49='LND Segmentation'!$Q$74:$V$74)*('LND Segmentation'!$Q$75:$V$151)),"")</f>
        <v/>
      </c>
      <c r="I62" s="557" t="str" cm="1">
        <f t="array" ref="I62">IF($D62="Climate-alignment target",SUMPRODUCT(('LND Segmentation'!$M$75:$M$151=TRUE)*($AD62='LND Segmentation'!$AK$75:$AK$151)*('Climate-Alignment Target'!I$49='LND Segmentation'!$Q$74:$V$74)*('LND Segmentation'!$Q$75:$V$151)),"")</f>
        <v/>
      </c>
      <c r="J62" s="557" t="str" cm="1">
        <f t="array" ref="J62">IF($D62="Climate-alignment target",SUMPRODUCT(('LND Segmentation'!$M$75:$M$151=TRUE)*($AD62='LND Segmentation'!$AK$75:$AK$151)*('Climate-Alignment Target'!J$49='LND Segmentation'!$Q$74:$V$74)*('LND Segmentation'!$Q$75:$V$151)),"")</f>
        <v/>
      </c>
      <c r="K62" s="557" t="str">
        <f t="shared" si="14"/>
        <v/>
      </c>
      <c r="L62" s="557" t="str">
        <f t="shared" si="15"/>
        <v/>
      </c>
      <c r="M62" s="562">
        <f t="shared" si="11"/>
        <v>0</v>
      </c>
      <c r="N62" s="915"/>
      <c r="O62" s="563"/>
      <c r="P62" s="562" t="str">
        <f t="shared" si="19"/>
        <v/>
      </c>
      <c r="Q62" s="560" t="str">
        <f t="shared" si="16"/>
        <v/>
      </c>
      <c r="R62" s="16"/>
      <c r="U62" s="1"/>
      <c r="V62" s="1"/>
      <c r="W62" s="26"/>
      <c r="X62" s="113" t="s">
        <v>373</v>
      </c>
      <c r="Y62" s="113">
        <f t="shared" si="12"/>
        <v>2040</v>
      </c>
      <c r="Z62" s="113">
        <f t="shared" si="13"/>
        <v>0.95</v>
      </c>
      <c r="AA62" s="121"/>
      <c r="AB62" s="121" t="str">
        <f t="shared" si="17"/>
        <v/>
      </c>
      <c r="AC62" s="121" t="str">
        <f t="shared" si="18"/>
        <v/>
      </c>
      <c r="AD62" s="107" t="s">
        <v>197</v>
      </c>
    </row>
    <row r="63" spans="1:30" ht="53" hidden="1" customHeight="1" outlineLevel="3">
      <c r="A63" s="340" t="s">
        <v>136</v>
      </c>
      <c r="B63" s="340" t="s">
        <v>397</v>
      </c>
      <c r="C63" s="927"/>
      <c r="D63" s="333" t="str">
        <f>IF(SUMIF('LND Segmentation'!$AK$75:$AK$151,'Climate-Alignment Target'!AD63,'LND Segmentation'!$AL$75:$AL$151)&gt;0,"Climate-alignment target",IF(SUMIF('LND Segmentation'!$AK$75:$AK$151,'Climate-Alignment Target'!AD63,'LND Segmentation'!$AM$75:$AM$151)&gt;0,"Sector target","No target type selected"))</f>
        <v>No target type selected</v>
      </c>
      <c r="E63" s="557" cm="1">
        <f t="array" ref="E63">SUMPRODUCT(('LND Segmentation'!$M$75:$M$151=TRUE)*($AD63='LND Segmentation'!$AK$75:$AK$151)*('Climate-Alignment Target'!E$49='LND Segmentation'!$Q$74:$V$74)*('LND Segmentation'!$Q$75:$V$151))</f>
        <v>0</v>
      </c>
      <c r="F63" s="557" t="str" cm="1">
        <f t="array" ref="F63">IF($D63="Climate-alignment target",SUMPRODUCT(('LND Segmentation'!$M$75:$M$151=TRUE)*($AD63='LND Segmentation'!$AK$75:$AK$151)*('Climate-Alignment Target'!F$49='LND Segmentation'!$Q$74:$V$74)*('LND Segmentation'!$Q$75:$V$151)),"")</f>
        <v/>
      </c>
      <c r="G63" s="557" t="str" cm="1">
        <f t="array" ref="G63">IF($D63="Climate-alignment target",SUMPRODUCT(('LND Segmentation'!$M$75:$M$151=TRUE)*($AD63='LND Segmentation'!$AK$75:$AK$151)*('Climate-Alignment Target'!G$49='LND Segmentation'!$Q$74:$V$74)*('LND Segmentation'!$Q$75:$V$151)),"")</f>
        <v/>
      </c>
      <c r="H63" s="557" t="str" cm="1">
        <f t="array" ref="H63">IF($D63="Climate-alignment target",SUMPRODUCT(('LND Segmentation'!$M$75:$M$151=TRUE)*($AD63='LND Segmentation'!$AK$75:$AK$151)*('Climate-Alignment Target'!H$49='LND Segmentation'!$Q$74:$V$74)*('LND Segmentation'!$Q$75:$V$151)),"")</f>
        <v/>
      </c>
      <c r="I63" s="557" t="str" cm="1">
        <f t="array" ref="I63">IF($D63="Climate-alignment target",SUMPRODUCT(('LND Segmentation'!$M$75:$M$151=TRUE)*($AD63='LND Segmentation'!$AK$75:$AK$151)*('Climate-Alignment Target'!I$49='LND Segmentation'!$Q$74:$V$74)*('LND Segmentation'!$Q$75:$V$151)),"")</f>
        <v/>
      </c>
      <c r="J63" s="557" t="str" cm="1">
        <f t="array" ref="J63">IF($D63="Climate-alignment target",SUMPRODUCT(('LND Segmentation'!$M$75:$M$151=TRUE)*($AD63='LND Segmentation'!$AK$75:$AK$151)*('Climate-Alignment Target'!J$49='LND Segmentation'!$Q$74:$V$74)*('LND Segmentation'!$Q$75:$V$151)),"")</f>
        <v/>
      </c>
      <c r="K63" s="557" t="str">
        <f t="shared" si="14"/>
        <v/>
      </c>
      <c r="L63" s="557" t="str">
        <f t="shared" si="15"/>
        <v/>
      </c>
      <c r="M63" s="562">
        <f t="shared" si="11"/>
        <v>0</v>
      </c>
      <c r="N63" s="915"/>
      <c r="O63" s="563"/>
      <c r="P63" s="562" t="str">
        <f t="shared" si="19"/>
        <v/>
      </c>
      <c r="Q63" s="560" t="str">
        <f t="shared" si="16"/>
        <v/>
      </c>
      <c r="R63" s="16"/>
      <c r="U63" s="1"/>
      <c r="V63" s="1"/>
      <c r="W63" s="26"/>
      <c r="X63" s="113" t="s">
        <v>378</v>
      </c>
      <c r="Y63" s="113">
        <f t="shared" si="12"/>
        <v>2050</v>
      </c>
      <c r="Z63" s="113">
        <f t="shared" si="13"/>
        <v>0.95</v>
      </c>
      <c r="AA63" s="121"/>
      <c r="AB63" s="121" t="str">
        <f t="shared" si="17"/>
        <v/>
      </c>
      <c r="AC63" s="121" t="str">
        <f t="shared" si="18"/>
        <v/>
      </c>
      <c r="AD63" s="107" t="s">
        <v>222</v>
      </c>
    </row>
    <row r="64" spans="1:30" ht="53" hidden="1" customHeight="1" outlineLevel="3">
      <c r="A64" s="340" t="s">
        <v>121</v>
      </c>
      <c r="B64" s="340" t="s">
        <v>398</v>
      </c>
      <c r="C64" s="927"/>
      <c r="D64" s="333" t="str">
        <f>IF(SUMIF('LND Segmentation'!$AK$75:$AK$151,'Climate-Alignment Target'!AD64,'LND Segmentation'!$AL$75:$AL$151)&gt;0,"Climate-alignment target",IF(SUMIF('LND Segmentation'!$AK$75:$AK$151,'Climate-Alignment Target'!AD64,'LND Segmentation'!$AM$75:$AM$151)&gt;0,"Sector target","No target type selected"))</f>
        <v>No target type selected</v>
      </c>
      <c r="E64" s="557" cm="1">
        <f t="array" ref="E64">SUMPRODUCT(('LND Segmentation'!$M$75:$M$151=TRUE)*($AD64='LND Segmentation'!$AK$75:$AK$151)*('Climate-Alignment Target'!E$49='LND Segmentation'!$Q$74:$V$74)*('LND Segmentation'!$Q$75:$V$151))</f>
        <v>0</v>
      </c>
      <c r="F64" s="557" t="str" cm="1">
        <f t="array" ref="F64">IF($D64="Climate-alignment target",SUMPRODUCT(('LND Segmentation'!$M$75:$M$151=TRUE)*($AD64='LND Segmentation'!$AK$75:$AK$151)*('Climate-Alignment Target'!F$49='LND Segmentation'!$Q$74:$V$74)*('LND Segmentation'!$Q$75:$V$151)),"")</f>
        <v/>
      </c>
      <c r="G64" s="557" t="str" cm="1">
        <f t="array" ref="G64">IF($D64="Climate-alignment target",SUMPRODUCT(('LND Segmentation'!$M$75:$M$151=TRUE)*($AD64='LND Segmentation'!$AK$75:$AK$151)*('Climate-Alignment Target'!G$49='LND Segmentation'!$Q$74:$V$74)*('LND Segmentation'!$Q$75:$V$151)),"")</f>
        <v/>
      </c>
      <c r="H64" s="557" t="str" cm="1">
        <f t="array" ref="H64">IF($D64="Climate-alignment target",SUMPRODUCT(('LND Segmentation'!$M$75:$M$151=TRUE)*($AD64='LND Segmentation'!$AK$75:$AK$151)*('Climate-Alignment Target'!H$49='LND Segmentation'!$Q$74:$V$74)*('LND Segmentation'!$Q$75:$V$151)),"")</f>
        <v/>
      </c>
      <c r="I64" s="557" t="str" cm="1">
        <f t="array" ref="I64">IF($D64="Climate-alignment target",SUMPRODUCT(('LND Segmentation'!$M$75:$M$151=TRUE)*($AD64='LND Segmentation'!$AK$75:$AK$151)*('Climate-Alignment Target'!I$49='LND Segmentation'!$Q$74:$V$74)*('LND Segmentation'!$Q$75:$V$151)),"")</f>
        <v/>
      </c>
      <c r="J64" s="557" t="str" cm="1">
        <f t="array" ref="J64">IF($D64="Climate-alignment target",SUMPRODUCT(('LND Segmentation'!$M$75:$M$151=TRUE)*($AD64='LND Segmentation'!$AK$75:$AK$151)*('Climate-Alignment Target'!J$49='LND Segmentation'!$Q$74:$V$74)*('LND Segmentation'!$Q$75:$V$151)),"")</f>
        <v/>
      </c>
      <c r="K64" s="557" t="str">
        <f t="shared" si="14"/>
        <v/>
      </c>
      <c r="L64" s="557" t="str">
        <f t="shared" si="15"/>
        <v/>
      </c>
      <c r="M64" s="562">
        <f t="shared" si="11"/>
        <v>0</v>
      </c>
      <c r="N64" s="915"/>
      <c r="O64" s="563"/>
      <c r="P64" s="562" t="str">
        <f t="shared" si="19"/>
        <v/>
      </c>
      <c r="Q64" s="560" t="str">
        <f t="shared" si="16"/>
        <v/>
      </c>
      <c r="R64" s="16"/>
      <c r="U64" s="1"/>
      <c r="V64" s="1"/>
      <c r="W64" s="26"/>
      <c r="X64" s="113" t="s">
        <v>373</v>
      </c>
      <c r="Y64" s="113">
        <f t="shared" si="12"/>
        <v>2040</v>
      </c>
      <c r="Z64" s="113">
        <f t="shared" si="13"/>
        <v>0.95</v>
      </c>
      <c r="AA64" s="121"/>
      <c r="AB64" s="121" t="str">
        <f t="shared" si="17"/>
        <v/>
      </c>
      <c r="AC64" s="121" t="str">
        <f t="shared" si="18"/>
        <v/>
      </c>
      <c r="AD64" s="107" t="s">
        <v>202</v>
      </c>
    </row>
    <row r="65" spans="1:35" ht="53" hidden="1" customHeight="1" outlineLevel="3">
      <c r="A65" s="340" t="s">
        <v>136</v>
      </c>
      <c r="B65" s="340" t="s">
        <v>398</v>
      </c>
      <c r="C65" s="927"/>
      <c r="D65" s="333" t="str">
        <f>IF(SUMIF('LND Segmentation'!$AK$75:$AK$151,'Climate-Alignment Target'!AD65,'LND Segmentation'!$AL$75:$AL$151)&gt;0,"Climate-alignment target",IF(SUMIF('LND Segmentation'!$AK$75:$AK$151,'Climate-Alignment Target'!AD65,'LND Segmentation'!$AM$75:$AM$151)&gt;0,"Sector target","No target type selected"))</f>
        <v>No target type selected</v>
      </c>
      <c r="E65" s="557" cm="1">
        <f t="array" ref="E65">SUMPRODUCT(('LND Segmentation'!$M$75:$M$151=TRUE)*($AD65='LND Segmentation'!$AK$75:$AK$151)*('Climate-Alignment Target'!E$49='LND Segmentation'!$Q$74:$V$74)*('LND Segmentation'!$Q$75:$V$151))</f>
        <v>0</v>
      </c>
      <c r="F65" s="557" t="str" cm="1">
        <f t="array" ref="F65">IF($D65="Climate-alignment target",SUMPRODUCT(('LND Segmentation'!$M$75:$M$151=TRUE)*($AD65='LND Segmentation'!$AK$75:$AK$151)*('Climate-Alignment Target'!F$49='LND Segmentation'!$Q$74:$V$74)*('LND Segmentation'!$Q$75:$V$151)),"")</f>
        <v/>
      </c>
      <c r="G65" s="557" t="str" cm="1">
        <f t="array" ref="G65">IF($D65="Climate-alignment target",SUMPRODUCT(('LND Segmentation'!$M$75:$M$151=TRUE)*($AD65='LND Segmentation'!$AK$75:$AK$151)*('Climate-Alignment Target'!G$49='LND Segmentation'!$Q$74:$V$74)*('LND Segmentation'!$Q$75:$V$151)),"")</f>
        <v/>
      </c>
      <c r="H65" s="557" t="str" cm="1">
        <f t="array" ref="H65">IF($D65="Climate-alignment target",SUMPRODUCT(('LND Segmentation'!$M$75:$M$151=TRUE)*($AD65='LND Segmentation'!$AK$75:$AK$151)*('Climate-Alignment Target'!H$49='LND Segmentation'!$Q$74:$V$74)*('LND Segmentation'!$Q$75:$V$151)),"")</f>
        <v/>
      </c>
      <c r="I65" s="557" t="str" cm="1">
        <f t="array" ref="I65">IF($D65="Climate-alignment target",SUMPRODUCT(('LND Segmentation'!$M$75:$M$151=TRUE)*($AD65='LND Segmentation'!$AK$75:$AK$151)*('Climate-Alignment Target'!I$49='LND Segmentation'!$Q$74:$V$74)*('LND Segmentation'!$Q$75:$V$151)),"")</f>
        <v/>
      </c>
      <c r="J65" s="557" t="str" cm="1">
        <f t="array" ref="J65">IF($D65="Climate-alignment target",SUMPRODUCT(('LND Segmentation'!$M$75:$M$151=TRUE)*($AD65='LND Segmentation'!$AK$75:$AK$151)*('Climate-Alignment Target'!J$49='LND Segmentation'!$Q$74:$V$74)*('LND Segmentation'!$Q$75:$V$151)),"")</f>
        <v/>
      </c>
      <c r="K65" s="557" t="str">
        <f t="shared" si="14"/>
        <v/>
      </c>
      <c r="L65" s="557" t="str">
        <f t="shared" si="15"/>
        <v/>
      </c>
      <c r="M65" s="562">
        <f t="shared" si="11"/>
        <v>0</v>
      </c>
      <c r="N65" s="915"/>
      <c r="O65" s="563"/>
      <c r="P65" s="562" t="str">
        <f t="shared" si="19"/>
        <v/>
      </c>
      <c r="Q65" s="560" t="str">
        <f t="shared" si="16"/>
        <v/>
      </c>
      <c r="R65" s="16"/>
      <c r="U65" s="1"/>
      <c r="V65" s="1"/>
      <c r="W65" s="26"/>
      <c r="X65" s="113" t="s">
        <v>378</v>
      </c>
      <c r="Y65" s="113">
        <f t="shared" si="12"/>
        <v>2050</v>
      </c>
      <c r="Z65" s="113">
        <f t="shared" si="13"/>
        <v>0.95</v>
      </c>
      <c r="AA65" s="121"/>
      <c r="AB65" s="121" t="str">
        <f t="shared" si="17"/>
        <v/>
      </c>
      <c r="AC65" s="121" t="str">
        <f t="shared" si="18"/>
        <v/>
      </c>
      <c r="AD65" s="107" t="s">
        <v>223</v>
      </c>
    </row>
    <row r="66" spans="1:35" ht="53" hidden="1" customHeight="1" outlineLevel="3">
      <c r="A66" s="340" t="s">
        <v>121</v>
      </c>
      <c r="B66" s="340" t="s">
        <v>399</v>
      </c>
      <c r="C66" s="927"/>
      <c r="D66" s="333" t="str">
        <f>IF(SUMIF('LND Segmentation'!$AK$75:$AK$151,'Climate-Alignment Target'!AD66,'LND Segmentation'!$AL$75:$AL$151)&gt;0,"Climate-alignment target",IF(SUMIF('LND Segmentation'!$AK$75:$AK$151,'Climate-Alignment Target'!AD66,'LND Segmentation'!$AM$75:$AM$151)&gt;0,"Sector target","No target type selected"))</f>
        <v>No target type selected</v>
      </c>
      <c r="E66" s="557" cm="1">
        <f t="array" ref="E66">SUMPRODUCT(('LND Segmentation'!$M$75:$M$151=TRUE)*($AD66='LND Segmentation'!$AK$75:$AK$151)*('Climate-Alignment Target'!E$49='LND Segmentation'!$Q$74:$V$74)*('LND Segmentation'!$Q$75:$V$151))</f>
        <v>0</v>
      </c>
      <c r="F66" s="557" t="str" cm="1">
        <f t="array" ref="F66">IF($D66="Climate-alignment target",SUMPRODUCT(('LND Segmentation'!$M$75:$M$151=TRUE)*($AD66='LND Segmentation'!$AK$75:$AK$151)*('Climate-Alignment Target'!F$49='LND Segmentation'!$Q$74:$V$74)*('LND Segmentation'!$Q$75:$V$151)),"")</f>
        <v/>
      </c>
      <c r="G66" s="557" t="str" cm="1">
        <f t="array" ref="G66">IF($D66="Climate-alignment target",SUMPRODUCT(('LND Segmentation'!$M$75:$M$151=TRUE)*($AD66='LND Segmentation'!$AK$75:$AK$151)*('Climate-Alignment Target'!G$49='LND Segmentation'!$Q$74:$V$74)*('LND Segmentation'!$Q$75:$V$151)),"")</f>
        <v/>
      </c>
      <c r="H66" s="557" t="str" cm="1">
        <f t="array" ref="H66">IF($D66="Climate-alignment target",SUMPRODUCT(('LND Segmentation'!$M$75:$M$151=TRUE)*($AD66='LND Segmentation'!$AK$75:$AK$151)*('Climate-Alignment Target'!H$49='LND Segmentation'!$Q$74:$V$74)*('LND Segmentation'!$Q$75:$V$151)),"")</f>
        <v/>
      </c>
      <c r="I66" s="557" t="str" cm="1">
        <f t="array" ref="I66">IF($D66="Climate-alignment target",SUMPRODUCT(('LND Segmentation'!$M$75:$M$151=TRUE)*($AD66='LND Segmentation'!$AK$75:$AK$151)*('Climate-Alignment Target'!I$49='LND Segmentation'!$Q$74:$V$74)*('LND Segmentation'!$Q$75:$V$151)),"")</f>
        <v/>
      </c>
      <c r="J66" s="557" t="str" cm="1">
        <f t="array" ref="J66">IF($D66="Climate-alignment target",SUMPRODUCT(('LND Segmentation'!$M$75:$M$151=TRUE)*($AD66='LND Segmentation'!$AK$75:$AK$151)*('Climate-Alignment Target'!J$49='LND Segmentation'!$Q$74:$V$74)*('LND Segmentation'!$Q$75:$V$151)),"")</f>
        <v/>
      </c>
      <c r="K66" s="557" t="str">
        <f t="shared" si="14"/>
        <v/>
      </c>
      <c r="L66" s="557" t="str">
        <f t="shared" si="15"/>
        <v/>
      </c>
      <c r="M66" s="562">
        <f t="shared" si="11"/>
        <v>0</v>
      </c>
      <c r="N66" s="915"/>
      <c r="O66" s="563"/>
      <c r="P66" s="562" t="str">
        <f t="shared" si="19"/>
        <v/>
      </c>
      <c r="Q66" s="560" t="str">
        <f t="shared" si="16"/>
        <v/>
      </c>
      <c r="R66" s="16"/>
      <c r="U66" s="1"/>
      <c r="V66" s="1"/>
      <c r="W66" s="26"/>
      <c r="X66" s="113" t="s">
        <v>373</v>
      </c>
      <c r="Y66" s="113">
        <f t="shared" si="12"/>
        <v>2040</v>
      </c>
      <c r="Z66" s="113">
        <f t="shared" si="13"/>
        <v>0.95</v>
      </c>
      <c r="AA66" s="121"/>
      <c r="AB66" s="121" t="str">
        <f t="shared" si="17"/>
        <v/>
      </c>
      <c r="AC66" s="121" t="str">
        <f t="shared" si="18"/>
        <v/>
      </c>
      <c r="AD66" s="107" t="s">
        <v>207</v>
      </c>
    </row>
    <row r="67" spans="1:35" ht="53" hidden="1" customHeight="1" outlineLevel="3">
      <c r="A67" s="340" t="s">
        <v>136</v>
      </c>
      <c r="B67" s="340" t="s">
        <v>399</v>
      </c>
      <c r="C67" s="927"/>
      <c r="D67" s="333" t="str">
        <f>IF(SUMIF('LND Segmentation'!$AK$75:$AK$151,'Climate-Alignment Target'!AD67,'LND Segmentation'!$AL$75:$AL$151)&gt;0,"Climate-alignment target",IF(SUMIF('LND Segmentation'!$AK$75:$AK$151,'Climate-Alignment Target'!AD67,'LND Segmentation'!$AM$75:$AM$151)&gt;0,"Sector target","No target type selected"))</f>
        <v>No target type selected</v>
      </c>
      <c r="E67" s="557" cm="1">
        <f t="array" ref="E67">SUMPRODUCT(('LND Segmentation'!$M$75:$M$151=TRUE)*($AD67='LND Segmentation'!$AK$75:$AK$151)*('Climate-Alignment Target'!E$49='LND Segmentation'!$Q$74:$V$74)*('LND Segmentation'!$Q$75:$V$151))</f>
        <v>0</v>
      </c>
      <c r="F67" s="557" t="str" cm="1">
        <f t="array" ref="F67">IF($D67="Climate-alignment target",SUMPRODUCT(('LND Segmentation'!$M$75:$M$151=TRUE)*($AD67='LND Segmentation'!$AK$75:$AK$151)*('Climate-Alignment Target'!F$49='LND Segmentation'!$Q$74:$V$74)*('LND Segmentation'!$Q$75:$V$151)),"")</f>
        <v/>
      </c>
      <c r="G67" s="557" t="str" cm="1">
        <f t="array" ref="G67">IF($D67="Climate-alignment target",SUMPRODUCT(('LND Segmentation'!$M$75:$M$151=TRUE)*($AD67='LND Segmentation'!$AK$75:$AK$151)*('Climate-Alignment Target'!G$49='LND Segmentation'!$Q$74:$V$74)*('LND Segmentation'!$Q$75:$V$151)),"")</f>
        <v/>
      </c>
      <c r="H67" s="557" t="str" cm="1">
        <f t="array" ref="H67">IF($D67="Climate-alignment target",SUMPRODUCT(('LND Segmentation'!$M$75:$M$151=TRUE)*($AD67='LND Segmentation'!$AK$75:$AK$151)*('Climate-Alignment Target'!H$49='LND Segmentation'!$Q$74:$V$74)*('LND Segmentation'!$Q$75:$V$151)),"")</f>
        <v/>
      </c>
      <c r="I67" s="557" t="str" cm="1">
        <f t="array" ref="I67">IF($D67="Climate-alignment target",SUMPRODUCT(('LND Segmentation'!$M$75:$M$151=TRUE)*($AD67='LND Segmentation'!$AK$75:$AK$151)*('Climate-Alignment Target'!I$49='LND Segmentation'!$Q$74:$V$74)*('LND Segmentation'!$Q$75:$V$151)),"")</f>
        <v/>
      </c>
      <c r="J67" s="557" t="str" cm="1">
        <f t="array" ref="J67">IF($D67="Climate-alignment target",SUMPRODUCT(('LND Segmentation'!$M$75:$M$151=TRUE)*($AD67='LND Segmentation'!$AK$75:$AK$151)*('Climate-Alignment Target'!J$49='LND Segmentation'!$Q$74:$V$74)*('LND Segmentation'!$Q$75:$V$151)),"")</f>
        <v/>
      </c>
      <c r="K67" s="557" t="str">
        <f t="shared" si="14"/>
        <v/>
      </c>
      <c r="L67" s="557" t="str">
        <f t="shared" si="15"/>
        <v/>
      </c>
      <c r="M67" s="562">
        <f t="shared" si="11"/>
        <v>0</v>
      </c>
      <c r="N67" s="915"/>
      <c r="O67" s="563"/>
      <c r="P67" s="562" t="str">
        <f t="shared" si="19"/>
        <v/>
      </c>
      <c r="Q67" s="560" t="str">
        <f t="shared" si="16"/>
        <v/>
      </c>
      <c r="R67" s="16"/>
      <c r="U67" s="1"/>
      <c r="V67" s="1"/>
      <c r="W67" s="26"/>
      <c r="X67" s="113" t="s">
        <v>378</v>
      </c>
      <c r="Y67" s="113">
        <f t="shared" si="12"/>
        <v>2050</v>
      </c>
      <c r="Z67" s="113">
        <f t="shared" si="13"/>
        <v>0.95</v>
      </c>
      <c r="AA67" s="121"/>
      <c r="AB67" s="121" t="str">
        <f t="shared" si="17"/>
        <v/>
      </c>
      <c r="AC67" s="121" t="str">
        <f t="shared" si="18"/>
        <v/>
      </c>
      <c r="AD67" s="107" t="s">
        <v>224</v>
      </c>
    </row>
    <row r="68" spans="1:35" ht="53" hidden="1" customHeight="1" outlineLevel="3">
      <c r="A68" s="340" t="s">
        <v>121</v>
      </c>
      <c r="B68" s="340" t="s">
        <v>400</v>
      </c>
      <c r="C68" s="927"/>
      <c r="D68" s="333" t="str">
        <f>IF(SUMIF('LND Segmentation'!$AK$75:$AK$151,'Climate-Alignment Target'!AD68,'LND Segmentation'!$AL$75:$AL$151)&gt;0,"Climate-alignment target",IF(SUMIF('LND Segmentation'!$AK$75:$AK$151,'Climate-Alignment Target'!AD68,'LND Segmentation'!$AM$75:$AM$151)&gt;0,"Sector target","No target type selected"))</f>
        <v>No target type selected</v>
      </c>
      <c r="E68" s="557" cm="1">
        <f t="array" ref="E68">SUMPRODUCT(('LND Segmentation'!$M$75:$M$151=TRUE)*($AD68='LND Segmentation'!$AK$75:$AK$151)*('Climate-Alignment Target'!E$49='LND Segmentation'!$Q$74:$V$74)*('LND Segmentation'!$Q$75:$V$151))</f>
        <v>0</v>
      </c>
      <c r="F68" s="557" t="str" cm="1">
        <f t="array" ref="F68">IF($D68="Climate-alignment target",SUMPRODUCT(('LND Segmentation'!$M$75:$M$151=TRUE)*($AD68='LND Segmentation'!$AK$75:$AK$151)*('Climate-Alignment Target'!F$49='LND Segmentation'!$Q$74:$V$74)*('LND Segmentation'!$Q$75:$V$151)),"")</f>
        <v/>
      </c>
      <c r="G68" s="557" t="str" cm="1">
        <f t="array" ref="G68">IF($D68="Climate-alignment target",SUMPRODUCT(('LND Segmentation'!$M$75:$M$151=TRUE)*($AD68='LND Segmentation'!$AK$75:$AK$151)*('Climate-Alignment Target'!G$49='LND Segmentation'!$Q$74:$V$74)*('LND Segmentation'!$Q$75:$V$151)),"")</f>
        <v/>
      </c>
      <c r="H68" s="557" t="str" cm="1">
        <f t="array" ref="H68">IF($D68="Climate-alignment target",SUMPRODUCT(('LND Segmentation'!$M$75:$M$151=TRUE)*($AD68='LND Segmentation'!$AK$75:$AK$151)*('Climate-Alignment Target'!H$49='LND Segmentation'!$Q$74:$V$74)*('LND Segmentation'!$Q$75:$V$151)),"")</f>
        <v/>
      </c>
      <c r="I68" s="557" t="str" cm="1">
        <f t="array" ref="I68">IF($D68="Climate-alignment target",SUMPRODUCT(('LND Segmentation'!$M$75:$M$151=TRUE)*($AD68='LND Segmentation'!$AK$75:$AK$151)*('Climate-Alignment Target'!I$49='LND Segmentation'!$Q$74:$V$74)*('LND Segmentation'!$Q$75:$V$151)),"")</f>
        <v/>
      </c>
      <c r="J68" s="557" t="str" cm="1">
        <f t="array" ref="J68">IF($D68="Climate-alignment target",SUMPRODUCT(('LND Segmentation'!$M$75:$M$151=TRUE)*($AD68='LND Segmentation'!$AK$75:$AK$151)*('Climate-Alignment Target'!J$49='LND Segmentation'!$Q$74:$V$74)*('LND Segmentation'!$Q$75:$V$151)),"")</f>
        <v/>
      </c>
      <c r="K68" s="557" t="str">
        <f t="shared" si="14"/>
        <v/>
      </c>
      <c r="L68" s="557" t="str">
        <f t="shared" si="15"/>
        <v/>
      </c>
      <c r="M68" s="562">
        <f t="shared" si="11"/>
        <v>0</v>
      </c>
      <c r="N68" s="915"/>
      <c r="O68" s="563"/>
      <c r="P68" s="562" t="str">
        <f t="shared" si="19"/>
        <v/>
      </c>
      <c r="Q68" s="560" t="str">
        <f t="shared" si="16"/>
        <v/>
      </c>
      <c r="R68" s="16"/>
      <c r="U68" s="1"/>
      <c r="V68" s="1"/>
      <c r="W68" s="26"/>
      <c r="X68" s="113" t="s">
        <v>373</v>
      </c>
      <c r="Y68" s="113">
        <f t="shared" si="12"/>
        <v>2040</v>
      </c>
      <c r="Z68" s="113">
        <f t="shared" si="13"/>
        <v>0.95</v>
      </c>
      <c r="AA68" s="121"/>
      <c r="AB68" s="121" t="str">
        <f t="shared" si="17"/>
        <v/>
      </c>
      <c r="AC68" s="121" t="str">
        <f t="shared" si="18"/>
        <v/>
      </c>
      <c r="AD68" s="107" t="s">
        <v>211</v>
      </c>
    </row>
    <row r="69" spans="1:35" ht="53" hidden="1" customHeight="1" outlineLevel="3">
      <c r="A69" s="340" t="s">
        <v>136</v>
      </c>
      <c r="B69" s="340" t="s">
        <v>400</v>
      </c>
      <c r="C69" s="927"/>
      <c r="D69" s="333" t="str">
        <f>IF(SUMIF('LND Segmentation'!$AK$75:$AK$151,'Climate-Alignment Target'!AD69,'LND Segmentation'!$AL$75:$AL$151)&gt;0,"Climate-alignment target",IF(SUMIF('LND Segmentation'!$AK$75:$AK$151,'Climate-Alignment Target'!AD69,'LND Segmentation'!$AM$75:$AM$151)&gt;0,"Sector target","No target type selected"))</f>
        <v>No target type selected</v>
      </c>
      <c r="E69" s="557" cm="1">
        <f t="array" ref="E69">SUMPRODUCT(('LND Segmentation'!$M$75:$M$151=TRUE)*($AD69='LND Segmentation'!$AK$75:$AK$151)*('Climate-Alignment Target'!E$49='LND Segmentation'!$Q$74:$V$74)*('LND Segmentation'!$Q$75:$V$151))</f>
        <v>0</v>
      </c>
      <c r="F69" s="557" t="str" cm="1">
        <f t="array" ref="F69">IF($D69="Climate-alignment target",SUMPRODUCT(('LND Segmentation'!$M$75:$M$151=TRUE)*($AD69='LND Segmentation'!$AK$75:$AK$151)*('Climate-Alignment Target'!F$49='LND Segmentation'!$Q$74:$V$74)*('LND Segmentation'!$Q$75:$V$151)),"")</f>
        <v/>
      </c>
      <c r="G69" s="557" t="str" cm="1">
        <f t="array" ref="G69">IF($D69="Climate-alignment target",SUMPRODUCT(('LND Segmentation'!$M$75:$M$151=TRUE)*($AD69='LND Segmentation'!$AK$75:$AK$151)*('Climate-Alignment Target'!G$49='LND Segmentation'!$Q$74:$V$74)*('LND Segmentation'!$Q$75:$V$151)),"")</f>
        <v/>
      </c>
      <c r="H69" s="557" t="str" cm="1">
        <f t="array" ref="H69">IF($D69="Climate-alignment target",SUMPRODUCT(('LND Segmentation'!$M$75:$M$151=TRUE)*($AD69='LND Segmentation'!$AK$75:$AK$151)*('Climate-Alignment Target'!H$49='LND Segmentation'!$Q$74:$V$74)*('LND Segmentation'!$Q$75:$V$151)),"")</f>
        <v/>
      </c>
      <c r="I69" s="557" t="str" cm="1">
        <f t="array" ref="I69">IF($D69="Climate-alignment target",SUMPRODUCT(('LND Segmentation'!$M$75:$M$151=TRUE)*($AD69='LND Segmentation'!$AK$75:$AK$151)*('Climate-Alignment Target'!I$49='LND Segmentation'!$Q$74:$V$74)*('LND Segmentation'!$Q$75:$V$151)),"")</f>
        <v/>
      </c>
      <c r="J69" s="557" t="str" cm="1">
        <f t="array" ref="J69">IF($D69="Climate-alignment target",SUMPRODUCT(('LND Segmentation'!$M$75:$M$151=TRUE)*($AD69='LND Segmentation'!$AK$75:$AK$151)*('Climate-Alignment Target'!J$49='LND Segmentation'!$Q$74:$V$74)*('LND Segmentation'!$Q$75:$V$151)),"")</f>
        <v/>
      </c>
      <c r="K69" s="557" t="str">
        <f t="shared" si="14"/>
        <v/>
      </c>
      <c r="L69" s="557" t="str">
        <f t="shared" si="15"/>
        <v/>
      </c>
      <c r="M69" s="562">
        <f>IF(SUM(F69:J69)=0,0,SUM(H69:J69)/(SUM(F69:J69)))</f>
        <v>0</v>
      </c>
      <c r="N69" s="915"/>
      <c r="O69" s="563"/>
      <c r="P69" s="562" t="str">
        <f t="shared" si="19"/>
        <v/>
      </c>
      <c r="Q69" s="560" t="str">
        <f t="shared" si="16"/>
        <v/>
      </c>
      <c r="R69" s="16"/>
      <c r="U69" s="1"/>
      <c r="V69" s="1"/>
      <c r="W69" s="26"/>
      <c r="X69" s="113" t="s">
        <v>378</v>
      </c>
      <c r="Y69" s="113">
        <f t="shared" si="12"/>
        <v>2050</v>
      </c>
      <c r="Z69" s="113">
        <f t="shared" si="13"/>
        <v>0.95</v>
      </c>
      <c r="AA69" s="121"/>
      <c r="AB69" s="121" t="str">
        <f t="shared" si="17"/>
        <v/>
      </c>
      <c r="AC69" s="121" t="str">
        <f t="shared" si="18"/>
        <v/>
      </c>
      <c r="AD69" s="107" t="s">
        <v>226</v>
      </c>
    </row>
    <row r="70" spans="1:35" ht="53" hidden="1" customHeight="1" outlineLevel="3">
      <c r="A70" s="340" t="s">
        <v>136</v>
      </c>
      <c r="B70" s="340" t="s">
        <v>401</v>
      </c>
      <c r="C70" s="927"/>
      <c r="D70" s="333" t="str">
        <f>IF(SUMIF('LND Segmentation'!$AK$75:$AK$151,'Climate-Alignment Target'!AD70,'LND Segmentation'!$AL$75:$AL$151)&gt;0,"Climate-alignment target",IF(SUMIF('LND Segmentation'!$AK$75:$AK$151,'Climate-Alignment Target'!AD70,'LND Segmentation'!$AM$75:$AM$151)&gt;0,"Sector target","No target type selected"))</f>
        <v>No target type selected</v>
      </c>
      <c r="E70" s="557" cm="1">
        <f t="array" ref="E70">SUMPRODUCT(('LND Segmentation'!$M$75:$M$151=TRUE)*($AD70='LND Segmentation'!$AK$75:$AK$151)*('Climate-Alignment Target'!E$49='LND Segmentation'!$Q$74:$V$74)*('LND Segmentation'!$Q$75:$V$151))</f>
        <v>0</v>
      </c>
      <c r="F70" s="557" t="str" cm="1">
        <f t="array" ref="F70">IF($D70="Climate-alignment target",SUMPRODUCT(('LND Segmentation'!$M$75:$M$151=TRUE)*($AD70='LND Segmentation'!$AK$75:$AK$151)*('Climate-Alignment Target'!F$49='LND Segmentation'!$Q$74:$V$74)*('LND Segmentation'!$Q$75:$V$151)),"")</f>
        <v/>
      </c>
      <c r="G70" s="557" t="str" cm="1">
        <f t="array" ref="G70">IF($D70="Climate-alignment target",SUMPRODUCT(('LND Segmentation'!$M$75:$M$151=TRUE)*($AD70='LND Segmentation'!$AK$75:$AK$151)*('Climate-Alignment Target'!G$49='LND Segmentation'!$Q$74:$V$74)*('LND Segmentation'!$Q$75:$V$151)),"")</f>
        <v/>
      </c>
      <c r="H70" s="557" t="str" cm="1">
        <f t="array" ref="H70">IF($D70="Climate-alignment target",SUMPRODUCT(('LND Segmentation'!$M$75:$M$151=TRUE)*($AD70='LND Segmentation'!$AK$75:$AK$151)*('Climate-Alignment Target'!H$49='LND Segmentation'!$Q$74:$V$74)*('LND Segmentation'!$Q$75:$V$151)),"")</f>
        <v/>
      </c>
      <c r="I70" s="557" t="str" cm="1">
        <f t="array" ref="I70">IF($D70="Climate-alignment target",SUMPRODUCT(('LND Segmentation'!$M$75:$M$151=TRUE)*($AD70='LND Segmentation'!$AK$75:$AK$151)*('Climate-Alignment Target'!I$49='LND Segmentation'!$Q$74:$V$74)*('LND Segmentation'!$Q$75:$V$151)),"")</f>
        <v/>
      </c>
      <c r="J70" s="557" t="str" cm="1">
        <f t="array" ref="J70">IF($D70="Climate-alignment target",SUMPRODUCT(('LND Segmentation'!$M$75:$M$151=TRUE)*($AD70='LND Segmentation'!$AK$75:$AK$151)*('Climate-Alignment Target'!J$49='LND Segmentation'!$Q$74:$V$74)*('LND Segmentation'!$Q$75:$V$151)),"")</f>
        <v/>
      </c>
      <c r="K70" s="557" t="str">
        <f t="shared" si="14"/>
        <v/>
      </c>
      <c r="L70" s="557" t="str">
        <f t="shared" si="15"/>
        <v/>
      </c>
      <c r="M70" s="562">
        <f>IF(SUM(F70:J70)=0,0,SUM(H70:J70)/(SUM(F70:J70)))</f>
        <v>0</v>
      </c>
      <c r="N70" s="915"/>
      <c r="O70" s="563"/>
      <c r="P70" s="562" t="str">
        <f t="shared" si="19"/>
        <v/>
      </c>
      <c r="Q70" s="560" t="str">
        <f t="shared" si="16"/>
        <v/>
      </c>
      <c r="R70" s="16"/>
      <c r="U70" s="1"/>
      <c r="V70" s="1"/>
      <c r="W70" s="26"/>
      <c r="X70" s="113" t="s">
        <v>378</v>
      </c>
      <c r="Y70" s="113">
        <f t="shared" si="12"/>
        <v>2050</v>
      </c>
      <c r="Z70" s="113">
        <f t="shared" si="13"/>
        <v>0.95</v>
      </c>
      <c r="AA70" s="121"/>
      <c r="AB70" s="121" t="str">
        <f t="shared" si="17"/>
        <v/>
      </c>
      <c r="AC70" s="121" t="str">
        <f t="shared" si="18"/>
        <v/>
      </c>
      <c r="AD70" s="107" t="s">
        <v>228</v>
      </c>
    </row>
    <row r="71" spans="1:35" ht="53" hidden="1" customHeight="1" outlineLevel="3">
      <c r="A71" s="340" t="s">
        <v>136</v>
      </c>
      <c r="B71" s="340" t="s">
        <v>135</v>
      </c>
      <c r="C71" s="927"/>
      <c r="D71" s="333" t="str">
        <f>IF(SUMIF('LND Segmentation'!$AK$75:$AK$151,'Climate-Alignment Target'!AD71,'LND Segmentation'!$AL$75:$AL$151)&gt;0,"Climate-alignment target",IF(SUMIF('LND Segmentation'!$AK$75:$AK$151,'Climate-Alignment Target'!AD71,'LND Segmentation'!$AM$75:$AM$151)&gt;0,"Sector target","No target type selected"))</f>
        <v>No target type selected</v>
      </c>
      <c r="E71" s="557" cm="1">
        <f t="array" ref="E71">SUMPRODUCT(('LND Segmentation'!$M$75:$M$151=TRUE)*($AD71='LND Segmentation'!$AK$75:$AK$151)*('Climate-Alignment Target'!E$49='LND Segmentation'!$Q$74:$V$74)*('LND Segmentation'!$Q$75:$V$151))</f>
        <v>0</v>
      </c>
      <c r="F71" s="557" t="str" cm="1">
        <f t="array" ref="F71">IF($D71="Climate-alignment target",SUMPRODUCT(('LND Segmentation'!$M$75:$M$151=TRUE)*($AD71='LND Segmentation'!$AK$75:$AK$151)*('Climate-Alignment Target'!F$49='LND Segmentation'!$Q$74:$V$74)*('LND Segmentation'!$Q$75:$V$151)),"")</f>
        <v/>
      </c>
      <c r="G71" s="557" t="str" cm="1">
        <f t="array" ref="G71">IF($D71="Climate-alignment target",SUMPRODUCT(('LND Segmentation'!$M$75:$M$151=TRUE)*($AD71='LND Segmentation'!$AK$75:$AK$151)*('Climate-Alignment Target'!G$49='LND Segmentation'!$Q$74:$V$74)*('LND Segmentation'!$Q$75:$V$151)),"")</f>
        <v/>
      </c>
      <c r="H71" s="557" t="str" cm="1">
        <f t="array" ref="H71">IF($D71="Climate-alignment target",SUMPRODUCT(('LND Segmentation'!$M$75:$M$151=TRUE)*($AD71='LND Segmentation'!$AK$75:$AK$151)*('Climate-Alignment Target'!H$49='LND Segmentation'!$Q$74:$V$74)*('LND Segmentation'!$Q$75:$V$151)),"")</f>
        <v/>
      </c>
      <c r="I71" s="557" t="str" cm="1">
        <f t="array" ref="I71">IF($D71="Climate-alignment target",SUMPRODUCT(('LND Segmentation'!$M$75:$M$151=TRUE)*($AD71='LND Segmentation'!$AK$75:$AK$151)*('Climate-Alignment Target'!I$49='LND Segmentation'!$Q$74:$V$74)*('LND Segmentation'!$Q$75:$V$151)),"")</f>
        <v/>
      </c>
      <c r="J71" s="557" t="str" cm="1">
        <f t="array" ref="J71">IF($D71="Climate-alignment target",SUMPRODUCT(('LND Segmentation'!$M$75:$M$151=TRUE)*($AD71='LND Segmentation'!$AK$75:$AK$151)*('Climate-Alignment Target'!J$49='LND Segmentation'!$Q$74:$V$74)*('LND Segmentation'!$Q$75:$V$151)),"")</f>
        <v/>
      </c>
      <c r="K71" s="557" t="str">
        <f t="shared" ref="K71" si="20">IF(D71&lt;&gt;"Climate-alignment target","",SUM(F71:J71))</f>
        <v/>
      </c>
      <c r="L71" s="557" t="str">
        <f>IF(AND(E71=K71,D71="Climate-alignment target"),"OK",IF(D71="Sector target","OK - covered by sector target",IF(AND(E71=0,D71="No target type selected"),"","Select a target type")))</f>
        <v/>
      </c>
      <c r="M71" s="562">
        <f>IF(SUM(F71:J71)=0,0,SUM(H71:J71)/(SUM(F71:J71)))</f>
        <v>0</v>
      </c>
      <c r="N71" s="915"/>
      <c r="O71" s="563"/>
      <c r="P71" s="562" t="str">
        <f t="shared" si="19"/>
        <v/>
      </c>
      <c r="Q71" s="560" t="str">
        <f t="shared" si="16"/>
        <v/>
      </c>
      <c r="R71" s="16"/>
      <c r="U71" s="1"/>
      <c r="V71" s="1"/>
      <c r="W71" s="26"/>
      <c r="X71" s="113" t="s">
        <v>378</v>
      </c>
      <c r="Y71" s="113">
        <f t="shared" ref="Y71" si="21">_xlfn.XLOOKUP($X71,$AB$17:$AB$24,AE$17:AE$24,0,0)</f>
        <v>2050</v>
      </c>
      <c r="Z71" s="113">
        <f t="shared" ref="Z71" si="22">_xlfn.XLOOKUP($X71,$AB$17:$AB$24,AF$17:AF$24,0,0)</f>
        <v>0.95</v>
      </c>
      <c r="AA71" s="121"/>
      <c r="AB71" s="121" t="str">
        <f t="shared" ref="AB71" si="23">IF($D71&lt;&gt;"Climate-alignment target","",O71*K71)</f>
        <v/>
      </c>
      <c r="AC71" s="121" t="str">
        <f t="shared" ref="AC71" si="24">IF($D71&lt;&gt;"Climate-alignment target","",K71)</f>
        <v/>
      </c>
      <c r="AD71" s="107" t="s">
        <v>214</v>
      </c>
    </row>
    <row r="72" spans="1:35" ht="53" hidden="1" customHeight="1" outlineLevel="3">
      <c r="A72" s="340" t="s">
        <v>130</v>
      </c>
      <c r="B72" s="340" t="s">
        <v>129</v>
      </c>
      <c r="C72" s="927"/>
      <c r="D72" s="333" t="str">
        <f>IF(SUMIF('LND Segmentation'!$AK$75:$AK$151,'Climate-Alignment Target'!AD72,'LND Segmentation'!$AL$75:$AL$151)&gt;0,"Climate-alignment target",IF(SUMIF('LND Segmentation'!$AK$75:$AK$151,'Climate-Alignment Target'!AD72,'LND Segmentation'!$AM$75:$AM$151)&gt;0,"Sector target","No target type selected"))</f>
        <v>No target type selected</v>
      </c>
      <c r="E72" s="557" cm="1">
        <f t="array" ref="E72">SUMPRODUCT(('LND Segmentation'!$M$75:$M$151=TRUE)*($AD72='LND Segmentation'!$AK$75:$AK$151)*('Climate-Alignment Target'!E$49='LND Segmentation'!$Q$74:$V$74)*('LND Segmentation'!$Q$75:$V$151))</f>
        <v>0</v>
      </c>
      <c r="F72" s="557" t="str" cm="1">
        <f t="array" ref="F72">IF($D72="Climate-alignment target",SUMPRODUCT(('LND Segmentation'!$M$75:$M$151=TRUE)*($AD72='LND Segmentation'!$AK$75:$AK$151)*('Climate-Alignment Target'!F$49='LND Segmentation'!$Q$74:$V$74)*('LND Segmentation'!$Q$75:$V$151)),"")</f>
        <v/>
      </c>
      <c r="G72" s="557" t="str" cm="1">
        <f t="array" ref="G72">IF($D72="Climate-alignment target",SUMPRODUCT(('LND Segmentation'!$M$75:$M$151=TRUE)*($AD72='LND Segmentation'!$AK$75:$AK$151)*('Climate-Alignment Target'!G$49='LND Segmentation'!$Q$74:$V$74)*('LND Segmentation'!$Q$75:$V$151)),"")</f>
        <v/>
      </c>
      <c r="H72" s="557" t="str" cm="1">
        <f t="array" ref="H72">IF($D72="Climate-alignment target",SUMPRODUCT(('LND Segmentation'!$M$75:$M$151=TRUE)*($AD72='LND Segmentation'!$AK$75:$AK$151)*('Climate-Alignment Target'!H$49='LND Segmentation'!$Q$74:$V$74)*('LND Segmentation'!$Q$75:$V$151)),"")</f>
        <v/>
      </c>
      <c r="I72" s="557" t="str" cm="1">
        <f t="array" ref="I72">IF($D72="Climate-alignment target",SUMPRODUCT(('LND Segmentation'!$M$75:$M$151=TRUE)*($AD72='LND Segmentation'!$AK$75:$AK$151)*('Climate-Alignment Target'!I$49='LND Segmentation'!$Q$74:$V$74)*('LND Segmentation'!$Q$75:$V$151)),"")</f>
        <v/>
      </c>
      <c r="J72" s="557" t="str" cm="1">
        <f t="array" ref="J72">IF($D72="Climate-alignment target",SUMPRODUCT(('LND Segmentation'!$M$75:$M$151=TRUE)*($AD72='LND Segmentation'!$AK$75:$AK$151)*('Climate-Alignment Target'!J$49='LND Segmentation'!$Q$74:$V$74)*('LND Segmentation'!$Q$75:$V$151)),"")</f>
        <v/>
      </c>
      <c r="K72" s="557" t="str">
        <f t="shared" si="14"/>
        <v/>
      </c>
      <c r="L72" s="557" t="str">
        <f t="shared" si="15"/>
        <v/>
      </c>
      <c r="M72" s="562">
        <f t="shared" si="11"/>
        <v>0</v>
      </c>
      <c r="N72" s="915"/>
      <c r="O72" s="563"/>
      <c r="P72" s="562" t="str">
        <f t="shared" si="19"/>
        <v/>
      </c>
      <c r="Q72" s="560" t="str">
        <f t="shared" si="16"/>
        <v/>
      </c>
      <c r="R72" s="16"/>
      <c r="U72" s="1"/>
      <c r="V72" s="1"/>
      <c r="W72" s="26"/>
      <c r="X72" s="113" t="s">
        <v>376</v>
      </c>
      <c r="Y72" s="113">
        <f t="shared" si="12"/>
        <v>2040</v>
      </c>
      <c r="Z72" s="113">
        <f t="shared" si="13"/>
        <v>0.95</v>
      </c>
      <c r="AA72" s="121"/>
      <c r="AB72" s="121" t="str">
        <f t="shared" si="17"/>
        <v/>
      </c>
      <c r="AC72" s="121" t="str">
        <f t="shared" si="18"/>
        <v/>
      </c>
      <c r="AD72" s="107" t="s">
        <v>213</v>
      </c>
    </row>
    <row r="73" spans="1:35" ht="15" hidden="1" customHeight="1" outlineLevel="3">
      <c r="B73" s="1"/>
      <c r="C73" s="1"/>
      <c r="D73" s="1"/>
      <c r="E73" s="1"/>
      <c r="F73" s="1"/>
      <c r="G73" s="20"/>
      <c r="H73" s="1"/>
      <c r="I73" s="1"/>
      <c r="Q73" s="608"/>
      <c r="R73" s="608"/>
      <c r="S73" s="608"/>
      <c r="T73" s="608"/>
      <c r="Z73" s="121"/>
    </row>
    <row r="74" spans="1:35" ht="15" hidden="1" customHeight="1" outlineLevel="3">
      <c r="A74" s="858" t="s">
        <v>402</v>
      </c>
      <c r="B74" s="858"/>
      <c r="C74" s="858"/>
      <c r="D74" s="858"/>
      <c r="E74" s="858"/>
      <c r="F74" s="858"/>
      <c r="G74" s="858"/>
      <c r="H74" s="858"/>
      <c r="I74" s="858"/>
      <c r="J74" s="858"/>
      <c r="K74" s="858"/>
      <c r="L74" s="858"/>
      <c r="M74" s="858"/>
      <c r="N74" s="858"/>
      <c r="O74" s="858"/>
      <c r="P74" s="858"/>
      <c r="Q74" s="858"/>
      <c r="R74" s="858"/>
      <c r="S74" s="858"/>
      <c r="T74" s="858"/>
      <c r="U74" s="70"/>
      <c r="V74" s="70"/>
      <c r="W74" s="70"/>
      <c r="X74" s="123"/>
    </row>
    <row r="75" spans="1:35" ht="6.75" hidden="1" customHeight="1" outlineLevel="3">
      <c r="B75" s="1"/>
      <c r="C75" s="1"/>
      <c r="D75" s="1"/>
      <c r="E75" s="1"/>
      <c r="F75" s="1"/>
      <c r="G75" s="21"/>
      <c r="H75" s="1"/>
      <c r="I75" s="1"/>
      <c r="N75" s="608"/>
      <c r="O75" s="608"/>
      <c r="P75" s="608"/>
      <c r="Z75" s="121"/>
      <c r="AA75" s="121"/>
    </row>
    <row r="76" spans="1:35" ht="30" hidden="1" customHeight="1" outlineLevel="3">
      <c r="A76" s="885" t="s">
        <v>99</v>
      </c>
      <c r="B76" s="885"/>
      <c r="C76" s="912" t="s">
        <v>364</v>
      </c>
      <c r="D76" s="798" t="s">
        <v>403</v>
      </c>
      <c r="E76" s="885" t="s">
        <v>365</v>
      </c>
      <c r="F76" s="885"/>
      <c r="G76" s="885"/>
      <c r="H76" s="885"/>
      <c r="I76" s="885"/>
      <c r="J76" s="885"/>
      <c r="K76" s="885"/>
      <c r="L76" s="885"/>
      <c r="M76" s="798" t="s">
        <v>809</v>
      </c>
      <c r="N76" s="885" t="s">
        <v>366</v>
      </c>
      <c r="O76" s="885"/>
      <c r="P76" s="885"/>
      <c r="Q76" s="834" t="s">
        <v>367</v>
      </c>
      <c r="R76" s="868"/>
      <c r="S76" s="868"/>
      <c r="T76" s="868"/>
      <c r="U76" s="59"/>
      <c r="W76" s="1"/>
      <c r="X76" s="121"/>
    </row>
    <row r="77" spans="1:35" ht="68" hidden="1" outlineLevel="3">
      <c r="A77" s="885"/>
      <c r="B77" s="885"/>
      <c r="C77" s="912"/>
      <c r="D77" s="798"/>
      <c r="E77" s="36" t="s">
        <v>106</v>
      </c>
      <c r="F77" s="554" t="s">
        <v>101</v>
      </c>
      <c r="G77" s="554" t="s">
        <v>102</v>
      </c>
      <c r="H77" s="558" t="s">
        <v>103</v>
      </c>
      <c r="I77" s="558" t="s">
        <v>104</v>
      </c>
      <c r="J77" s="554" t="s">
        <v>105</v>
      </c>
      <c r="K77" s="798" t="s">
        <v>807</v>
      </c>
      <c r="L77" s="798" t="s">
        <v>808</v>
      </c>
      <c r="M77" s="798"/>
      <c r="N77" s="885" t="s">
        <v>822</v>
      </c>
      <c r="O77" s="885" t="s">
        <v>823</v>
      </c>
      <c r="P77" s="885" t="s">
        <v>824</v>
      </c>
      <c r="Q77" s="885" t="s">
        <v>810</v>
      </c>
      <c r="R77" s="885" t="s">
        <v>811</v>
      </c>
      <c r="S77" s="885" t="s">
        <v>812</v>
      </c>
      <c r="T77" s="798" t="s">
        <v>813</v>
      </c>
      <c r="V77" s="1"/>
      <c r="W77" s="68"/>
    </row>
    <row r="78" spans="1:35" ht="30" hidden="1" customHeight="1" outlineLevel="3">
      <c r="A78" s="885"/>
      <c r="B78" s="885"/>
      <c r="C78" s="912"/>
      <c r="D78" s="798"/>
      <c r="E78" s="40" t="s">
        <v>819</v>
      </c>
      <c r="F78" s="928" t="s">
        <v>820</v>
      </c>
      <c r="G78" s="929"/>
      <c r="H78" s="929"/>
      <c r="I78" s="929"/>
      <c r="J78" s="929"/>
      <c r="K78" s="798"/>
      <c r="L78" s="798"/>
      <c r="M78" s="798"/>
      <c r="N78" s="885"/>
      <c r="O78" s="885"/>
      <c r="P78" s="885"/>
      <c r="Q78" s="885"/>
      <c r="R78" s="885"/>
      <c r="S78" s="885"/>
      <c r="T78" s="798"/>
      <c r="V78" s="1"/>
      <c r="W78" s="68"/>
    </row>
    <row r="79" spans="1:35" ht="30" hidden="1" customHeight="1" outlineLevel="3">
      <c r="A79" s="916" t="s">
        <v>113</v>
      </c>
      <c r="B79" s="916"/>
      <c r="C79" s="901" t="s">
        <v>356</v>
      </c>
      <c r="D79" s="930" t="s">
        <v>404</v>
      </c>
      <c r="E79" s="557">
        <f>SUMIFS(K$51:K$72,$A$51:$A$72,$A79)</f>
        <v>0</v>
      </c>
      <c r="F79" s="557">
        <f t="shared" ref="F79:J80" si="25">SUMIFS(F$51:F$72,$A$51:$A$72,$A79,$D$51:$D$72,$D$79)</f>
        <v>0</v>
      </c>
      <c r="G79" s="557">
        <f t="shared" si="25"/>
        <v>0</v>
      </c>
      <c r="H79" s="557">
        <f t="shared" si="25"/>
        <v>0</v>
      </c>
      <c r="I79" s="557">
        <f t="shared" si="25"/>
        <v>0</v>
      </c>
      <c r="J79" s="557">
        <f t="shared" si="25"/>
        <v>0</v>
      </c>
      <c r="K79" s="557" t="str">
        <f t="shared" ref="K79:K82" si="26">IF(E79=0,"",SUM(F79:J79))</f>
        <v/>
      </c>
      <c r="L79" s="557" t="str">
        <f>IF(E79=0,"",IF(E79-K79=0,"OK","Review financial exposure"))</f>
        <v/>
      </c>
      <c r="M79" s="562">
        <f>IF(SUM(F79:J79)=0,0,(H79+I79+J79)/(SUM(F79:J79)))</f>
        <v>0</v>
      </c>
      <c r="N79" s="902">
        <f>N51</f>
        <v>0</v>
      </c>
      <c r="O79" s="562" t="str">
        <f>IFERROR(SUMIF($A$51:$A$72,$A79,$AB$51:$AB$72)/SUMIF($A$51:$A$72,$A79,$AC$51:$AC$72),"")</f>
        <v/>
      </c>
      <c r="P79" s="933" t="str">
        <f>IFERROR(SUMPRODUCT(O79:O82,K79:K82)/SUM(K79:K82),"")</f>
        <v/>
      </c>
      <c r="Q79" s="908"/>
      <c r="R79" s="909"/>
      <c r="S79" s="897" t="str">
        <f>IF(Q79="","",95%)</f>
        <v/>
      </c>
      <c r="T79" s="898" t="str">
        <f>IF(R79="","",IF(R79-S79&gt;=0,"OK","Minimum ambition not met, please increase ambition"))</f>
        <v/>
      </c>
      <c r="V79" s="1"/>
      <c r="W79" s="68"/>
      <c r="X79" s="107"/>
      <c r="AI79" s="120" t="s">
        <v>405</v>
      </c>
    </row>
    <row r="80" spans="1:35" ht="30" hidden="1" customHeight="1" outlineLevel="3">
      <c r="A80" s="916" t="s">
        <v>121</v>
      </c>
      <c r="B80" s="916"/>
      <c r="C80" s="901"/>
      <c r="D80" s="931"/>
      <c r="E80" s="557">
        <f>SUMIFS(K$51:K$72,$A$51:$A$72,$A80)</f>
        <v>0</v>
      </c>
      <c r="F80" s="557">
        <f t="shared" si="25"/>
        <v>0</v>
      </c>
      <c r="G80" s="557">
        <f t="shared" si="25"/>
        <v>0</v>
      </c>
      <c r="H80" s="557">
        <f t="shared" si="25"/>
        <v>0</v>
      </c>
      <c r="I80" s="557">
        <f t="shared" si="25"/>
        <v>0</v>
      </c>
      <c r="J80" s="557">
        <f t="shared" si="25"/>
        <v>0</v>
      </c>
      <c r="K80" s="557" t="str">
        <f t="shared" si="26"/>
        <v/>
      </c>
      <c r="L80" s="557" t="str">
        <f t="shared" ref="L80:L82" si="27">IF(E80=0,"",IF(E80-K80=0,"OK","Review financial exposure"))</f>
        <v/>
      </c>
      <c r="M80" s="562">
        <f>IF(SUM(F80:J80)=0,0,(H80+I80+J80)/(SUM(F80:J80)))</f>
        <v>0</v>
      </c>
      <c r="N80" s="903"/>
      <c r="O80" s="562" t="str">
        <f>IFERROR(SUMIF($A$51:$A$72,$A80,$AB$51:$AB$72)/SUMIF($A$51:$A$72,$A80,$AC$51:$AC$72),"")</f>
        <v/>
      </c>
      <c r="P80" s="933"/>
      <c r="Q80" s="908"/>
      <c r="R80" s="909"/>
      <c r="S80" s="897"/>
      <c r="T80" s="898"/>
      <c r="V80" s="1"/>
      <c r="W80" s="68"/>
      <c r="X80" s="107"/>
    </row>
    <row r="81" spans="1:29" ht="30" hidden="1" customHeight="1" outlineLevel="3">
      <c r="A81" s="916" t="s">
        <v>130</v>
      </c>
      <c r="B81" s="916"/>
      <c r="C81" s="901"/>
      <c r="D81" s="931"/>
      <c r="E81" s="557">
        <f>SUMIFS(K$51:K$72,$A$51:$A$72,$A81)</f>
        <v>0</v>
      </c>
      <c r="F81" s="557">
        <f t="shared" ref="F81" si="28">SUMIFS(F$51:F$72,$A$51:$A$72,$A81,$D$51:$D$72,$D$79)</f>
        <v>0</v>
      </c>
      <c r="G81" s="557">
        <f t="shared" ref="G81:J82" si="29">SUMIFS(G$51:G$72,$A$51:$A$72,$A81,$D$51:$D$72,$D$79)</f>
        <v>0</v>
      </c>
      <c r="H81" s="557">
        <f t="shared" si="29"/>
        <v>0</v>
      </c>
      <c r="I81" s="557">
        <f t="shared" si="29"/>
        <v>0</v>
      </c>
      <c r="J81" s="557">
        <f t="shared" si="29"/>
        <v>0</v>
      </c>
      <c r="K81" s="557" t="str">
        <f t="shared" si="26"/>
        <v/>
      </c>
      <c r="L81" s="557" t="str">
        <f t="shared" si="27"/>
        <v/>
      </c>
      <c r="M81" s="562">
        <f>IF(SUM(F81:J81)=0,0,(H81+I81+J81)/(SUM(F81:J81)))</f>
        <v>0</v>
      </c>
      <c r="N81" s="903"/>
      <c r="O81" s="562" t="str">
        <f>IFERROR(SUMIF($A$51:$A$72,$A81,$AB$51:$AB$72)/SUMIF($A$51:$A$72,$A81,$AC$51:$AC$72),"")</f>
        <v/>
      </c>
      <c r="P81" s="933"/>
      <c r="Q81" s="908"/>
      <c r="R81" s="909"/>
      <c r="S81" s="897"/>
      <c r="T81" s="898"/>
      <c r="V81" s="1"/>
      <c r="W81" s="24"/>
      <c r="X81" s="108"/>
      <c r="Y81" s="108"/>
      <c r="Z81" s="108"/>
      <c r="AA81" s="108"/>
      <c r="AB81" s="108"/>
      <c r="AC81" s="107"/>
    </row>
    <row r="82" spans="1:29" ht="30" hidden="1" customHeight="1" outlineLevel="3">
      <c r="A82" s="916" t="s">
        <v>136</v>
      </c>
      <c r="B82" s="916"/>
      <c r="C82" s="901"/>
      <c r="D82" s="932"/>
      <c r="E82" s="557">
        <f>SUMIFS(K$51:K$72,$A$51:$A$72,$A82)</f>
        <v>0</v>
      </c>
      <c r="F82" s="557">
        <f>SUMIFS(F$51:F$72,$A$51:$A$72,$A82,$D$51:$D$72,$D$79)</f>
        <v>0</v>
      </c>
      <c r="G82" s="557">
        <f t="shared" si="29"/>
        <v>0</v>
      </c>
      <c r="H82" s="557">
        <f t="shared" si="29"/>
        <v>0</v>
      </c>
      <c r="I82" s="557">
        <f t="shared" si="29"/>
        <v>0</v>
      </c>
      <c r="J82" s="557">
        <f t="shared" si="29"/>
        <v>0</v>
      </c>
      <c r="K82" s="557" t="str">
        <f t="shared" si="26"/>
        <v/>
      </c>
      <c r="L82" s="557" t="str">
        <f t="shared" si="27"/>
        <v/>
      </c>
      <c r="M82" s="562">
        <f>IF(SUM(F82:J82)=0,0,(H82+I82+J82)/(SUM(F82:J82)))</f>
        <v>0</v>
      </c>
      <c r="N82" s="904"/>
      <c r="O82" s="562" t="str">
        <f>IFERROR(SUMIF($A$51:$A$72,$A82,$AB$51:$AB$72)/SUMIF($A$51:$A$72,$A82,$AC$51:$AC$72),"")</f>
        <v/>
      </c>
      <c r="P82" s="933"/>
      <c r="Q82" s="908"/>
      <c r="R82" s="909"/>
      <c r="S82" s="897"/>
      <c r="T82" s="898"/>
      <c r="V82" s="1"/>
      <c r="W82" s="24"/>
      <c r="X82" s="107"/>
    </row>
    <row r="83" spans="1:29" ht="13.5" hidden="1" customHeight="1" outlineLevel="2"/>
    <row r="84" spans="1:29" ht="13.5" hidden="1" customHeight="1" outlineLevel="2"/>
    <row r="85" spans="1:29" ht="15.75" hidden="1" customHeight="1" outlineLevel="2" collapsed="1">
      <c r="A85" s="867" t="s">
        <v>380</v>
      </c>
      <c r="B85" s="867"/>
      <c r="C85" s="867"/>
      <c r="D85" s="556"/>
      <c r="E85" s="556"/>
      <c r="F85" s="64"/>
      <c r="G85" s="64"/>
      <c r="H85" s="64"/>
      <c r="I85" s="64"/>
      <c r="J85" s="64"/>
      <c r="K85" s="64"/>
      <c r="L85" s="64"/>
      <c r="M85" s="64"/>
      <c r="N85" s="64"/>
      <c r="O85" s="64"/>
      <c r="P85" s="64"/>
      <c r="Q85" s="64"/>
      <c r="R85" s="64"/>
      <c r="S85" s="64"/>
      <c r="T85" s="64"/>
      <c r="U85" s="64"/>
      <c r="V85" s="64"/>
    </row>
    <row r="86" spans="1:29" ht="13.5" hidden="1" customHeight="1" outlineLevel="3">
      <c r="A86" s="1"/>
      <c r="B86" s="1"/>
      <c r="C86" s="18"/>
      <c r="D86" s="1"/>
      <c r="E86" s="1"/>
    </row>
    <row r="87" spans="1:29" s="122" customFormat="1" ht="20.25" hidden="1" customHeight="1" outlineLevel="3">
      <c r="A87" s="858" t="s">
        <v>406</v>
      </c>
      <c r="B87" s="858"/>
      <c r="C87" s="858"/>
      <c r="D87" s="858"/>
      <c r="E87" s="858"/>
      <c r="F87" s="858"/>
      <c r="G87" s="858"/>
      <c r="H87" s="858"/>
      <c r="I87" s="858"/>
      <c r="J87" s="858"/>
      <c r="K87" s="858"/>
      <c r="L87" s="858"/>
      <c r="M87" s="858"/>
      <c r="N87" s="858"/>
      <c r="O87" s="858"/>
      <c r="P87" s="858"/>
      <c r="Q87" s="858"/>
      <c r="R87" s="70"/>
      <c r="S87" s="70"/>
      <c r="T87" s="70"/>
      <c r="U87" s="12"/>
      <c r="V87" s="12"/>
      <c r="W87" s="12"/>
    </row>
    <row r="88" spans="1:29" ht="6" hidden="1" customHeight="1" outlineLevel="3">
      <c r="A88" s="1"/>
      <c r="B88" s="917"/>
      <c r="C88" s="917"/>
      <c r="D88" s="917"/>
      <c r="E88" s="917"/>
      <c r="F88" s="917"/>
      <c r="G88" s="917"/>
      <c r="H88" s="17"/>
      <c r="I88" s="17"/>
      <c r="J88" s="17"/>
      <c r="K88" s="17"/>
      <c r="L88" s="17"/>
      <c r="M88" s="17"/>
      <c r="N88" s="17"/>
      <c r="O88" s="17"/>
      <c r="P88" s="17"/>
      <c r="Q88" s="17"/>
      <c r="R88" s="17"/>
      <c r="S88" s="17"/>
      <c r="T88" s="17"/>
      <c r="U88" s="17"/>
      <c r="V88" s="17"/>
      <c r="W88" s="17"/>
      <c r="X88" s="110"/>
      <c r="Y88" s="110"/>
      <c r="Z88" s="110"/>
      <c r="AA88" s="110"/>
    </row>
    <row r="89" spans="1:29" ht="15.75" hidden="1" customHeight="1" outlineLevel="3">
      <c r="A89" s="918" t="s">
        <v>99</v>
      </c>
      <c r="B89" s="918" t="s">
        <v>387</v>
      </c>
      <c r="C89" s="920" t="s">
        <v>364</v>
      </c>
      <c r="D89" s="918" t="s">
        <v>818</v>
      </c>
      <c r="E89" s="885" t="s">
        <v>365</v>
      </c>
      <c r="F89" s="885"/>
      <c r="G89" s="885"/>
      <c r="H89" s="885"/>
      <c r="I89" s="885"/>
      <c r="J89" s="885"/>
      <c r="K89" s="885"/>
      <c r="L89" s="885"/>
      <c r="M89" s="798" t="s">
        <v>809</v>
      </c>
      <c r="N89" s="887" t="s">
        <v>366</v>
      </c>
      <c r="O89" s="887"/>
      <c r="P89" s="887"/>
      <c r="Q89" s="887"/>
      <c r="R89" s="37"/>
      <c r="S89" s="17"/>
      <c r="T89" s="17"/>
      <c r="U89" s="17"/>
      <c r="V89" s="17"/>
      <c r="W89" s="17"/>
      <c r="X89" s="110"/>
    </row>
    <row r="90" spans="1:29" ht="68" hidden="1" outlineLevel="3">
      <c r="A90" s="918"/>
      <c r="B90" s="918"/>
      <c r="C90" s="920"/>
      <c r="D90" s="918"/>
      <c r="E90" s="36" t="s">
        <v>106</v>
      </c>
      <c r="F90" s="554" t="s">
        <v>101</v>
      </c>
      <c r="G90" s="554" t="s">
        <v>102</v>
      </c>
      <c r="H90" s="558" t="s">
        <v>103</v>
      </c>
      <c r="I90" s="558" t="s">
        <v>104</v>
      </c>
      <c r="J90" s="554" t="s">
        <v>105</v>
      </c>
      <c r="K90" s="798" t="s">
        <v>807</v>
      </c>
      <c r="L90" s="798" t="s">
        <v>808</v>
      </c>
      <c r="M90" s="798"/>
      <c r="N90" s="885" t="s">
        <v>825</v>
      </c>
      <c r="O90" s="923" t="s">
        <v>811</v>
      </c>
      <c r="P90" s="922" t="s">
        <v>821</v>
      </c>
      <c r="Q90" s="924" t="s">
        <v>813</v>
      </c>
      <c r="R90" s="13"/>
      <c r="S90" s="17"/>
      <c r="T90" s="66"/>
      <c r="U90" s="67"/>
      <c r="V90" s="1"/>
      <c r="W90" s="27"/>
      <c r="X90" s="110"/>
      <c r="Y90" s="110"/>
      <c r="Z90" s="110"/>
    </row>
    <row r="91" spans="1:29" ht="31.5" hidden="1" customHeight="1" outlineLevel="3">
      <c r="A91" s="919"/>
      <c r="B91" s="919"/>
      <c r="C91" s="921"/>
      <c r="D91" s="919"/>
      <c r="E91" s="40" t="s">
        <v>819</v>
      </c>
      <c r="F91" s="925" t="s">
        <v>817</v>
      </c>
      <c r="G91" s="926"/>
      <c r="H91" s="926"/>
      <c r="I91" s="926"/>
      <c r="J91" s="926"/>
      <c r="K91" s="798"/>
      <c r="L91" s="798"/>
      <c r="M91" s="798"/>
      <c r="N91" s="885"/>
      <c r="O91" s="924"/>
      <c r="P91" s="922"/>
      <c r="Q91" s="924"/>
      <c r="R91" s="13"/>
      <c r="U91" s="1"/>
      <c r="V91" s="1"/>
      <c r="W91" s="27"/>
      <c r="X91" s="110"/>
      <c r="Y91" s="110"/>
      <c r="Z91" s="110"/>
      <c r="AA91" s="110" t="s">
        <v>388</v>
      </c>
      <c r="AB91" s="110" t="s">
        <v>389</v>
      </c>
      <c r="AC91" s="110" t="s">
        <v>390</v>
      </c>
    </row>
    <row r="92" spans="1:29" ht="46.25" hidden="1" customHeight="1" outlineLevel="3">
      <c r="A92" s="894" t="s">
        <v>113</v>
      </c>
      <c r="B92" s="886" t="s">
        <v>391</v>
      </c>
      <c r="C92" s="333" t="s">
        <v>369</v>
      </c>
      <c r="D92" s="333" t="str">
        <f>_xlfn.XLOOKUP(AC92,$AD$51:$AD$72,$D$51:$D$72,"No target",0)</f>
        <v>No target type selected</v>
      </c>
      <c r="E92" s="866" cm="1">
        <f t="array" ref="E92">SUMPRODUCT(('LND Segmentation'!$M$75:$M$151=TRUE)*($AC92='LND Segmentation'!$AK$75:$AK$151)*('Climate-Alignment Target'!E$90='LND Segmentation'!$Q$74:$V$74)*('LND Segmentation'!$Q$75:$V$151))</f>
        <v>0</v>
      </c>
      <c r="F92" s="5"/>
      <c r="G92" s="5"/>
      <c r="H92" s="5"/>
      <c r="I92" s="5"/>
      <c r="J92" s="5"/>
      <c r="K92" s="557" t="str">
        <f>IF(D92&lt;&gt;"Climate-alignment target","",SUM(F92:J92))</f>
        <v/>
      </c>
      <c r="L92" s="712" t="str">
        <f>IF(K92="","",IF(E92=(K92+K93),"OK",IF(D92="Sector target","OK - covered by sector target",IF(AND(E92=0,D92="No target type selected"),"OK","Review financial exposure"))))</f>
        <v/>
      </c>
      <c r="M92" s="562">
        <f>IF(SUM(F92:J92)=0,0,SUM(H92:J92)/(SUM(F92:J92)))</f>
        <v>0</v>
      </c>
      <c r="N92" s="915"/>
      <c r="O92" s="563"/>
      <c r="P92" s="562" t="str">
        <f t="shared" ref="P92:P131" si="30">IF(AND($D92="Climate-alignment target",$N$92&lt;&gt;""),IF(M92&gt;$Z92,M92,(M92+($Z92-M92)/($Y92-$I$9)*($N$92-$I$9))),"")</f>
        <v/>
      </c>
      <c r="Q92" s="560" t="str">
        <f>IF(O92="","",IF(O92-P92&gt;=0,"OK","Minimum ambition not met, please increase ambition"))</f>
        <v/>
      </c>
      <c r="R92" s="16"/>
      <c r="T92" s="121" t="s">
        <v>113</v>
      </c>
      <c r="U92" s="1"/>
      <c r="V92" s="1"/>
      <c r="W92" s="26"/>
      <c r="X92" s="113" t="s">
        <v>368</v>
      </c>
      <c r="Y92" s="113">
        <f t="shared" ref="Y92:Y135" si="31">_xlfn.XLOOKUP($X92,$AB$17:$AB$24,AE$17:AE$24,0,0)</f>
        <v>2035</v>
      </c>
      <c r="Z92" s="113">
        <f t="shared" ref="Z92:Z135" si="32">_xlfn.XLOOKUP($X92,$AB$17:$AB$24,AF$17:AF$24,0,0)</f>
        <v>0.95</v>
      </c>
      <c r="AA92" s="121" t="str">
        <f>IF($D92&lt;&gt;"Climate-alignment target","",O92*K92)</f>
        <v/>
      </c>
      <c r="AB92" s="121" t="str">
        <f>IF($D92&lt;&gt;"Climate-alignment target","",K92)</f>
        <v/>
      </c>
      <c r="AC92" s="107" t="s">
        <v>171</v>
      </c>
    </row>
    <row r="93" spans="1:29" ht="46.25" hidden="1" customHeight="1" outlineLevel="3">
      <c r="A93" s="895"/>
      <c r="B93" s="886"/>
      <c r="C93" s="333" t="s">
        <v>372</v>
      </c>
      <c r="D93" s="333" t="str">
        <f>D92</f>
        <v>No target type selected</v>
      </c>
      <c r="E93" s="866"/>
      <c r="F93" s="5"/>
      <c r="G93" s="5"/>
      <c r="H93" s="5"/>
      <c r="I93" s="5"/>
      <c r="J93" s="5"/>
      <c r="K93" s="557" t="str">
        <f>IF(D93&lt;&gt;"Climate-alignment target","",SUM(F93:J93))</f>
        <v/>
      </c>
      <c r="L93" s="713"/>
      <c r="M93" s="562">
        <f t="shared" ref="M93:M97" si="33">IF(SUM(F93:J93)=0,0,SUM(H93:J93)/(SUM(F93:J93)))</f>
        <v>0</v>
      </c>
      <c r="N93" s="915"/>
      <c r="O93" s="563"/>
      <c r="P93" s="562" t="str">
        <f t="shared" si="30"/>
        <v/>
      </c>
      <c r="Q93" s="560" t="str">
        <f t="shared" ref="Q93:Q135" si="34">IF(O93="","",IF(O93-P93&gt;=0,"OK","Minimum ambition not met, please increase ambition"))</f>
        <v/>
      </c>
      <c r="R93" s="16"/>
      <c r="T93" s="121" t="s">
        <v>113</v>
      </c>
      <c r="U93" s="1"/>
      <c r="V93" s="1"/>
      <c r="W93" s="26"/>
      <c r="X93" s="113" t="s">
        <v>371</v>
      </c>
      <c r="Y93" s="113">
        <f t="shared" si="31"/>
        <v>2035</v>
      </c>
      <c r="Z93" s="113">
        <f t="shared" si="32"/>
        <v>0.85</v>
      </c>
      <c r="AA93" s="121" t="str">
        <f t="shared" ref="AA93:AA135" si="35">IF($D93&lt;&gt;"Climate-alignment target","",O93*K93)</f>
        <v/>
      </c>
      <c r="AB93" s="121" t="str">
        <f t="shared" ref="AB93:AB135" si="36">IF($D93&lt;&gt;"Climate-alignment target","",K93)</f>
        <v/>
      </c>
      <c r="AC93" s="107"/>
    </row>
    <row r="94" spans="1:29" ht="46.25" hidden="1" customHeight="1" outlineLevel="3">
      <c r="A94" s="895"/>
      <c r="B94" s="886" t="s">
        <v>392</v>
      </c>
      <c r="C94" s="333" t="s">
        <v>369</v>
      </c>
      <c r="D94" s="333" t="str">
        <f>_xlfn.XLOOKUP(AC94,$AD$51:$AD$72,$D$51:$D$72,"No target",0)</f>
        <v>No target type selected</v>
      </c>
      <c r="E94" s="866" cm="1">
        <f t="array" ref="E94">SUMPRODUCT(('LND Segmentation'!$M$75:$M$151=TRUE)*($AC94='LND Segmentation'!$AK$75:$AK$151)*('Climate-Alignment Target'!E$90='LND Segmentation'!$Q$74:$V$74)*('LND Segmentation'!$Q$75:$V$151))</f>
        <v>0</v>
      </c>
      <c r="F94" s="5"/>
      <c r="G94" s="5"/>
      <c r="H94" s="5"/>
      <c r="I94" s="5"/>
      <c r="J94" s="5"/>
      <c r="K94" s="557" t="str">
        <f t="shared" ref="K94:K135" si="37">IF(D94&lt;&gt;"Climate-alignment target","",SUM(F94:J94))</f>
        <v/>
      </c>
      <c r="L94" s="712" t="str">
        <f>IF(K94="","",IF(E94=(K94+K95),"OK",IF(D94="Sector target","OK - covered by sector target",IF(AND(E94=0,D94="No target type selected"),"OK","Review financial exposure"))))</f>
        <v/>
      </c>
      <c r="M94" s="562">
        <f t="shared" si="33"/>
        <v>0</v>
      </c>
      <c r="N94" s="915"/>
      <c r="O94" s="563"/>
      <c r="P94" s="562" t="str">
        <f t="shared" si="30"/>
        <v/>
      </c>
      <c r="Q94" s="560" t="str">
        <f t="shared" si="34"/>
        <v/>
      </c>
      <c r="R94" s="16"/>
      <c r="T94" s="121" t="s">
        <v>113</v>
      </c>
      <c r="U94" s="1"/>
      <c r="V94" s="1"/>
      <c r="W94" s="26"/>
      <c r="X94" s="113" t="s">
        <v>368</v>
      </c>
      <c r="Y94" s="113">
        <f t="shared" si="31"/>
        <v>2035</v>
      </c>
      <c r="Z94" s="113">
        <f t="shared" si="32"/>
        <v>0.95</v>
      </c>
      <c r="AA94" s="121" t="str">
        <f t="shared" si="35"/>
        <v/>
      </c>
      <c r="AB94" s="121" t="str">
        <f t="shared" si="36"/>
        <v/>
      </c>
      <c r="AC94" s="107" t="s">
        <v>172</v>
      </c>
    </row>
    <row r="95" spans="1:29" ht="46.25" hidden="1" customHeight="1" outlineLevel="3">
      <c r="A95" s="896"/>
      <c r="B95" s="886"/>
      <c r="C95" s="333" t="s">
        <v>372</v>
      </c>
      <c r="D95" s="333" t="str">
        <f>D94</f>
        <v>No target type selected</v>
      </c>
      <c r="E95" s="866"/>
      <c r="F95" s="5"/>
      <c r="G95" s="5"/>
      <c r="H95" s="5"/>
      <c r="I95" s="5"/>
      <c r="J95" s="5"/>
      <c r="K95" s="557" t="str">
        <f t="shared" si="37"/>
        <v/>
      </c>
      <c r="L95" s="713"/>
      <c r="M95" s="562">
        <f t="shared" si="33"/>
        <v>0</v>
      </c>
      <c r="N95" s="915"/>
      <c r="O95" s="563"/>
      <c r="P95" s="562" t="str">
        <f t="shared" si="30"/>
        <v/>
      </c>
      <c r="Q95" s="560" t="str">
        <f t="shared" si="34"/>
        <v/>
      </c>
      <c r="R95" s="16"/>
      <c r="T95" s="121" t="s">
        <v>113</v>
      </c>
      <c r="U95" s="1"/>
      <c r="V95" s="1"/>
      <c r="W95" s="26"/>
      <c r="X95" s="113" t="s">
        <v>371</v>
      </c>
      <c r="Y95" s="113">
        <f t="shared" si="31"/>
        <v>2035</v>
      </c>
      <c r="Z95" s="113">
        <f t="shared" si="32"/>
        <v>0.85</v>
      </c>
      <c r="AA95" s="121" t="str">
        <f t="shared" si="35"/>
        <v/>
      </c>
      <c r="AB95" s="121" t="str">
        <f t="shared" si="36"/>
        <v/>
      </c>
      <c r="AC95" s="107"/>
    </row>
    <row r="96" spans="1:29" ht="46.25" hidden="1" customHeight="1" outlineLevel="3">
      <c r="A96" s="863" t="s">
        <v>121</v>
      </c>
      <c r="B96" s="340" t="s">
        <v>120</v>
      </c>
      <c r="C96" s="333" t="s">
        <v>369</v>
      </c>
      <c r="D96" s="333" t="str">
        <f t="shared" ref="D96" si="38">_xlfn.XLOOKUP(AC96,$AD$51:$AD$72,$D$51:$D$72,"No target",0)</f>
        <v>No target type selected</v>
      </c>
      <c r="E96" s="866" cm="1">
        <f t="array" ref="E96">SUMPRODUCT(('LND Segmentation'!$M$75:$M$151=TRUE)*($AC96='LND Segmentation'!$AK$75:$AK$151)*('Climate-Alignment Target'!E$90='LND Segmentation'!$Q$74:$V$74)*('LND Segmentation'!$Q$75:$V$151))</f>
        <v>0</v>
      </c>
      <c r="F96" s="5"/>
      <c r="G96" s="5"/>
      <c r="H96" s="5"/>
      <c r="I96" s="5"/>
      <c r="J96" s="5"/>
      <c r="K96" s="557" t="str">
        <f t="shared" si="37"/>
        <v/>
      </c>
      <c r="L96" s="712" t="str">
        <f>IF(K96="","",IF(E96=(K96+K97),"OK",IF(D96="Sector target","OK - covered by sector target",IF(AND(E96=0,D96="No target type selected"),"OK","Review financial exposure"))))</f>
        <v/>
      </c>
      <c r="M96" s="562">
        <f t="shared" si="33"/>
        <v>0</v>
      </c>
      <c r="N96" s="915"/>
      <c r="O96" s="563"/>
      <c r="P96" s="562" t="str">
        <f t="shared" si="30"/>
        <v/>
      </c>
      <c r="Q96" s="560" t="str">
        <f t="shared" si="34"/>
        <v/>
      </c>
      <c r="R96" s="16"/>
      <c r="T96" s="124" t="s">
        <v>121</v>
      </c>
      <c r="U96" s="1"/>
      <c r="V96" s="1"/>
      <c r="W96" s="26"/>
      <c r="X96" s="113" t="s">
        <v>373</v>
      </c>
      <c r="Y96" s="113">
        <f t="shared" si="31"/>
        <v>2040</v>
      </c>
      <c r="Z96" s="113">
        <f t="shared" si="32"/>
        <v>0.95</v>
      </c>
      <c r="AA96" s="121" t="str">
        <f t="shared" si="35"/>
        <v/>
      </c>
      <c r="AB96" s="121" t="str">
        <f t="shared" si="36"/>
        <v/>
      </c>
      <c r="AC96" s="107" t="s">
        <v>173</v>
      </c>
    </row>
    <row r="97" spans="1:29" ht="46.25" hidden="1" customHeight="1" outlineLevel="3">
      <c r="A97" s="865"/>
      <c r="B97" s="340" t="s">
        <v>120</v>
      </c>
      <c r="C97" s="333" t="s">
        <v>372</v>
      </c>
      <c r="D97" s="333" t="str">
        <f t="shared" ref="D97" si="39">D96</f>
        <v>No target type selected</v>
      </c>
      <c r="E97" s="866"/>
      <c r="F97" s="5"/>
      <c r="G97" s="5"/>
      <c r="H97" s="5"/>
      <c r="I97" s="5"/>
      <c r="J97" s="5"/>
      <c r="K97" s="557" t="str">
        <f t="shared" si="37"/>
        <v/>
      </c>
      <c r="L97" s="713"/>
      <c r="M97" s="562">
        <f t="shared" si="33"/>
        <v>0</v>
      </c>
      <c r="N97" s="915"/>
      <c r="O97" s="563"/>
      <c r="P97" s="562" t="str">
        <f t="shared" si="30"/>
        <v/>
      </c>
      <c r="Q97" s="560" t="str">
        <f t="shared" si="34"/>
        <v/>
      </c>
      <c r="R97" s="16"/>
      <c r="T97" s="124" t="s">
        <v>121</v>
      </c>
      <c r="U97" s="1"/>
      <c r="V97" s="1"/>
      <c r="W97" s="26"/>
      <c r="X97" s="113" t="s">
        <v>374</v>
      </c>
      <c r="Y97" s="113">
        <f t="shared" si="31"/>
        <v>2040</v>
      </c>
      <c r="Z97" s="113">
        <f t="shared" si="32"/>
        <v>0.85</v>
      </c>
      <c r="AA97" s="121" t="str">
        <f t="shared" si="35"/>
        <v/>
      </c>
      <c r="AB97" s="121" t="str">
        <f t="shared" si="36"/>
        <v/>
      </c>
      <c r="AC97" s="107"/>
    </row>
    <row r="98" spans="1:29" ht="46.25" hidden="1" customHeight="1" outlineLevel="3">
      <c r="A98" s="863" t="s">
        <v>121</v>
      </c>
      <c r="B98" s="886" t="s">
        <v>393</v>
      </c>
      <c r="C98" s="333" t="s">
        <v>369</v>
      </c>
      <c r="D98" s="333" t="str">
        <f t="shared" ref="D98" si="40">_xlfn.XLOOKUP(AC98,$AD$51:$AD$72,$D$51:$D$72,"No target",0)</f>
        <v>No target type selected</v>
      </c>
      <c r="E98" s="866" cm="1">
        <f t="array" ref="E98">SUMPRODUCT(('LND Segmentation'!$M$75:$M$151=TRUE)*($AC98='LND Segmentation'!$AK$75:$AK$151)*('Climate-Alignment Target'!E$90='LND Segmentation'!$Q$74:$V$74)*('LND Segmentation'!$Q$75:$V$151))</f>
        <v>0</v>
      </c>
      <c r="F98" s="5"/>
      <c r="G98" s="5"/>
      <c r="H98" s="5"/>
      <c r="I98" s="5"/>
      <c r="J98" s="5"/>
      <c r="K98" s="557" t="str">
        <f t="shared" si="37"/>
        <v/>
      </c>
      <c r="L98" s="712" t="str">
        <f t="shared" ref="L98" si="41">IF(K98="","",IF(E98=(K98+K99),"OK",IF(D98="Sector target","OK - covered by sector target",IF(AND(E98=0,D98="No target type selected"),"OK","Review financial exposure"))))</f>
        <v/>
      </c>
      <c r="M98" s="562">
        <f t="shared" ref="M98:M135" si="42">IF(SUM(F98:J98)=0,0,SUM(H98:J98)/(SUM(F98:J98)))</f>
        <v>0</v>
      </c>
      <c r="N98" s="915"/>
      <c r="O98" s="563"/>
      <c r="P98" s="562" t="str">
        <f t="shared" si="30"/>
        <v/>
      </c>
      <c r="Q98" s="560" t="str">
        <f t="shared" si="34"/>
        <v/>
      </c>
      <c r="R98" s="16"/>
      <c r="T98" s="124" t="s">
        <v>121</v>
      </c>
      <c r="U98" s="1"/>
      <c r="V98" s="1"/>
      <c r="W98" s="26"/>
      <c r="X98" s="113" t="s">
        <v>373</v>
      </c>
      <c r="Y98" s="113">
        <f t="shared" si="31"/>
        <v>2040</v>
      </c>
      <c r="Z98" s="113">
        <f t="shared" si="32"/>
        <v>0.95</v>
      </c>
      <c r="AA98" s="121" t="str">
        <f t="shared" si="35"/>
        <v/>
      </c>
      <c r="AB98" s="121" t="str">
        <f t="shared" si="36"/>
        <v/>
      </c>
      <c r="AC98" s="107" t="s">
        <v>178</v>
      </c>
    </row>
    <row r="99" spans="1:29" ht="46.25" hidden="1" customHeight="1" outlineLevel="3">
      <c r="A99" s="865"/>
      <c r="B99" s="886"/>
      <c r="C99" s="333" t="s">
        <v>372</v>
      </c>
      <c r="D99" s="333" t="str">
        <f t="shared" ref="D99" si="43">D98</f>
        <v>No target type selected</v>
      </c>
      <c r="E99" s="866"/>
      <c r="F99" s="5"/>
      <c r="G99" s="5"/>
      <c r="H99" s="5"/>
      <c r="I99" s="5"/>
      <c r="J99" s="5"/>
      <c r="K99" s="557" t="str">
        <f t="shared" si="37"/>
        <v/>
      </c>
      <c r="L99" s="713"/>
      <c r="M99" s="562">
        <f t="shared" si="42"/>
        <v>0</v>
      </c>
      <c r="N99" s="915"/>
      <c r="O99" s="563"/>
      <c r="P99" s="562" t="str">
        <f t="shared" si="30"/>
        <v/>
      </c>
      <c r="Q99" s="560" t="str">
        <f t="shared" si="34"/>
        <v/>
      </c>
      <c r="R99" s="16"/>
      <c r="T99" s="124" t="s">
        <v>121</v>
      </c>
      <c r="U99" s="1"/>
      <c r="V99" s="1"/>
      <c r="W99" s="26"/>
      <c r="X99" s="113" t="s">
        <v>374</v>
      </c>
      <c r="Y99" s="113">
        <f t="shared" si="31"/>
        <v>2040</v>
      </c>
      <c r="Z99" s="113">
        <f t="shared" si="32"/>
        <v>0.85</v>
      </c>
      <c r="AA99" s="121" t="str">
        <f t="shared" si="35"/>
        <v/>
      </c>
      <c r="AB99" s="121" t="str">
        <f t="shared" si="36"/>
        <v/>
      </c>
      <c r="AC99" s="107"/>
    </row>
    <row r="100" spans="1:29" ht="46.25" hidden="1" customHeight="1" outlineLevel="3">
      <c r="A100" s="863" t="s">
        <v>136</v>
      </c>
      <c r="B100" s="886" t="s">
        <v>393</v>
      </c>
      <c r="C100" s="333" t="s">
        <v>369</v>
      </c>
      <c r="D100" s="333" t="str">
        <f t="shared" ref="D100" si="44">_xlfn.XLOOKUP(AC100,$AD$51:$AD$72,$D$51:$D$72,"No target",0)</f>
        <v>No target type selected</v>
      </c>
      <c r="E100" s="866" cm="1">
        <f t="array" ref="E100">SUMPRODUCT(('LND Segmentation'!$M$75:$M$151=TRUE)*($AC100='LND Segmentation'!$AK$75:$AK$151)*('Climate-Alignment Target'!E$90='LND Segmentation'!$Q$74:$V$74)*('LND Segmentation'!$Q$75:$V$151))</f>
        <v>0</v>
      </c>
      <c r="F100" s="5"/>
      <c r="G100" s="5"/>
      <c r="H100" s="5"/>
      <c r="I100" s="5"/>
      <c r="J100" s="5"/>
      <c r="K100" s="557" t="str">
        <f t="shared" si="37"/>
        <v/>
      </c>
      <c r="L100" s="712" t="str">
        <f t="shared" ref="L100" si="45">IF(K100="","",IF(E100=(K100+K101),"OK",IF(D100="Sector target","OK - covered by sector target",IF(AND(E100=0,D100="No target type selected"),"OK","Review financial exposure"))))</f>
        <v/>
      </c>
      <c r="M100" s="562">
        <f t="shared" si="42"/>
        <v>0</v>
      </c>
      <c r="N100" s="915"/>
      <c r="O100" s="563"/>
      <c r="P100" s="562" t="str">
        <f t="shared" si="30"/>
        <v/>
      </c>
      <c r="Q100" s="560" t="str">
        <f t="shared" si="34"/>
        <v/>
      </c>
      <c r="R100" s="16"/>
      <c r="T100" s="124" t="s">
        <v>136</v>
      </c>
      <c r="U100" s="1"/>
      <c r="V100" s="1"/>
      <c r="W100" s="26"/>
      <c r="X100" s="113" t="s">
        <v>378</v>
      </c>
      <c r="Y100" s="113">
        <f t="shared" si="31"/>
        <v>2050</v>
      </c>
      <c r="Z100" s="113">
        <f t="shared" si="32"/>
        <v>0.95</v>
      </c>
      <c r="AA100" s="121" t="str">
        <f t="shared" si="35"/>
        <v/>
      </c>
      <c r="AB100" s="121" t="str">
        <f t="shared" si="36"/>
        <v/>
      </c>
      <c r="AC100" s="107" t="s">
        <v>216</v>
      </c>
    </row>
    <row r="101" spans="1:29" ht="46.25" hidden="1" customHeight="1" outlineLevel="3">
      <c r="A101" s="865"/>
      <c r="B101" s="886"/>
      <c r="C101" s="333" t="s">
        <v>372</v>
      </c>
      <c r="D101" s="333" t="str">
        <f t="shared" ref="D101" si="46">D100</f>
        <v>No target type selected</v>
      </c>
      <c r="E101" s="866"/>
      <c r="F101" s="5"/>
      <c r="G101" s="5"/>
      <c r="H101" s="5"/>
      <c r="I101" s="5"/>
      <c r="J101" s="5"/>
      <c r="K101" s="557" t="str">
        <f t="shared" si="37"/>
        <v/>
      </c>
      <c r="L101" s="713"/>
      <c r="M101" s="562">
        <f t="shared" si="42"/>
        <v>0</v>
      </c>
      <c r="N101" s="915"/>
      <c r="O101" s="563"/>
      <c r="P101" s="562" t="str">
        <f t="shared" si="30"/>
        <v/>
      </c>
      <c r="Q101" s="560" t="str">
        <f t="shared" si="34"/>
        <v/>
      </c>
      <c r="R101" s="16"/>
      <c r="T101" s="124" t="s">
        <v>136</v>
      </c>
      <c r="U101" s="1"/>
      <c r="V101" s="1"/>
      <c r="W101" s="26"/>
      <c r="X101" s="113" t="s">
        <v>379</v>
      </c>
      <c r="Y101" s="113">
        <f t="shared" si="31"/>
        <v>2050</v>
      </c>
      <c r="Z101" s="113">
        <f t="shared" si="32"/>
        <v>0.85</v>
      </c>
      <c r="AA101" s="121" t="str">
        <f t="shared" si="35"/>
        <v/>
      </c>
      <c r="AB101" s="121" t="str">
        <f t="shared" si="36"/>
        <v/>
      </c>
      <c r="AC101" s="107"/>
    </row>
    <row r="102" spans="1:29" ht="46.25" hidden="1" customHeight="1" outlineLevel="3">
      <c r="A102" s="863" t="s">
        <v>121</v>
      </c>
      <c r="B102" s="886" t="s">
        <v>394</v>
      </c>
      <c r="C102" s="333" t="s">
        <v>369</v>
      </c>
      <c r="D102" s="333" t="str">
        <f t="shared" ref="D102" si="47">_xlfn.XLOOKUP(AC102,$AD$51:$AD$72,$D$51:$D$72,"No target",0)</f>
        <v>No target type selected</v>
      </c>
      <c r="E102" s="866" cm="1">
        <f t="array" ref="E102">SUMPRODUCT(('LND Segmentation'!$M$75:$M$151=TRUE)*($AC102='LND Segmentation'!$AK$75:$AK$151)*('Climate-Alignment Target'!E$90='LND Segmentation'!$Q$74:$V$74)*('LND Segmentation'!$Q$75:$V$151))</f>
        <v>0</v>
      </c>
      <c r="F102" s="5"/>
      <c r="G102" s="5"/>
      <c r="H102" s="5"/>
      <c r="I102" s="5"/>
      <c r="J102" s="5"/>
      <c r="K102" s="557" t="str">
        <f t="shared" si="37"/>
        <v/>
      </c>
      <c r="L102" s="712" t="str">
        <f t="shared" ref="L102" si="48">IF(K102="","",IF(E102=(K102+K103),"OK",IF(D102="Sector target","OK - covered by sector target",IF(AND(E102=0,D102="No target type selected"),"OK","Review financial exposure"))))</f>
        <v/>
      </c>
      <c r="M102" s="562">
        <f t="shared" si="42"/>
        <v>0</v>
      </c>
      <c r="N102" s="915"/>
      <c r="O102" s="563"/>
      <c r="P102" s="562" t="str">
        <f t="shared" si="30"/>
        <v/>
      </c>
      <c r="Q102" s="560" t="str">
        <f t="shared" si="34"/>
        <v/>
      </c>
      <c r="R102" s="16"/>
      <c r="T102" s="124" t="s">
        <v>121</v>
      </c>
      <c r="U102" s="1"/>
      <c r="V102" s="1"/>
      <c r="W102" s="26"/>
      <c r="X102" s="113" t="s">
        <v>373</v>
      </c>
      <c r="Y102" s="113">
        <f t="shared" si="31"/>
        <v>2040</v>
      </c>
      <c r="Z102" s="113">
        <f t="shared" si="32"/>
        <v>0.95</v>
      </c>
      <c r="AA102" s="121" t="str">
        <f t="shared" si="35"/>
        <v/>
      </c>
      <c r="AB102" s="121" t="str">
        <f t="shared" si="36"/>
        <v/>
      </c>
      <c r="AC102" s="107" t="s">
        <v>182</v>
      </c>
    </row>
    <row r="103" spans="1:29" ht="46.25" hidden="1" customHeight="1" outlineLevel="3">
      <c r="A103" s="865"/>
      <c r="B103" s="886"/>
      <c r="C103" s="333" t="s">
        <v>372</v>
      </c>
      <c r="D103" s="333" t="str">
        <f t="shared" ref="D103" si="49">D102</f>
        <v>No target type selected</v>
      </c>
      <c r="E103" s="866"/>
      <c r="F103" s="5"/>
      <c r="G103" s="5"/>
      <c r="H103" s="5"/>
      <c r="I103" s="5"/>
      <c r="J103" s="5"/>
      <c r="K103" s="557" t="str">
        <f t="shared" si="37"/>
        <v/>
      </c>
      <c r="L103" s="713"/>
      <c r="M103" s="562">
        <f t="shared" si="42"/>
        <v>0</v>
      </c>
      <c r="N103" s="915"/>
      <c r="O103" s="563"/>
      <c r="P103" s="562" t="str">
        <f t="shared" si="30"/>
        <v/>
      </c>
      <c r="Q103" s="560" t="str">
        <f t="shared" si="34"/>
        <v/>
      </c>
      <c r="R103" s="16"/>
      <c r="T103" s="124" t="s">
        <v>121</v>
      </c>
      <c r="U103" s="1"/>
      <c r="V103" s="1"/>
      <c r="W103" s="26"/>
      <c r="X103" s="113" t="s">
        <v>374</v>
      </c>
      <c r="Y103" s="113">
        <f t="shared" si="31"/>
        <v>2040</v>
      </c>
      <c r="Z103" s="113">
        <f t="shared" si="32"/>
        <v>0.85</v>
      </c>
      <c r="AA103" s="121" t="str">
        <f t="shared" si="35"/>
        <v/>
      </c>
      <c r="AB103" s="121" t="str">
        <f t="shared" si="36"/>
        <v/>
      </c>
      <c r="AC103" s="107"/>
    </row>
    <row r="104" spans="1:29" ht="46.25" hidden="1" customHeight="1" outlineLevel="3">
      <c r="A104" s="863" t="s">
        <v>136</v>
      </c>
      <c r="B104" s="886" t="s">
        <v>394</v>
      </c>
      <c r="C104" s="333" t="s">
        <v>369</v>
      </c>
      <c r="D104" s="333" t="str">
        <f>_xlfn.XLOOKUP(AC104,$AD$51:$AD$72,$D$51:$D$72,"No target",0)</f>
        <v>No target type selected</v>
      </c>
      <c r="E104" s="866" cm="1">
        <f t="array" ref="E104">SUMPRODUCT(('LND Segmentation'!$M$75:$M$151=TRUE)*($AC104='LND Segmentation'!$AK$75:$AK$151)*('Climate-Alignment Target'!E$90='LND Segmentation'!$Q$74:$V$74)*('LND Segmentation'!$Q$75:$V$151))</f>
        <v>0</v>
      </c>
      <c r="F104" s="5"/>
      <c r="G104" s="5"/>
      <c r="H104" s="5"/>
      <c r="I104" s="5"/>
      <c r="J104" s="5"/>
      <c r="K104" s="557" t="str">
        <f t="shared" si="37"/>
        <v/>
      </c>
      <c r="L104" s="712" t="str">
        <f t="shared" ref="L104" si="50">IF(K104="","",IF(E104=(K104+K105),"OK",IF(D104="Sector target","OK - covered by sector target",IF(AND(E104=0,D104="No target type selected"),"OK","Review financial exposure"))))</f>
        <v/>
      </c>
      <c r="M104" s="562">
        <f t="shared" si="42"/>
        <v>0</v>
      </c>
      <c r="N104" s="915"/>
      <c r="O104" s="563"/>
      <c r="P104" s="562" t="str">
        <f t="shared" si="30"/>
        <v/>
      </c>
      <c r="Q104" s="560" t="str">
        <f t="shared" si="34"/>
        <v/>
      </c>
      <c r="R104" s="16"/>
      <c r="T104" s="124" t="s">
        <v>136</v>
      </c>
      <c r="U104" s="1"/>
      <c r="V104" s="1"/>
      <c r="W104" s="26"/>
      <c r="X104" s="113" t="s">
        <v>378</v>
      </c>
      <c r="Y104" s="113">
        <f t="shared" si="31"/>
        <v>2050</v>
      </c>
      <c r="Z104" s="113">
        <f t="shared" si="32"/>
        <v>0.95</v>
      </c>
      <c r="AA104" s="121" t="str">
        <f t="shared" si="35"/>
        <v/>
      </c>
      <c r="AB104" s="121" t="str">
        <f t="shared" si="36"/>
        <v/>
      </c>
      <c r="AC104" s="107" t="s">
        <v>218</v>
      </c>
    </row>
    <row r="105" spans="1:29" ht="46.25" hidden="1" customHeight="1" outlineLevel="3">
      <c r="A105" s="865"/>
      <c r="B105" s="886"/>
      <c r="C105" s="333" t="s">
        <v>372</v>
      </c>
      <c r="D105" s="333" t="str">
        <f>D104</f>
        <v>No target type selected</v>
      </c>
      <c r="E105" s="866"/>
      <c r="F105" s="5"/>
      <c r="G105" s="5"/>
      <c r="H105" s="5"/>
      <c r="I105" s="5"/>
      <c r="J105" s="5"/>
      <c r="K105" s="557" t="str">
        <f t="shared" si="37"/>
        <v/>
      </c>
      <c r="L105" s="713"/>
      <c r="M105" s="562">
        <f t="shared" si="42"/>
        <v>0</v>
      </c>
      <c r="N105" s="915"/>
      <c r="O105" s="563"/>
      <c r="P105" s="562" t="str">
        <f t="shared" si="30"/>
        <v/>
      </c>
      <c r="Q105" s="560" t="str">
        <f t="shared" si="34"/>
        <v/>
      </c>
      <c r="R105" s="16"/>
      <c r="T105" s="124" t="s">
        <v>136</v>
      </c>
      <c r="U105" s="1"/>
      <c r="V105" s="1"/>
      <c r="W105" s="26"/>
      <c r="X105" s="113" t="s">
        <v>379</v>
      </c>
      <c r="Y105" s="113">
        <f t="shared" si="31"/>
        <v>2050</v>
      </c>
      <c r="Z105" s="113">
        <f t="shared" si="32"/>
        <v>0.85</v>
      </c>
      <c r="AA105" s="121" t="str">
        <f t="shared" si="35"/>
        <v/>
      </c>
      <c r="AB105" s="121" t="str">
        <f t="shared" si="36"/>
        <v/>
      </c>
      <c r="AC105" s="107"/>
    </row>
    <row r="106" spans="1:29" ht="46.25" hidden="1" customHeight="1" outlineLevel="3">
      <c r="A106" s="863" t="s">
        <v>121</v>
      </c>
      <c r="B106" s="886" t="s">
        <v>395</v>
      </c>
      <c r="C106" s="333" t="s">
        <v>369</v>
      </c>
      <c r="D106" s="333" t="str">
        <f t="shared" ref="D106" si="51">_xlfn.XLOOKUP(AC106,$AD$51:$AD$72,$D$51:$D$72,"No target",0)</f>
        <v>No target type selected</v>
      </c>
      <c r="E106" s="866" cm="1">
        <f t="array" ref="E106">SUMPRODUCT(('LND Segmentation'!$M$75:$M$151=TRUE)*($AC106='LND Segmentation'!$AK$75:$AK$151)*('Climate-Alignment Target'!E$90='LND Segmentation'!$Q$74:$V$74)*('LND Segmentation'!$Q$75:$V$151))</f>
        <v>0</v>
      </c>
      <c r="F106" s="5"/>
      <c r="G106" s="5"/>
      <c r="H106" s="5"/>
      <c r="I106" s="5"/>
      <c r="J106" s="5"/>
      <c r="K106" s="557" t="str">
        <f t="shared" si="37"/>
        <v/>
      </c>
      <c r="L106" s="712" t="str">
        <f t="shared" ref="L106" si="52">IF(K106="","",IF(E106=(K106+K107),"OK",IF(D106="Sector target","OK - covered by sector target",IF(AND(E106=0,D106="No target type selected"),"OK","Review financial exposure"))))</f>
        <v/>
      </c>
      <c r="M106" s="562">
        <f t="shared" si="42"/>
        <v>0</v>
      </c>
      <c r="N106" s="915"/>
      <c r="O106" s="563"/>
      <c r="P106" s="562" t="str">
        <f t="shared" si="30"/>
        <v/>
      </c>
      <c r="Q106" s="560" t="str">
        <f t="shared" si="34"/>
        <v/>
      </c>
      <c r="R106" s="16"/>
      <c r="T106" s="124" t="s">
        <v>121</v>
      </c>
      <c r="U106" s="1"/>
      <c r="V106" s="1"/>
      <c r="W106" s="26"/>
      <c r="X106" s="113" t="s">
        <v>373</v>
      </c>
      <c r="Y106" s="113">
        <f t="shared" si="31"/>
        <v>2040</v>
      </c>
      <c r="Z106" s="113">
        <f t="shared" si="32"/>
        <v>0.95</v>
      </c>
      <c r="AA106" s="121" t="str">
        <f t="shared" si="35"/>
        <v/>
      </c>
      <c r="AB106" s="121" t="str">
        <f t="shared" si="36"/>
        <v/>
      </c>
      <c r="AC106" s="107" t="s">
        <v>187</v>
      </c>
    </row>
    <row r="107" spans="1:29" ht="46.25" hidden="1" customHeight="1" outlineLevel="3">
      <c r="A107" s="865"/>
      <c r="B107" s="886"/>
      <c r="C107" s="333" t="s">
        <v>372</v>
      </c>
      <c r="D107" s="333" t="str">
        <f t="shared" ref="D107" si="53">D106</f>
        <v>No target type selected</v>
      </c>
      <c r="E107" s="866"/>
      <c r="F107" s="5"/>
      <c r="G107" s="5"/>
      <c r="H107" s="5"/>
      <c r="I107" s="5"/>
      <c r="J107" s="5"/>
      <c r="K107" s="557" t="str">
        <f t="shared" si="37"/>
        <v/>
      </c>
      <c r="L107" s="713"/>
      <c r="M107" s="562">
        <f t="shared" si="42"/>
        <v>0</v>
      </c>
      <c r="N107" s="915"/>
      <c r="O107" s="563"/>
      <c r="P107" s="562" t="str">
        <f t="shared" si="30"/>
        <v/>
      </c>
      <c r="Q107" s="560" t="str">
        <f t="shared" si="34"/>
        <v/>
      </c>
      <c r="R107" s="16"/>
      <c r="T107" s="124" t="s">
        <v>121</v>
      </c>
      <c r="U107" s="1"/>
      <c r="V107" s="1"/>
      <c r="W107" s="26"/>
      <c r="X107" s="113" t="s">
        <v>374</v>
      </c>
      <c r="Y107" s="113">
        <f t="shared" si="31"/>
        <v>2040</v>
      </c>
      <c r="Z107" s="113">
        <f t="shared" si="32"/>
        <v>0.85</v>
      </c>
      <c r="AA107" s="121" t="str">
        <f t="shared" si="35"/>
        <v/>
      </c>
      <c r="AB107" s="121" t="str">
        <f t="shared" si="36"/>
        <v/>
      </c>
      <c r="AC107" s="107"/>
    </row>
    <row r="108" spans="1:29" ht="46.25" hidden="1" customHeight="1" outlineLevel="3">
      <c r="A108" s="863" t="s">
        <v>136</v>
      </c>
      <c r="B108" s="886" t="s">
        <v>395</v>
      </c>
      <c r="C108" s="333" t="s">
        <v>369</v>
      </c>
      <c r="D108" s="333" t="str">
        <f t="shared" ref="D108" si="54">_xlfn.XLOOKUP(AC108,$AD$51:$AD$72,$D$51:$D$72,"No target",0)</f>
        <v>No target type selected</v>
      </c>
      <c r="E108" s="866" cm="1">
        <f t="array" ref="E108">SUMPRODUCT(('LND Segmentation'!$M$75:$M$151=TRUE)*($AC108='LND Segmentation'!$AK$75:$AK$151)*('Climate-Alignment Target'!E$90='LND Segmentation'!$Q$74:$V$74)*('LND Segmentation'!$Q$75:$V$151))</f>
        <v>0</v>
      </c>
      <c r="F108" s="5"/>
      <c r="G108" s="5"/>
      <c r="H108" s="5"/>
      <c r="I108" s="5"/>
      <c r="J108" s="5"/>
      <c r="K108" s="557" t="str">
        <f t="shared" si="37"/>
        <v/>
      </c>
      <c r="L108" s="712" t="str">
        <f t="shared" ref="L108" si="55">IF(K108="","",IF(E108=(K108+K109),"OK",IF(D108="Sector target","OK - covered by sector target",IF(AND(E108=0,D108="No target type selected"),"OK","Review financial exposure"))))</f>
        <v/>
      </c>
      <c r="M108" s="562">
        <f t="shared" si="42"/>
        <v>0</v>
      </c>
      <c r="N108" s="915"/>
      <c r="O108" s="563"/>
      <c r="P108" s="562" t="str">
        <f t="shared" si="30"/>
        <v/>
      </c>
      <c r="Q108" s="560" t="str">
        <f t="shared" si="34"/>
        <v/>
      </c>
      <c r="R108" s="16"/>
      <c r="T108" s="124" t="s">
        <v>136</v>
      </c>
      <c r="U108" s="1"/>
      <c r="V108" s="1"/>
      <c r="W108" s="26"/>
      <c r="X108" s="113" t="s">
        <v>378</v>
      </c>
      <c r="Y108" s="113">
        <f t="shared" si="31"/>
        <v>2050</v>
      </c>
      <c r="Z108" s="113">
        <f t="shared" si="32"/>
        <v>0.95</v>
      </c>
      <c r="AA108" s="121" t="str">
        <f t="shared" si="35"/>
        <v/>
      </c>
      <c r="AB108" s="121" t="str">
        <f t="shared" si="36"/>
        <v/>
      </c>
      <c r="AC108" s="107" t="s">
        <v>220</v>
      </c>
    </row>
    <row r="109" spans="1:29" ht="46.25" hidden="1" customHeight="1" outlineLevel="3">
      <c r="A109" s="865"/>
      <c r="B109" s="886"/>
      <c r="C109" s="333" t="s">
        <v>372</v>
      </c>
      <c r="D109" s="333" t="str">
        <f t="shared" ref="D109" si="56">D108</f>
        <v>No target type selected</v>
      </c>
      <c r="E109" s="866"/>
      <c r="F109" s="5"/>
      <c r="G109" s="5"/>
      <c r="H109" s="5"/>
      <c r="I109" s="5"/>
      <c r="J109" s="5"/>
      <c r="K109" s="557" t="str">
        <f t="shared" si="37"/>
        <v/>
      </c>
      <c r="L109" s="713"/>
      <c r="M109" s="562">
        <f t="shared" si="42"/>
        <v>0</v>
      </c>
      <c r="N109" s="915"/>
      <c r="O109" s="563"/>
      <c r="P109" s="562" t="str">
        <f t="shared" si="30"/>
        <v/>
      </c>
      <c r="Q109" s="560" t="str">
        <f t="shared" si="34"/>
        <v/>
      </c>
      <c r="R109" s="16"/>
      <c r="T109" s="124" t="s">
        <v>136</v>
      </c>
      <c r="U109" s="1"/>
      <c r="V109" s="1"/>
      <c r="W109" s="26"/>
      <c r="X109" s="113" t="s">
        <v>379</v>
      </c>
      <c r="Y109" s="113">
        <f t="shared" si="31"/>
        <v>2050</v>
      </c>
      <c r="Z109" s="113">
        <f t="shared" si="32"/>
        <v>0.85</v>
      </c>
      <c r="AA109" s="121" t="str">
        <f t="shared" si="35"/>
        <v/>
      </c>
      <c r="AB109" s="121" t="str">
        <f t="shared" si="36"/>
        <v/>
      </c>
      <c r="AC109" s="107"/>
    </row>
    <row r="110" spans="1:29" ht="46.25" hidden="1" customHeight="1" outlineLevel="3">
      <c r="A110" s="863" t="s">
        <v>121</v>
      </c>
      <c r="B110" s="886" t="s">
        <v>396</v>
      </c>
      <c r="C110" s="333" t="s">
        <v>369</v>
      </c>
      <c r="D110" s="333" t="str">
        <f t="shared" ref="D110" si="57">_xlfn.XLOOKUP(AC110,$AD$51:$AD$72,$D$51:$D$72,"No target",0)</f>
        <v>No target type selected</v>
      </c>
      <c r="E110" s="866" cm="1">
        <f t="array" ref="E110">SUMPRODUCT(('LND Segmentation'!$M$75:$M$151=TRUE)*($AC110='LND Segmentation'!$AK$75:$AK$151)*('Climate-Alignment Target'!E$90='LND Segmentation'!$Q$74:$V$74)*('LND Segmentation'!$Q$75:$V$151))</f>
        <v>0</v>
      </c>
      <c r="F110" s="5"/>
      <c r="G110" s="5"/>
      <c r="H110" s="5"/>
      <c r="I110" s="5"/>
      <c r="J110" s="5"/>
      <c r="K110" s="557" t="str">
        <f t="shared" si="37"/>
        <v/>
      </c>
      <c r="L110" s="712" t="str">
        <f t="shared" ref="L110" si="58">IF(K110="","",IF(E110=(K110+K111),"OK",IF(D110="Sector target","OK - covered by sector target",IF(AND(E110=0,D110="No target type selected"),"OK","Review financial exposure"))))</f>
        <v/>
      </c>
      <c r="M110" s="562">
        <f t="shared" si="42"/>
        <v>0</v>
      </c>
      <c r="N110" s="915"/>
      <c r="O110" s="563"/>
      <c r="P110" s="562" t="str">
        <f t="shared" si="30"/>
        <v/>
      </c>
      <c r="Q110" s="560" t="str">
        <f t="shared" si="34"/>
        <v/>
      </c>
      <c r="R110" s="16"/>
      <c r="T110" s="124" t="s">
        <v>121</v>
      </c>
      <c r="U110" s="1"/>
      <c r="V110" s="1"/>
      <c r="W110" s="26"/>
      <c r="X110" s="113" t="s">
        <v>373</v>
      </c>
      <c r="Y110" s="113">
        <f t="shared" si="31"/>
        <v>2040</v>
      </c>
      <c r="Z110" s="113">
        <f t="shared" si="32"/>
        <v>0.95</v>
      </c>
      <c r="AA110" s="121" t="str">
        <f t="shared" si="35"/>
        <v/>
      </c>
      <c r="AB110" s="121" t="str">
        <f t="shared" si="36"/>
        <v/>
      </c>
      <c r="AC110" s="107" t="s">
        <v>193</v>
      </c>
    </row>
    <row r="111" spans="1:29" ht="46.25" hidden="1" customHeight="1" outlineLevel="3">
      <c r="A111" s="865"/>
      <c r="B111" s="886"/>
      <c r="C111" s="333" t="s">
        <v>372</v>
      </c>
      <c r="D111" s="333" t="str">
        <f t="shared" ref="D111" si="59">D110</f>
        <v>No target type selected</v>
      </c>
      <c r="E111" s="866"/>
      <c r="F111" s="5"/>
      <c r="G111" s="5"/>
      <c r="H111" s="5"/>
      <c r="I111" s="5"/>
      <c r="J111" s="5"/>
      <c r="K111" s="557" t="str">
        <f t="shared" si="37"/>
        <v/>
      </c>
      <c r="L111" s="713"/>
      <c r="M111" s="562">
        <f t="shared" si="42"/>
        <v>0</v>
      </c>
      <c r="N111" s="915"/>
      <c r="O111" s="563"/>
      <c r="P111" s="562" t="str">
        <f t="shared" si="30"/>
        <v/>
      </c>
      <c r="Q111" s="560" t="str">
        <f t="shared" si="34"/>
        <v/>
      </c>
      <c r="R111" s="16"/>
      <c r="T111" s="124" t="s">
        <v>121</v>
      </c>
      <c r="U111" s="1"/>
      <c r="V111" s="1"/>
      <c r="W111" s="26"/>
      <c r="X111" s="113" t="s">
        <v>374</v>
      </c>
      <c r="Y111" s="113">
        <f t="shared" si="31"/>
        <v>2040</v>
      </c>
      <c r="Z111" s="113">
        <f t="shared" si="32"/>
        <v>0.85</v>
      </c>
      <c r="AA111" s="121" t="str">
        <f t="shared" si="35"/>
        <v/>
      </c>
      <c r="AB111" s="121" t="str">
        <f t="shared" si="36"/>
        <v/>
      </c>
      <c r="AC111" s="107"/>
    </row>
    <row r="112" spans="1:29" ht="46.25" hidden="1" customHeight="1" outlineLevel="3">
      <c r="A112" s="863" t="s">
        <v>136</v>
      </c>
      <c r="B112" s="886" t="s">
        <v>396</v>
      </c>
      <c r="C112" s="333" t="s">
        <v>369</v>
      </c>
      <c r="D112" s="333" t="str">
        <f t="shared" ref="D112" si="60">_xlfn.XLOOKUP(AC112,$AD$51:$AD$72,$D$51:$D$72,"No target",0)</f>
        <v>No target type selected</v>
      </c>
      <c r="E112" s="866" cm="1">
        <f t="array" ref="E112">SUMPRODUCT(('LND Segmentation'!$M$75:$M$151=TRUE)*($AC112='LND Segmentation'!$AK$75:$AK$151)*('Climate-Alignment Target'!E$90='LND Segmentation'!$Q$74:$V$74)*('LND Segmentation'!$Q$75:$V$151))</f>
        <v>0</v>
      </c>
      <c r="F112" s="5"/>
      <c r="G112" s="5"/>
      <c r="H112" s="5"/>
      <c r="I112" s="5"/>
      <c r="J112" s="5"/>
      <c r="K112" s="557" t="str">
        <f t="shared" si="37"/>
        <v/>
      </c>
      <c r="L112" s="712" t="str">
        <f t="shared" ref="L112" si="61">IF(K112="","",IF(E112=(K112+K113),"OK",IF(D112="Sector target","OK - covered by sector target",IF(AND(E112=0,D112="No target type selected"),"OK","Review financial exposure"))))</f>
        <v/>
      </c>
      <c r="M112" s="562">
        <f t="shared" si="42"/>
        <v>0</v>
      </c>
      <c r="N112" s="915"/>
      <c r="O112" s="563"/>
      <c r="P112" s="562" t="str">
        <f t="shared" si="30"/>
        <v/>
      </c>
      <c r="Q112" s="560" t="str">
        <f t="shared" si="34"/>
        <v/>
      </c>
      <c r="R112" s="16"/>
      <c r="T112" s="124" t="s">
        <v>136</v>
      </c>
      <c r="U112" s="1"/>
      <c r="V112" s="1"/>
      <c r="W112" s="26"/>
      <c r="X112" s="113" t="s">
        <v>378</v>
      </c>
      <c r="Y112" s="113">
        <f t="shared" si="31"/>
        <v>2050</v>
      </c>
      <c r="Z112" s="113">
        <f t="shared" si="32"/>
        <v>0.95</v>
      </c>
      <c r="AA112" s="121" t="str">
        <f t="shared" si="35"/>
        <v/>
      </c>
      <c r="AB112" s="121" t="str">
        <f t="shared" si="36"/>
        <v/>
      </c>
      <c r="AC112" s="107" t="s">
        <v>221</v>
      </c>
    </row>
    <row r="113" spans="1:29" ht="46.25" hidden="1" customHeight="1" outlineLevel="3">
      <c r="A113" s="865"/>
      <c r="B113" s="886"/>
      <c r="C113" s="333" t="s">
        <v>372</v>
      </c>
      <c r="D113" s="333" t="str">
        <f t="shared" ref="D113" si="62">D112</f>
        <v>No target type selected</v>
      </c>
      <c r="E113" s="866"/>
      <c r="F113" s="5"/>
      <c r="G113" s="5"/>
      <c r="H113" s="5"/>
      <c r="I113" s="5"/>
      <c r="J113" s="5"/>
      <c r="K113" s="557" t="str">
        <f t="shared" si="37"/>
        <v/>
      </c>
      <c r="L113" s="713"/>
      <c r="M113" s="562">
        <f t="shared" si="42"/>
        <v>0</v>
      </c>
      <c r="N113" s="915"/>
      <c r="O113" s="563"/>
      <c r="P113" s="562" t="str">
        <f t="shared" si="30"/>
        <v/>
      </c>
      <c r="Q113" s="560" t="str">
        <f t="shared" si="34"/>
        <v/>
      </c>
      <c r="R113" s="16"/>
      <c r="T113" s="124" t="s">
        <v>136</v>
      </c>
      <c r="U113" s="1"/>
      <c r="V113" s="1"/>
      <c r="W113" s="26"/>
      <c r="X113" s="113" t="s">
        <v>379</v>
      </c>
      <c r="Y113" s="113">
        <f t="shared" si="31"/>
        <v>2050</v>
      </c>
      <c r="Z113" s="113">
        <f t="shared" si="32"/>
        <v>0.85</v>
      </c>
      <c r="AA113" s="121" t="str">
        <f t="shared" si="35"/>
        <v/>
      </c>
      <c r="AB113" s="121" t="str">
        <f t="shared" si="36"/>
        <v/>
      </c>
      <c r="AC113" s="107"/>
    </row>
    <row r="114" spans="1:29" ht="46.25" hidden="1" customHeight="1" outlineLevel="3">
      <c r="A114" s="863" t="s">
        <v>121</v>
      </c>
      <c r="B114" s="886" t="s">
        <v>397</v>
      </c>
      <c r="C114" s="333" t="s">
        <v>369</v>
      </c>
      <c r="D114" s="333" t="str">
        <f t="shared" ref="D114" si="63">_xlfn.XLOOKUP(AC114,$AD$51:$AD$72,$D$51:$D$72,"No target",0)</f>
        <v>No target type selected</v>
      </c>
      <c r="E114" s="866" cm="1">
        <f t="array" ref="E114">SUMPRODUCT(('LND Segmentation'!$M$75:$M$151=TRUE)*($AC114='LND Segmentation'!$AK$75:$AK$151)*('Climate-Alignment Target'!E$90='LND Segmentation'!$Q$74:$V$74)*('LND Segmentation'!$Q$75:$V$151))</f>
        <v>0</v>
      </c>
      <c r="F114" s="5"/>
      <c r="G114" s="5"/>
      <c r="H114" s="5"/>
      <c r="I114" s="5"/>
      <c r="J114" s="5"/>
      <c r="K114" s="557" t="str">
        <f t="shared" si="37"/>
        <v/>
      </c>
      <c r="L114" s="712" t="str">
        <f t="shared" ref="L114" si="64">IF(K114="","",IF(E114=(K114+K115),"OK",IF(D114="Sector target","OK - covered by sector target",IF(AND(E114=0,D114="No target type selected"),"OK","Review financial exposure"))))</f>
        <v/>
      </c>
      <c r="M114" s="562">
        <f t="shared" si="42"/>
        <v>0</v>
      </c>
      <c r="N114" s="915"/>
      <c r="O114" s="563"/>
      <c r="P114" s="562" t="str">
        <f t="shared" si="30"/>
        <v/>
      </c>
      <c r="Q114" s="560" t="str">
        <f t="shared" si="34"/>
        <v/>
      </c>
      <c r="R114" s="16"/>
      <c r="T114" s="124" t="s">
        <v>121</v>
      </c>
      <c r="U114" s="1"/>
      <c r="V114" s="1"/>
      <c r="W114" s="26"/>
      <c r="X114" s="113" t="s">
        <v>373</v>
      </c>
      <c r="Y114" s="113">
        <f t="shared" si="31"/>
        <v>2040</v>
      </c>
      <c r="Z114" s="113">
        <f t="shared" si="32"/>
        <v>0.95</v>
      </c>
      <c r="AA114" s="121" t="str">
        <f t="shared" si="35"/>
        <v/>
      </c>
      <c r="AB114" s="121" t="str">
        <f t="shared" si="36"/>
        <v/>
      </c>
      <c r="AC114" s="107" t="s">
        <v>197</v>
      </c>
    </row>
    <row r="115" spans="1:29" ht="46.25" hidden="1" customHeight="1" outlineLevel="3">
      <c r="A115" s="865"/>
      <c r="B115" s="886"/>
      <c r="C115" s="333" t="s">
        <v>372</v>
      </c>
      <c r="D115" s="333" t="str">
        <f t="shared" ref="D115" si="65">D114</f>
        <v>No target type selected</v>
      </c>
      <c r="E115" s="866"/>
      <c r="F115" s="5"/>
      <c r="G115" s="5"/>
      <c r="H115" s="5"/>
      <c r="I115" s="5"/>
      <c r="J115" s="5"/>
      <c r="K115" s="557" t="str">
        <f t="shared" si="37"/>
        <v/>
      </c>
      <c r="L115" s="713"/>
      <c r="M115" s="562">
        <f t="shared" si="42"/>
        <v>0</v>
      </c>
      <c r="N115" s="915"/>
      <c r="O115" s="563"/>
      <c r="P115" s="562" t="str">
        <f t="shared" si="30"/>
        <v/>
      </c>
      <c r="Q115" s="560" t="str">
        <f t="shared" si="34"/>
        <v/>
      </c>
      <c r="R115" s="16"/>
      <c r="T115" s="124" t="s">
        <v>121</v>
      </c>
      <c r="U115" s="1"/>
      <c r="V115" s="1"/>
      <c r="W115" s="26"/>
      <c r="X115" s="113" t="s">
        <v>374</v>
      </c>
      <c r="Y115" s="113">
        <f t="shared" si="31"/>
        <v>2040</v>
      </c>
      <c r="Z115" s="113">
        <f t="shared" si="32"/>
        <v>0.85</v>
      </c>
      <c r="AA115" s="121" t="str">
        <f t="shared" si="35"/>
        <v/>
      </c>
      <c r="AB115" s="121" t="str">
        <f t="shared" si="36"/>
        <v/>
      </c>
      <c r="AC115" s="107"/>
    </row>
    <row r="116" spans="1:29" ht="46.25" hidden="1" customHeight="1" outlineLevel="3">
      <c r="A116" s="863" t="s">
        <v>136</v>
      </c>
      <c r="B116" s="886" t="s">
        <v>397</v>
      </c>
      <c r="C116" s="333" t="s">
        <v>369</v>
      </c>
      <c r="D116" s="333" t="str">
        <f t="shared" ref="D116" si="66">_xlfn.XLOOKUP(AC116,$AD$51:$AD$72,$D$51:$D$72,"No target",0)</f>
        <v>No target type selected</v>
      </c>
      <c r="E116" s="866" cm="1">
        <f t="array" ref="E116">SUMPRODUCT(('LND Segmentation'!$M$75:$M$151=TRUE)*($AC116='LND Segmentation'!$AK$75:$AK$151)*('Climate-Alignment Target'!E$90='LND Segmentation'!$Q$74:$V$74)*('LND Segmentation'!$Q$75:$V$151))</f>
        <v>0</v>
      </c>
      <c r="F116" s="5"/>
      <c r="G116" s="5"/>
      <c r="H116" s="5"/>
      <c r="I116" s="5"/>
      <c r="J116" s="5"/>
      <c r="K116" s="557" t="str">
        <f t="shared" si="37"/>
        <v/>
      </c>
      <c r="L116" s="712" t="str">
        <f t="shared" ref="L116" si="67">IF(K116="","",IF(E116=(K116+K117),"OK",IF(D116="Sector target","OK - covered by sector target",IF(AND(E116=0,D116="No target type selected"),"OK","Review financial exposure"))))</f>
        <v/>
      </c>
      <c r="M116" s="562">
        <f t="shared" si="42"/>
        <v>0</v>
      </c>
      <c r="N116" s="915"/>
      <c r="O116" s="563"/>
      <c r="P116" s="562" t="str">
        <f t="shared" si="30"/>
        <v/>
      </c>
      <c r="Q116" s="560" t="str">
        <f t="shared" si="34"/>
        <v/>
      </c>
      <c r="R116" s="16"/>
      <c r="T116" s="124" t="s">
        <v>136</v>
      </c>
      <c r="U116" s="1"/>
      <c r="V116" s="1"/>
      <c r="W116" s="26"/>
      <c r="X116" s="113" t="s">
        <v>378</v>
      </c>
      <c r="Y116" s="113">
        <f t="shared" si="31"/>
        <v>2050</v>
      </c>
      <c r="Z116" s="113">
        <f t="shared" si="32"/>
        <v>0.95</v>
      </c>
      <c r="AA116" s="121" t="str">
        <f t="shared" si="35"/>
        <v/>
      </c>
      <c r="AB116" s="121" t="str">
        <f t="shared" si="36"/>
        <v/>
      </c>
      <c r="AC116" s="107" t="s">
        <v>222</v>
      </c>
    </row>
    <row r="117" spans="1:29" ht="46.25" hidden="1" customHeight="1" outlineLevel="3">
      <c r="A117" s="865"/>
      <c r="B117" s="886"/>
      <c r="C117" s="333" t="s">
        <v>372</v>
      </c>
      <c r="D117" s="333" t="str">
        <f t="shared" ref="D117" si="68">D116</f>
        <v>No target type selected</v>
      </c>
      <c r="E117" s="866"/>
      <c r="F117" s="5"/>
      <c r="G117" s="5"/>
      <c r="H117" s="5"/>
      <c r="I117" s="5"/>
      <c r="J117" s="5"/>
      <c r="K117" s="557" t="str">
        <f t="shared" si="37"/>
        <v/>
      </c>
      <c r="L117" s="713"/>
      <c r="M117" s="562">
        <f t="shared" si="42"/>
        <v>0</v>
      </c>
      <c r="N117" s="915"/>
      <c r="O117" s="563"/>
      <c r="P117" s="562" t="str">
        <f t="shared" si="30"/>
        <v/>
      </c>
      <c r="Q117" s="560" t="str">
        <f t="shared" si="34"/>
        <v/>
      </c>
      <c r="R117" s="16"/>
      <c r="T117" s="124" t="s">
        <v>136</v>
      </c>
      <c r="U117" s="1"/>
      <c r="V117" s="1"/>
      <c r="W117" s="26"/>
      <c r="X117" s="113" t="s">
        <v>379</v>
      </c>
      <c r="Y117" s="113">
        <f t="shared" si="31"/>
        <v>2050</v>
      </c>
      <c r="Z117" s="113">
        <f t="shared" si="32"/>
        <v>0.85</v>
      </c>
      <c r="AA117" s="121" t="str">
        <f t="shared" si="35"/>
        <v/>
      </c>
      <c r="AB117" s="121" t="str">
        <f t="shared" si="36"/>
        <v/>
      </c>
      <c r="AC117" s="107"/>
    </row>
    <row r="118" spans="1:29" ht="46.25" hidden="1" customHeight="1" outlineLevel="3">
      <c r="A118" s="863" t="s">
        <v>121</v>
      </c>
      <c r="B118" s="886" t="s">
        <v>398</v>
      </c>
      <c r="C118" s="333" t="s">
        <v>369</v>
      </c>
      <c r="D118" s="333" t="str">
        <f t="shared" ref="D118" si="69">_xlfn.XLOOKUP(AC118,$AD$51:$AD$72,$D$51:$D$72,"No target",0)</f>
        <v>No target type selected</v>
      </c>
      <c r="E118" s="866" cm="1">
        <f t="array" ref="E118">SUMPRODUCT(('LND Segmentation'!$M$75:$M$151=TRUE)*($AC118='LND Segmentation'!$AK$75:$AK$151)*('Climate-Alignment Target'!E$90='LND Segmentation'!$Q$74:$V$74)*('LND Segmentation'!$Q$75:$V$151))</f>
        <v>0</v>
      </c>
      <c r="F118" s="5"/>
      <c r="G118" s="5"/>
      <c r="H118" s="5"/>
      <c r="I118" s="5"/>
      <c r="J118" s="5"/>
      <c r="K118" s="557" t="str">
        <f t="shared" si="37"/>
        <v/>
      </c>
      <c r="L118" s="712" t="str">
        <f t="shared" ref="L118" si="70">IF(K118="","",IF(E118=(K118+K119),"OK",IF(D118="Sector target","OK - covered by sector target",IF(AND(E118=0,D118="No target type selected"),"OK","Review financial exposure"))))</f>
        <v/>
      </c>
      <c r="M118" s="562">
        <f t="shared" si="42"/>
        <v>0</v>
      </c>
      <c r="N118" s="915"/>
      <c r="O118" s="563"/>
      <c r="P118" s="562" t="str">
        <f t="shared" si="30"/>
        <v/>
      </c>
      <c r="Q118" s="560" t="str">
        <f t="shared" si="34"/>
        <v/>
      </c>
      <c r="R118" s="16"/>
      <c r="T118" s="124" t="s">
        <v>121</v>
      </c>
      <c r="U118" s="1"/>
      <c r="V118" s="1"/>
      <c r="W118" s="26"/>
      <c r="X118" s="113" t="s">
        <v>373</v>
      </c>
      <c r="Y118" s="113">
        <f t="shared" si="31"/>
        <v>2040</v>
      </c>
      <c r="Z118" s="113">
        <f t="shared" si="32"/>
        <v>0.95</v>
      </c>
      <c r="AA118" s="121" t="str">
        <f t="shared" si="35"/>
        <v/>
      </c>
      <c r="AB118" s="121" t="str">
        <f t="shared" si="36"/>
        <v/>
      </c>
      <c r="AC118" s="107" t="s">
        <v>202</v>
      </c>
    </row>
    <row r="119" spans="1:29" ht="46.25" hidden="1" customHeight="1" outlineLevel="3">
      <c r="A119" s="865"/>
      <c r="B119" s="886"/>
      <c r="C119" s="333" t="s">
        <v>372</v>
      </c>
      <c r="D119" s="333" t="str">
        <f t="shared" ref="D119" si="71">D118</f>
        <v>No target type selected</v>
      </c>
      <c r="E119" s="866"/>
      <c r="F119" s="5"/>
      <c r="G119" s="5"/>
      <c r="H119" s="5"/>
      <c r="I119" s="5"/>
      <c r="J119" s="5"/>
      <c r="K119" s="557" t="str">
        <f t="shared" si="37"/>
        <v/>
      </c>
      <c r="L119" s="713"/>
      <c r="M119" s="562">
        <f t="shared" si="42"/>
        <v>0</v>
      </c>
      <c r="N119" s="915"/>
      <c r="O119" s="563"/>
      <c r="P119" s="562" t="str">
        <f t="shared" si="30"/>
        <v/>
      </c>
      <c r="Q119" s="560" t="str">
        <f t="shared" si="34"/>
        <v/>
      </c>
      <c r="R119" s="16"/>
      <c r="T119" s="124" t="s">
        <v>121</v>
      </c>
      <c r="U119" s="1"/>
      <c r="V119" s="1"/>
      <c r="W119" s="26"/>
      <c r="X119" s="113" t="s">
        <v>374</v>
      </c>
      <c r="Y119" s="113">
        <f t="shared" si="31"/>
        <v>2040</v>
      </c>
      <c r="Z119" s="113">
        <f t="shared" si="32"/>
        <v>0.85</v>
      </c>
      <c r="AA119" s="121" t="str">
        <f t="shared" si="35"/>
        <v/>
      </c>
      <c r="AB119" s="121" t="str">
        <f t="shared" si="36"/>
        <v/>
      </c>
      <c r="AC119" s="107"/>
    </row>
    <row r="120" spans="1:29" ht="46.25" hidden="1" customHeight="1" outlineLevel="3">
      <c r="A120" s="863" t="s">
        <v>136</v>
      </c>
      <c r="B120" s="886" t="s">
        <v>398</v>
      </c>
      <c r="C120" s="333" t="s">
        <v>369</v>
      </c>
      <c r="D120" s="333" t="str">
        <f t="shared" ref="D120" si="72">_xlfn.XLOOKUP(AC120,$AD$51:$AD$72,$D$51:$D$72,"No target",0)</f>
        <v>No target type selected</v>
      </c>
      <c r="E120" s="866" cm="1">
        <f t="array" ref="E120">SUMPRODUCT(('LND Segmentation'!$M$75:$M$151=TRUE)*($AC120='LND Segmentation'!$AK$75:$AK$151)*('Climate-Alignment Target'!E$90='LND Segmentation'!$Q$74:$V$74)*('LND Segmentation'!$Q$75:$V$151))</f>
        <v>0</v>
      </c>
      <c r="F120" s="5"/>
      <c r="G120" s="5"/>
      <c r="H120" s="5"/>
      <c r="I120" s="5"/>
      <c r="J120" s="5"/>
      <c r="K120" s="557" t="str">
        <f t="shared" si="37"/>
        <v/>
      </c>
      <c r="L120" s="712" t="str">
        <f t="shared" ref="L120" si="73">IF(K120="","",IF(E120=(K120+K121),"OK",IF(D120="Sector target","OK - covered by sector target",IF(AND(E120=0,D120="No target type selected"),"OK","Review financial exposure"))))</f>
        <v/>
      </c>
      <c r="M120" s="562">
        <f t="shared" si="42"/>
        <v>0</v>
      </c>
      <c r="N120" s="915"/>
      <c r="O120" s="563"/>
      <c r="P120" s="562" t="str">
        <f t="shared" si="30"/>
        <v/>
      </c>
      <c r="Q120" s="560" t="str">
        <f t="shared" si="34"/>
        <v/>
      </c>
      <c r="R120" s="16"/>
      <c r="T120" s="124" t="s">
        <v>136</v>
      </c>
      <c r="U120" s="1"/>
      <c r="V120" s="1"/>
      <c r="W120" s="26"/>
      <c r="X120" s="113" t="s">
        <v>378</v>
      </c>
      <c r="Y120" s="113">
        <f t="shared" si="31"/>
        <v>2050</v>
      </c>
      <c r="Z120" s="113">
        <f t="shared" si="32"/>
        <v>0.95</v>
      </c>
      <c r="AA120" s="121" t="str">
        <f t="shared" si="35"/>
        <v/>
      </c>
      <c r="AB120" s="121" t="str">
        <f t="shared" si="36"/>
        <v/>
      </c>
      <c r="AC120" s="107" t="s">
        <v>223</v>
      </c>
    </row>
    <row r="121" spans="1:29" ht="46.25" hidden="1" customHeight="1" outlineLevel="3">
      <c r="A121" s="865"/>
      <c r="B121" s="886"/>
      <c r="C121" s="333" t="s">
        <v>372</v>
      </c>
      <c r="D121" s="333" t="str">
        <f t="shared" ref="D121" si="74">D120</f>
        <v>No target type selected</v>
      </c>
      <c r="E121" s="866"/>
      <c r="F121" s="5"/>
      <c r="G121" s="5"/>
      <c r="H121" s="5"/>
      <c r="I121" s="5"/>
      <c r="J121" s="5"/>
      <c r="K121" s="557" t="str">
        <f t="shared" si="37"/>
        <v/>
      </c>
      <c r="L121" s="713"/>
      <c r="M121" s="562">
        <f t="shared" si="42"/>
        <v>0</v>
      </c>
      <c r="N121" s="915"/>
      <c r="O121" s="563"/>
      <c r="P121" s="562" t="str">
        <f t="shared" si="30"/>
        <v/>
      </c>
      <c r="Q121" s="560" t="str">
        <f t="shared" si="34"/>
        <v/>
      </c>
      <c r="R121" s="16"/>
      <c r="T121" s="124" t="s">
        <v>136</v>
      </c>
      <c r="U121" s="1"/>
      <c r="V121" s="1"/>
      <c r="W121" s="26"/>
      <c r="X121" s="113" t="s">
        <v>379</v>
      </c>
      <c r="Y121" s="113">
        <f t="shared" si="31"/>
        <v>2050</v>
      </c>
      <c r="Z121" s="113">
        <f t="shared" si="32"/>
        <v>0.85</v>
      </c>
      <c r="AA121" s="121" t="str">
        <f t="shared" si="35"/>
        <v/>
      </c>
      <c r="AB121" s="121" t="str">
        <f t="shared" si="36"/>
        <v/>
      </c>
      <c r="AC121" s="107"/>
    </row>
    <row r="122" spans="1:29" ht="46.25" hidden="1" customHeight="1" outlineLevel="3">
      <c r="A122" s="863" t="s">
        <v>121</v>
      </c>
      <c r="B122" s="886" t="s">
        <v>399</v>
      </c>
      <c r="C122" s="333" t="s">
        <v>369</v>
      </c>
      <c r="D122" s="333" t="str">
        <f t="shared" ref="D122" si="75">_xlfn.XLOOKUP(AC122,$AD$51:$AD$72,$D$51:$D$72,"No target",0)</f>
        <v>No target type selected</v>
      </c>
      <c r="E122" s="866" cm="1">
        <f t="array" ref="E122">SUMPRODUCT(('LND Segmentation'!$M$75:$M$151=TRUE)*($AC122='LND Segmentation'!$AK$75:$AK$151)*('Climate-Alignment Target'!E$90='LND Segmentation'!$Q$74:$V$74)*('LND Segmentation'!$Q$75:$V$151))</f>
        <v>0</v>
      </c>
      <c r="F122" s="5"/>
      <c r="G122" s="5"/>
      <c r="H122" s="5"/>
      <c r="I122" s="5"/>
      <c r="J122" s="5"/>
      <c r="K122" s="557" t="str">
        <f t="shared" si="37"/>
        <v/>
      </c>
      <c r="L122" s="712" t="str">
        <f t="shared" ref="L122" si="76">IF(K122="","",IF(E122=(K122+K123),"OK",IF(D122="Sector target","OK - covered by sector target",IF(AND(E122=0,D122="No target type selected"),"OK","Review financial exposure"))))</f>
        <v/>
      </c>
      <c r="M122" s="562">
        <f t="shared" si="42"/>
        <v>0</v>
      </c>
      <c r="N122" s="915"/>
      <c r="O122" s="563"/>
      <c r="P122" s="562" t="str">
        <f t="shared" si="30"/>
        <v/>
      </c>
      <c r="Q122" s="560" t="str">
        <f t="shared" si="34"/>
        <v/>
      </c>
      <c r="R122" s="16"/>
      <c r="T122" s="124" t="s">
        <v>121</v>
      </c>
      <c r="U122" s="1"/>
      <c r="V122" s="1"/>
      <c r="W122" s="26"/>
      <c r="X122" s="113" t="s">
        <v>373</v>
      </c>
      <c r="Y122" s="113">
        <f t="shared" si="31"/>
        <v>2040</v>
      </c>
      <c r="Z122" s="113">
        <f t="shared" si="32"/>
        <v>0.95</v>
      </c>
      <c r="AA122" s="121" t="str">
        <f t="shared" si="35"/>
        <v/>
      </c>
      <c r="AB122" s="121" t="str">
        <f t="shared" si="36"/>
        <v/>
      </c>
      <c r="AC122" s="107" t="s">
        <v>207</v>
      </c>
    </row>
    <row r="123" spans="1:29" ht="46.25" hidden="1" customHeight="1" outlineLevel="3">
      <c r="A123" s="865"/>
      <c r="B123" s="886"/>
      <c r="C123" s="333" t="s">
        <v>372</v>
      </c>
      <c r="D123" s="333" t="str">
        <f t="shared" ref="D123" si="77">D122</f>
        <v>No target type selected</v>
      </c>
      <c r="E123" s="866"/>
      <c r="F123" s="5"/>
      <c r="G123" s="5"/>
      <c r="H123" s="5"/>
      <c r="I123" s="5"/>
      <c r="J123" s="5"/>
      <c r="K123" s="557" t="str">
        <f t="shared" si="37"/>
        <v/>
      </c>
      <c r="L123" s="713"/>
      <c r="M123" s="562">
        <f t="shared" si="42"/>
        <v>0</v>
      </c>
      <c r="N123" s="915"/>
      <c r="O123" s="563"/>
      <c r="P123" s="562" t="str">
        <f t="shared" si="30"/>
        <v/>
      </c>
      <c r="Q123" s="560" t="str">
        <f t="shared" si="34"/>
        <v/>
      </c>
      <c r="R123" s="16"/>
      <c r="T123" s="124" t="s">
        <v>121</v>
      </c>
      <c r="U123" s="1"/>
      <c r="V123" s="1"/>
      <c r="W123" s="26"/>
      <c r="X123" s="113" t="s">
        <v>374</v>
      </c>
      <c r="Y123" s="113">
        <f t="shared" si="31"/>
        <v>2040</v>
      </c>
      <c r="Z123" s="113">
        <f t="shared" si="32"/>
        <v>0.85</v>
      </c>
      <c r="AA123" s="121" t="str">
        <f t="shared" si="35"/>
        <v/>
      </c>
      <c r="AB123" s="121" t="str">
        <f t="shared" si="36"/>
        <v/>
      </c>
      <c r="AC123" s="107"/>
    </row>
    <row r="124" spans="1:29" ht="46.25" hidden="1" customHeight="1" outlineLevel="3">
      <c r="A124" s="863" t="s">
        <v>136</v>
      </c>
      <c r="B124" s="886" t="s">
        <v>399</v>
      </c>
      <c r="C124" s="333" t="s">
        <v>369</v>
      </c>
      <c r="D124" s="333" t="str">
        <f t="shared" ref="D124" si="78">_xlfn.XLOOKUP(AC124,$AD$51:$AD$72,$D$51:$D$72,"No target",0)</f>
        <v>No target type selected</v>
      </c>
      <c r="E124" s="866" cm="1">
        <f t="array" ref="E124">SUMPRODUCT(('LND Segmentation'!$M$75:$M$151=TRUE)*($AC124='LND Segmentation'!$AK$75:$AK$151)*('Climate-Alignment Target'!E$90='LND Segmentation'!$Q$74:$V$74)*('LND Segmentation'!$Q$75:$V$151))</f>
        <v>0</v>
      </c>
      <c r="F124" s="5"/>
      <c r="G124" s="5"/>
      <c r="H124" s="5"/>
      <c r="I124" s="5"/>
      <c r="J124" s="5"/>
      <c r="K124" s="557" t="str">
        <f t="shared" si="37"/>
        <v/>
      </c>
      <c r="L124" s="712" t="str">
        <f t="shared" ref="L124" si="79">IF(K124="","",IF(E124=(K124+K125),"OK",IF(D124="Sector target","OK - covered by sector target",IF(AND(E124=0,D124="No target type selected"),"OK","Review financial exposure"))))</f>
        <v/>
      </c>
      <c r="M124" s="562">
        <f t="shared" si="42"/>
        <v>0</v>
      </c>
      <c r="N124" s="915"/>
      <c r="O124" s="563"/>
      <c r="P124" s="562" t="str">
        <f t="shared" si="30"/>
        <v/>
      </c>
      <c r="Q124" s="560" t="str">
        <f t="shared" si="34"/>
        <v/>
      </c>
      <c r="R124" s="16"/>
      <c r="T124" s="124" t="s">
        <v>136</v>
      </c>
      <c r="U124" s="1"/>
      <c r="V124" s="1"/>
      <c r="W124" s="26"/>
      <c r="X124" s="113" t="s">
        <v>378</v>
      </c>
      <c r="Y124" s="113">
        <f t="shared" si="31"/>
        <v>2050</v>
      </c>
      <c r="Z124" s="113">
        <f t="shared" si="32"/>
        <v>0.95</v>
      </c>
      <c r="AA124" s="121" t="str">
        <f t="shared" si="35"/>
        <v/>
      </c>
      <c r="AB124" s="121" t="str">
        <f t="shared" si="36"/>
        <v/>
      </c>
      <c r="AC124" s="107" t="s">
        <v>224</v>
      </c>
    </row>
    <row r="125" spans="1:29" ht="46.25" hidden="1" customHeight="1" outlineLevel="3">
      <c r="A125" s="865"/>
      <c r="B125" s="886"/>
      <c r="C125" s="333" t="s">
        <v>372</v>
      </c>
      <c r="D125" s="333" t="str">
        <f t="shared" ref="D125" si="80">D124</f>
        <v>No target type selected</v>
      </c>
      <c r="E125" s="866"/>
      <c r="F125" s="5"/>
      <c r="G125" s="5"/>
      <c r="H125" s="5"/>
      <c r="I125" s="5"/>
      <c r="J125" s="5"/>
      <c r="K125" s="557" t="str">
        <f t="shared" si="37"/>
        <v/>
      </c>
      <c r="L125" s="713"/>
      <c r="M125" s="562">
        <f t="shared" si="42"/>
        <v>0</v>
      </c>
      <c r="N125" s="915"/>
      <c r="O125" s="563"/>
      <c r="P125" s="562" t="str">
        <f t="shared" si="30"/>
        <v/>
      </c>
      <c r="Q125" s="560" t="str">
        <f t="shared" si="34"/>
        <v/>
      </c>
      <c r="R125" s="16"/>
      <c r="T125" s="124" t="s">
        <v>136</v>
      </c>
      <c r="U125" s="1"/>
      <c r="V125" s="1"/>
      <c r="W125" s="26"/>
      <c r="X125" s="113" t="s">
        <v>379</v>
      </c>
      <c r="Y125" s="113">
        <f t="shared" si="31"/>
        <v>2050</v>
      </c>
      <c r="Z125" s="113">
        <f t="shared" si="32"/>
        <v>0.85</v>
      </c>
      <c r="AA125" s="121" t="str">
        <f t="shared" si="35"/>
        <v/>
      </c>
      <c r="AB125" s="121" t="str">
        <f t="shared" si="36"/>
        <v/>
      </c>
      <c r="AC125" s="107"/>
    </row>
    <row r="126" spans="1:29" ht="46.25" hidden="1" customHeight="1" outlineLevel="3">
      <c r="A126" s="863" t="s">
        <v>121</v>
      </c>
      <c r="B126" s="886" t="s">
        <v>400</v>
      </c>
      <c r="C126" s="333" t="s">
        <v>369</v>
      </c>
      <c r="D126" s="333" t="str">
        <f t="shared" ref="D126" si="81">_xlfn.XLOOKUP(AC126,$AD$51:$AD$72,$D$51:$D$72,"No target",0)</f>
        <v>No target type selected</v>
      </c>
      <c r="E126" s="866" cm="1">
        <f t="array" ref="E126">SUMPRODUCT(('LND Segmentation'!$M$75:$M$151=TRUE)*($AC126='LND Segmentation'!$AK$75:$AK$151)*('Climate-Alignment Target'!E$90='LND Segmentation'!$Q$74:$V$74)*('LND Segmentation'!$Q$75:$V$151))</f>
        <v>0</v>
      </c>
      <c r="F126" s="5"/>
      <c r="G126" s="5"/>
      <c r="H126" s="5"/>
      <c r="I126" s="5"/>
      <c r="J126" s="5"/>
      <c r="K126" s="557" t="str">
        <f t="shared" si="37"/>
        <v/>
      </c>
      <c r="L126" s="712" t="str">
        <f t="shared" ref="L126" si="82">IF(K126="","",IF(E126=(K126+K127),"OK",IF(D126="Sector target","OK - covered by sector target",IF(AND(E126=0,D126="No target type selected"),"OK","Review financial exposure"))))</f>
        <v/>
      </c>
      <c r="M126" s="562">
        <f t="shared" si="42"/>
        <v>0</v>
      </c>
      <c r="N126" s="915"/>
      <c r="O126" s="563"/>
      <c r="P126" s="562" t="str">
        <f t="shared" si="30"/>
        <v/>
      </c>
      <c r="Q126" s="560" t="str">
        <f t="shared" si="34"/>
        <v/>
      </c>
      <c r="R126" s="16"/>
      <c r="T126" s="124" t="s">
        <v>121</v>
      </c>
      <c r="U126" s="1"/>
      <c r="V126" s="1"/>
      <c r="W126" s="26"/>
      <c r="X126" s="113" t="s">
        <v>373</v>
      </c>
      <c r="Y126" s="113">
        <f t="shared" si="31"/>
        <v>2040</v>
      </c>
      <c r="Z126" s="113">
        <f t="shared" si="32"/>
        <v>0.95</v>
      </c>
      <c r="AA126" s="121" t="str">
        <f t="shared" si="35"/>
        <v/>
      </c>
      <c r="AB126" s="121" t="str">
        <f t="shared" si="36"/>
        <v/>
      </c>
      <c r="AC126" s="107" t="s">
        <v>211</v>
      </c>
    </row>
    <row r="127" spans="1:29" ht="46.25" hidden="1" customHeight="1" outlineLevel="3">
      <c r="A127" s="865"/>
      <c r="B127" s="886"/>
      <c r="C127" s="333" t="s">
        <v>372</v>
      </c>
      <c r="D127" s="333" t="str">
        <f t="shared" ref="D127" si="83">D126</f>
        <v>No target type selected</v>
      </c>
      <c r="E127" s="866"/>
      <c r="F127" s="5"/>
      <c r="G127" s="5"/>
      <c r="H127" s="5"/>
      <c r="I127" s="5"/>
      <c r="J127" s="5"/>
      <c r="K127" s="557" t="str">
        <f t="shared" si="37"/>
        <v/>
      </c>
      <c r="L127" s="713"/>
      <c r="M127" s="562">
        <f t="shared" si="42"/>
        <v>0</v>
      </c>
      <c r="N127" s="915"/>
      <c r="O127" s="563"/>
      <c r="P127" s="562" t="str">
        <f t="shared" si="30"/>
        <v/>
      </c>
      <c r="Q127" s="560" t="str">
        <f t="shared" si="34"/>
        <v/>
      </c>
      <c r="R127" s="16"/>
      <c r="T127" s="124" t="s">
        <v>121</v>
      </c>
      <c r="U127" s="1"/>
      <c r="V127" s="1"/>
      <c r="W127" s="26"/>
      <c r="X127" s="113" t="s">
        <v>374</v>
      </c>
      <c r="Y127" s="113">
        <f t="shared" si="31"/>
        <v>2040</v>
      </c>
      <c r="Z127" s="113">
        <f t="shared" si="32"/>
        <v>0.85</v>
      </c>
      <c r="AA127" s="121" t="str">
        <f t="shared" si="35"/>
        <v/>
      </c>
      <c r="AB127" s="121" t="str">
        <f t="shared" si="36"/>
        <v/>
      </c>
      <c r="AC127" s="107"/>
    </row>
    <row r="128" spans="1:29" ht="46.25" hidden="1" customHeight="1" outlineLevel="3">
      <c r="A128" s="863" t="s">
        <v>136</v>
      </c>
      <c r="B128" s="886" t="s">
        <v>400</v>
      </c>
      <c r="C128" s="333" t="s">
        <v>369</v>
      </c>
      <c r="D128" s="333" t="str">
        <f t="shared" ref="D128" si="84">_xlfn.XLOOKUP(AC128,$AD$51:$AD$72,$D$51:$D$72,"No target",0)</f>
        <v>No target type selected</v>
      </c>
      <c r="E128" s="866" cm="1">
        <f t="array" ref="E128">SUMPRODUCT(('LND Segmentation'!$M$75:$M$151=TRUE)*($AC128='LND Segmentation'!$AK$75:$AK$151)*('Climate-Alignment Target'!E$90='LND Segmentation'!$Q$74:$V$74)*('LND Segmentation'!$Q$75:$V$151))</f>
        <v>0</v>
      </c>
      <c r="F128" s="5"/>
      <c r="G128" s="5"/>
      <c r="H128" s="5"/>
      <c r="I128" s="5"/>
      <c r="J128" s="5"/>
      <c r="K128" s="557" t="str">
        <f t="shared" si="37"/>
        <v/>
      </c>
      <c r="L128" s="712" t="str">
        <f t="shared" ref="L128" si="85">IF(K128="","",IF(E128=(K128+K129),"OK",IF(D128="Sector target","OK - covered by sector target",IF(AND(E128=0,D128="No target type selected"),"OK","Review financial exposure"))))</f>
        <v/>
      </c>
      <c r="M128" s="562">
        <f t="shared" si="42"/>
        <v>0</v>
      </c>
      <c r="N128" s="915"/>
      <c r="O128" s="563"/>
      <c r="P128" s="562" t="str">
        <f t="shared" si="30"/>
        <v/>
      </c>
      <c r="Q128" s="560" t="str">
        <f t="shared" si="34"/>
        <v/>
      </c>
      <c r="R128" s="16"/>
      <c r="T128" s="124" t="s">
        <v>136</v>
      </c>
      <c r="U128" s="1"/>
      <c r="V128" s="1"/>
      <c r="W128" s="26"/>
      <c r="X128" s="113" t="s">
        <v>378</v>
      </c>
      <c r="Y128" s="113">
        <f t="shared" si="31"/>
        <v>2050</v>
      </c>
      <c r="Z128" s="113">
        <f t="shared" si="32"/>
        <v>0.95</v>
      </c>
      <c r="AA128" s="121" t="str">
        <f t="shared" si="35"/>
        <v/>
      </c>
      <c r="AB128" s="121" t="str">
        <f t="shared" si="36"/>
        <v/>
      </c>
      <c r="AC128" s="107" t="s">
        <v>226</v>
      </c>
    </row>
    <row r="129" spans="1:36" ht="46.25" hidden="1" customHeight="1" outlineLevel="3">
      <c r="A129" s="864"/>
      <c r="B129" s="886"/>
      <c r="C129" s="333" t="s">
        <v>372</v>
      </c>
      <c r="D129" s="333" t="str">
        <f t="shared" ref="D129" si="86">D128</f>
        <v>No target type selected</v>
      </c>
      <c r="E129" s="866"/>
      <c r="F129" s="5"/>
      <c r="G129" s="5"/>
      <c r="H129" s="5"/>
      <c r="I129" s="5"/>
      <c r="J129" s="5"/>
      <c r="K129" s="557" t="str">
        <f t="shared" si="37"/>
        <v/>
      </c>
      <c r="L129" s="713"/>
      <c r="M129" s="562">
        <f t="shared" si="42"/>
        <v>0</v>
      </c>
      <c r="N129" s="915"/>
      <c r="O129" s="563"/>
      <c r="P129" s="562" t="str">
        <f t="shared" si="30"/>
        <v/>
      </c>
      <c r="Q129" s="560" t="str">
        <f t="shared" si="34"/>
        <v/>
      </c>
      <c r="R129" s="16"/>
      <c r="T129" s="124" t="s">
        <v>136</v>
      </c>
      <c r="U129" s="1"/>
      <c r="V129" s="1"/>
      <c r="W129" s="26"/>
      <c r="X129" s="113" t="s">
        <v>379</v>
      </c>
      <c r="Y129" s="113">
        <f t="shared" si="31"/>
        <v>2050</v>
      </c>
      <c r="Z129" s="113">
        <f t="shared" si="32"/>
        <v>0.85</v>
      </c>
      <c r="AA129" s="121" t="str">
        <f t="shared" si="35"/>
        <v/>
      </c>
      <c r="AB129" s="121" t="str">
        <f t="shared" si="36"/>
        <v/>
      </c>
      <c r="AC129" s="108"/>
    </row>
    <row r="130" spans="1:36" ht="46.25" hidden="1" customHeight="1" outlineLevel="3">
      <c r="A130" s="864"/>
      <c r="B130" s="863" t="s">
        <v>69</v>
      </c>
      <c r="C130" s="333" t="s">
        <v>369</v>
      </c>
      <c r="D130" s="333" t="str">
        <f t="shared" ref="D130" si="87">_xlfn.XLOOKUP(AC130,$AD$51:$AD$72,$D$51:$D$72,"No target",0)</f>
        <v>No target type selected</v>
      </c>
      <c r="E130" s="866" cm="1">
        <f t="array" ref="E130">SUMPRODUCT(('LND Segmentation'!$M$75:$M$151=TRUE)*($AC130='LND Segmentation'!$AK$75:$AK$151)*('Climate-Alignment Target'!E$90='LND Segmentation'!$Q$74:$V$74)*('LND Segmentation'!$Q$75:$V$151))</f>
        <v>0</v>
      </c>
      <c r="F130" s="5"/>
      <c r="G130" s="5"/>
      <c r="H130" s="5"/>
      <c r="I130" s="5"/>
      <c r="J130" s="5"/>
      <c r="K130" s="557" t="str">
        <f t="shared" si="37"/>
        <v/>
      </c>
      <c r="L130" s="712" t="str">
        <f t="shared" ref="L130:L132" si="88">IF(K130="","",IF(E130=(K130+K131),"OK",IF(D130="Sector target","OK - covered by sector target",IF(AND(E130=0,D130="No target type selected"),"OK","Review financial exposure"))))</f>
        <v/>
      </c>
      <c r="M130" s="562">
        <f t="shared" si="42"/>
        <v>0</v>
      </c>
      <c r="N130" s="915"/>
      <c r="O130" s="563"/>
      <c r="P130" s="562" t="str">
        <f t="shared" si="30"/>
        <v/>
      </c>
      <c r="Q130" s="560" t="str">
        <f t="shared" si="34"/>
        <v/>
      </c>
      <c r="R130" s="16"/>
      <c r="T130" s="124" t="s">
        <v>136</v>
      </c>
      <c r="U130" s="1"/>
      <c r="V130" s="1"/>
      <c r="W130" s="26"/>
      <c r="X130" s="113" t="s">
        <v>378</v>
      </c>
      <c r="Y130" s="113">
        <f t="shared" si="31"/>
        <v>2050</v>
      </c>
      <c r="Z130" s="113">
        <f t="shared" si="32"/>
        <v>0.95</v>
      </c>
      <c r="AA130" s="121" t="str">
        <f t="shared" si="35"/>
        <v/>
      </c>
      <c r="AB130" s="121" t="str">
        <f t="shared" si="36"/>
        <v/>
      </c>
      <c r="AC130" s="108" t="s">
        <v>228</v>
      </c>
    </row>
    <row r="131" spans="1:36" ht="46.25" hidden="1" customHeight="1" outlineLevel="3">
      <c r="A131" s="864"/>
      <c r="B131" s="865"/>
      <c r="C131" s="333" t="s">
        <v>372</v>
      </c>
      <c r="D131" s="333" t="str">
        <f t="shared" ref="D131:D133" si="89">D130</f>
        <v>No target type selected</v>
      </c>
      <c r="E131" s="866"/>
      <c r="F131" s="5"/>
      <c r="G131" s="5"/>
      <c r="H131" s="5"/>
      <c r="I131" s="5"/>
      <c r="J131" s="5"/>
      <c r="K131" s="557" t="str">
        <f t="shared" si="37"/>
        <v/>
      </c>
      <c r="L131" s="713"/>
      <c r="M131" s="562">
        <f t="shared" si="42"/>
        <v>0</v>
      </c>
      <c r="N131" s="915"/>
      <c r="O131" s="563"/>
      <c r="P131" s="562" t="str">
        <f t="shared" si="30"/>
        <v/>
      </c>
      <c r="Q131" s="560" t="str">
        <f t="shared" si="34"/>
        <v/>
      </c>
      <c r="R131" s="16"/>
      <c r="T131" s="124" t="s">
        <v>136</v>
      </c>
      <c r="W131" s="65"/>
      <c r="X131" s="113" t="s">
        <v>379</v>
      </c>
      <c r="Y131" s="113">
        <f t="shared" si="31"/>
        <v>2050</v>
      </c>
      <c r="Z131" s="113">
        <f t="shared" si="32"/>
        <v>0.85</v>
      </c>
      <c r="AA131" s="121" t="str">
        <f t="shared" si="35"/>
        <v/>
      </c>
      <c r="AB131" s="121" t="str">
        <f t="shared" si="36"/>
        <v/>
      </c>
      <c r="AC131" s="107"/>
    </row>
    <row r="132" spans="1:36" ht="46.25" hidden="1" customHeight="1" outlineLevel="3">
      <c r="A132" s="864"/>
      <c r="B132" s="863" t="s">
        <v>135</v>
      </c>
      <c r="C132" s="333" t="s">
        <v>369</v>
      </c>
      <c r="D132" s="333" t="str">
        <f>_xlfn.XLOOKUP(AC132,$AD$51:$AD$72,$D$51:$D$72,"No target",0)</f>
        <v>No target type selected</v>
      </c>
      <c r="E132" s="866" cm="1">
        <f t="array" ref="E132">SUMPRODUCT(('LND Segmentation'!$M$75:$M$151=TRUE)*($AC132='LND Segmentation'!$AK$75:$AK$151)*('Climate-Alignment Target'!E$90='LND Segmentation'!$Q$74:$V$74)*('LND Segmentation'!$Q$75:$V$151))</f>
        <v>0</v>
      </c>
      <c r="F132" s="5"/>
      <c r="G132" s="5"/>
      <c r="H132" s="5"/>
      <c r="I132" s="5"/>
      <c r="J132" s="5"/>
      <c r="K132" s="557" t="str">
        <f t="shared" si="37"/>
        <v/>
      </c>
      <c r="L132" s="712" t="str">
        <f t="shared" si="88"/>
        <v/>
      </c>
      <c r="M132" s="562">
        <f t="shared" si="42"/>
        <v>0</v>
      </c>
      <c r="N132" s="915"/>
      <c r="O132" s="563"/>
      <c r="P132" s="562" t="str">
        <f t="shared" ref="P132:P133" si="90">IF(AND($D132="Climate-alignment target",$N$92&lt;&gt;""),IF(M132&gt;$Z132,M132,(M132+($Z132-M132)/($Y132-$I$9)*($N$92-$I$9))),"")</f>
        <v/>
      </c>
      <c r="Q132" s="560" t="str">
        <f t="shared" si="34"/>
        <v/>
      </c>
      <c r="R132" s="16"/>
      <c r="T132" s="124" t="s">
        <v>136</v>
      </c>
      <c r="W132" s="65"/>
      <c r="X132" s="113" t="s">
        <v>378</v>
      </c>
      <c r="Y132" s="113">
        <f t="shared" ref="Y132:Y133" si="91">_xlfn.XLOOKUP($X132,$AB$17:$AB$24,AE$17:AE$24,0,0)</f>
        <v>2050</v>
      </c>
      <c r="Z132" s="113">
        <f t="shared" ref="Z132:Z133" si="92">_xlfn.XLOOKUP($X132,$AB$17:$AB$24,AF$17:AF$24,0,0)</f>
        <v>0.95</v>
      </c>
      <c r="AA132" s="121" t="str">
        <f t="shared" ref="AA132:AA133" si="93">IF($D132&lt;&gt;"Climate-alignment target","",O132*K132)</f>
        <v/>
      </c>
      <c r="AB132" s="121" t="str">
        <f t="shared" ref="AB132:AB133" si="94">IF($D132&lt;&gt;"Climate-alignment target","",K132)</f>
        <v/>
      </c>
      <c r="AC132" s="107" t="s">
        <v>214</v>
      </c>
    </row>
    <row r="133" spans="1:36" ht="46.25" hidden="1" customHeight="1" outlineLevel="3">
      <c r="A133" s="865"/>
      <c r="B133" s="865"/>
      <c r="C133" s="333" t="s">
        <v>372</v>
      </c>
      <c r="D133" s="333" t="str">
        <f t="shared" si="89"/>
        <v>No target type selected</v>
      </c>
      <c r="E133" s="866"/>
      <c r="F133" s="5"/>
      <c r="G133" s="5"/>
      <c r="H133" s="5"/>
      <c r="I133" s="5"/>
      <c r="J133" s="5"/>
      <c r="K133" s="557" t="str">
        <f t="shared" si="37"/>
        <v/>
      </c>
      <c r="L133" s="713"/>
      <c r="M133" s="562">
        <f t="shared" si="42"/>
        <v>0</v>
      </c>
      <c r="N133" s="915"/>
      <c r="O133" s="563"/>
      <c r="P133" s="562" t="str">
        <f t="shared" si="90"/>
        <v/>
      </c>
      <c r="Q133" s="560" t="str">
        <f t="shared" si="34"/>
        <v/>
      </c>
      <c r="R133" s="16"/>
      <c r="T133" s="124" t="s">
        <v>136</v>
      </c>
      <c r="W133" s="65"/>
      <c r="X133" s="113" t="s">
        <v>379</v>
      </c>
      <c r="Y133" s="113">
        <f t="shared" si="91"/>
        <v>2050</v>
      </c>
      <c r="Z133" s="113">
        <f t="shared" si="92"/>
        <v>0.85</v>
      </c>
      <c r="AA133" s="121" t="str">
        <f t="shared" si="93"/>
        <v/>
      </c>
      <c r="AB133" s="121" t="str">
        <f t="shared" si="94"/>
        <v/>
      </c>
      <c r="AC133" s="107"/>
    </row>
    <row r="134" spans="1:36" ht="46.25" hidden="1" customHeight="1" outlineLevel="3">
      <c r="A134" s="881" t="s">
        <v>130</v>
      </c>
      <c r="B134" s="910"/>
      <c r="C134" s="333" t="s">
        <v>369</v>
      </c>
      <c r="D134" s="333" t="str">
        <f t="shared" ref="D134" si="95">_xlfn.XLOOKUP(AC134,$AD$51:$AD$72,$D$51:$D$72,"No target",0)</f>
        <v>No target type selected</v>
      </c>
      <c r="E134" s="866" cm="1">
        <f t="array" ref="E134">SUMPRODUCT(('LND Segmentation'!$M$75:$M$151=TRUE)*($AC134='LND Segmentation'!$AK$75:$AK$151)*('Climate-Alignment Target'!E$90='LND Segmentation'!$Q$74:$V$74)*('LND Segmentation'!$Q$75:$V$151))</f>
        <v>0</v>
      </c>
      <c r="F134" s="5"/>
      <c r="G134" s="5"/>
      <c r="H134" s="5"/>
      <c r="I134" s="5"/>
      <c r="J134" s="5"/>
      <c r="K134" s="557" t="str">
        <f t="shared" si="37"/>
        <v/>
      </c>
      <c r="L134" s="712" t="str">
        <f t="shared" ref="L134" si="96">IF(K134="","",IF(E134=(K134+K135),"OK",IF(D134="Sector target","OK - covered by sector target",IF(AND(E134=0,D134="No target type selected"),"OK","Review financial exposure"))))</f>
        <v/>
      </c>
      <c r="M134" s="562">
        <f t="shared" si="42"/>
        <v>0</v>
      </c>
      <c r="N134" s="915"/>
      <c r="O134" s="563"/>
      <c r="P134" s="562" t="str">
        <f>IF(AND($D134="Climate-alignment target",$N$92&lt;&gt;""),IF(M134&gt;$Z134,M134,(M134+($Z134-M134)/($Y134-$I$9)*($N$92-$I$9))),"")</f>
        <v/>
      </c>
      <c r="Q134" s="560" t="str">
        <f t="shared" si="34"/>
        <v/>
      </c>
      <c r="R134" s="16"/>
      <c r="T134" s="124" t="s">
        <v>130</v>
      </c>
      <c r="W134" s="65"/>
      <c r="X134" s="113" t="s">
        <v>376</v>
      </c>
      <c r="Y134" s="113">
        <f t="shared" si="31"/>
        <v>2040</v>
      </c>
      <c r="Z134" s="113">
        <f t="shared" si="32"/>
        <v>0.95</v>
      </c>
      <c r="AA134" s="121" t="str">
        <f t="shared" si="35"/>
        <v/>
      </c>
      <c r="AB134" s="121" t="str">
        <f t="shared" si="36"/>
        <v/>
      </c>
      <c r="AC134" s="107" t="s">
        <v>213</v>
      </c>
    </row>
    <row r="135" spans="1:36" ht="46.25" hidden="1" customHeight="1" outlineLevel="3">
      <c r="A135" s="883"/>
      <c r="B135" s="911"/>
      <c r="C135" s="333" t="s">
        <v>372</v>
      </c>
      <c r="D135" s="333" t="str">
        <f t="shared" ref="D135" si="97">D134</f>
        <v>No target type selected</v>
      </c>
      <c r="E135" s="866"/>
      <c r="F135" s="5"/>
      <c r="G135" s="5"/>
      <c r="H135" s="5"/>
      <c r="I135" s="5"/>
      <c r="J135" s="5"/>
      <c r="K135" s="557" t="str">
        <f t="shared" si="37"/>
        <v/>
      </c>
      <c r="L135" s="713"/>
      <c r="M135" s="562">
        <f t="shared" si="42"/>
        <v>0</v>
      </c>
      <c r="N135" s="915"/>
      <c r="O135" s="563"/>
      <c r="P135" s="562" t="str">
        <f>IF(AND($D135="Climate-alignment target",$N$92&lt;&gt;""),IF(M135&gt;$Z135,M135,(M135+($Z135-M135)/($Y135-$I$9)*($N$92-$I$9))),"")</f>
        <v/>
      </c>
      <c r="Q135" s="560" t="str">
        <f t="shared" si="34"/>
        <v/>
      </c>
      <c r="R135" s="16"/>
      <c r="T135" s="124" t="s">
        <v>130</v>
      </c>
      <c r="W135" s="65"/>
      <c r="X135" s="113" t="s">
        <v>377</v>
      </c>
      <c r="Y135" s="113">
        <f t="shared" si="31"/>
        <v>2040</v>
      </c>
      <c r="Z135" s="113">
        <f t="shared" si="32"/>
        <v>0.85</v>
      </c>
      <c r="AA135" s="121" t="str">
        <f t="shared" si="35"/>
        <v/>
      </c>
      <c r="AB135" s="121" t="str">
        <f t="shared" si="36"/>
        <v/>
      </c>
    </row>
    <row r="136" spans="1:36" ht="15.75" hidden="1" customHeight="1" outlineLevel="3">
      <c r="B136" s="1"/>
      <c r="C136" s="1"/>
      <c r="D136" s="1"/>
      <c r="E136" s="1"/>
      <c r="AA136" s="121"/>
      <c r="AB136" s="121"/>
    </row>
    <row r="137" spans="1:36" ht="15.75" hidden="1" customHeight="1" outlineLevel="3">
      <c r="A137" s="858" t="s">
        <v>407</v>
      </c>
      <c r="B137" s="858"/>
      <c r="C137" s="858"/>
      <c r="D137" s="858"/>
      <c r="E137" s="858"/>
      <c r="F137" s="858"/>
      <c r="G137" s="858"/>
      <c r="H137" s="858"/>
      <c r="I137" s="858"/>
      <c r="J137" s="858"/>
      <c r="K137" s="858"/>
      <c r="L137" s="858"/>
      <c r="M137" s="858"/>
      <c r="N137" s="858"/>
      <c r="O137" s="858"/>
      <c r="P137" s="858"/>
      <c r="Q137" s="858"/>
      <c r="R137" s="858"/>
      <c r="S137" s="858"/>
      <c r="T137" s="858"/>
      <c r="U137" s="69"/>
      <c r="AA137" s="121"/>
      <c r="AB137" s="121"/>
    </row>
    <row r="138" spans="1:36" ht="15.75" hidden="1" customHeight="1" outlineLevel="3">
      <c r="B138" s="1"/>
      <c r="C138" s="1"/>
      <c r="D138" s="1"/>
      <c r="E138" s="1"/>
    </row>
    <row r="139" spans="1:36" ht="30" hidden="1" customHeight="1" outlineLevel="3">
      <c r="A139" s="885" t="s">
        <v>99</v>
      </c>
      <c r="B139" s="885"/>
      <c r="C139" s="912" t="s">
        <v>364</v>
      </c>
      <c r="D139" s="798" t="s">
        <v>403</v>
      </c>
      <c r="E139" s="885" t="s">
        <v>365</v>
      </c>
      <c r="F139" s="885"/>
      <c r="G139" s="885"/>
      <c r="H139" s="885"/>
      <c r="I139" s="885"/>
      <c r="J139" s="885"/>
      <c r="K139" s="885"/>
      <c r="L139" s="885"/>
      <c r="M139" s="798" t="s">
        <v>809</v>
      </c>
      <c r="N139" s="834" t="s">
        <v>366</v>
      </c>
      <c r="O139" s="868"/>
      <c r="P139" s="868"/>
      <c r="Q139" s="835"/>
      <c r="R139" s="834" t="s">
        <v>367</v>
      </c>
      <c r="S139" s="868"/>
      <c r="T139" s="868"/>
      <c r="U139" s="835"/>
      <c r="W139" s="1"/>
      <c r="X139" s="121"/>
    </row>
    <row r="140" spans="1:36" ht="68" hidden="1" outlineLevel="3">
      <c r="A140" s="885"/>
      <c r="B140" s="885"/>
      <c r="C140" s="912"/>
      <c r="D140" s="798"/>
      <c r="E140" s="36" t="s">
        <v>106</v>
      </c>
      <c r="F140" s="554" t="s">
        <v>101</v>
      </c>
      <c r="G140" s="554" t="s">
        <v>102</v>
      </c>
      <c r="H140" s="558" t="s">
        <v>103</v>
      </c>
      <c r="I140" s="558" t="s">
        <v>104</v>
      </c>
      <c r="J140" s="554" t="s">
        <v>105</v>
      </c>
      <c r="K140" s="798" t="s">
        <v>807</v>
      </c>
      <c r="L140" s="798" t="s">
        <v>808</v>
      </c>
      <c r="M140" s="798"/>
      <c r="N140" s="885" t="s">
        <v>822</v>
      </c>
      <c r="O140" s="885" t="s">
        <v>826</v>
      </c>
      <c r="P140" s="913" t="s">
        <v>816</v>
      </c>
      <c r="Q140" s="914"/>
      <c r="R140" s="885" t="s">
        <v>827</v>
      </c>
      <c r="S140" s="885" t="s">
        <v>811</v>
      </c>
      <c r="T140" s="885" t="s">
        <v>812</v>
      </c>
      <c r="U140" s="798" t="s">
        <v>813</v>
      </c>
      <c r="W140" s="1"/>
    </row>
    <row r="141" spans="1:36" ht="31.25" hidden="1" customHeight="1" outlineLevel="3">
      <c r="A141" s="885"/>
      <c r="B141" s="885"/>
      <c r="C141" s="912"/>
      <c r="D141" s="798"/>
      <c r="E141" s="40" t="s">
        <v>819</v>
      </c>
      <c r="F141" s="928" t="s">
        <v>819</v>
      </c>
      <c r="G141" s="929"/>
      <c r="H141" s="929"/>
      <c r="I141" s="929"/>
      <c r="J141" s="929"/>
      <c r="K141" s="798"/>
      <c r="L141" s="798"/>
      <c r="M141" s="798"/>
      <c r="N141" s="885"/>
      <c r="O141" s="885"/>
      <c r="P141" s="38" t="s">
        <v>369</v>
      </c>
      <c r="Q141" s="35" t="s">
        <v>372</v>
      </c>
      <c r="R141" s="885"/>
      <c r="S141" s="885"/>
      <c r="T141" s="885"/>
      <c r="U141" s="798"/>
      <c r="W141" s="1"/>
    </row>
    <row r="142" spans="1:36" ht="33" hidden="1" customHeight="1" outlineLevel="3">
      <c r="A142" s="899" t="s">
        <v>113</v>
      </c>
      <c r="B142" s="900"/>
      <c r="C142" s="333" t="s">
        <v>369</v>
      </c>
      <c r="D142" s="901" t="s">
        <v>408</v>
      </c>
      <c r="E142" s="557" t="str">
        <f t="shared" ref="E142:E149" si="98">IF(SUMIFS(K$92:K$135,$T$92:$T$135,$A142,$C$92:$C$135,$C142)=0,"",SUMIFS(K$92:K$135,$T$92:$T$135,$A142,$C$92:$C$135,$C142))</f>
        <v/>
      </c>
      <c r="F142" s="557" t="str">
        <f t="shared" ref="F142:J149" si="99">IF($E142="","",SUMIFS(F$92:F$135,$T$92:$T$135,$A142,$C$92:$C$135,$C142))</f>
        <v/>
      </c>
      <c r="G142" s="557" t="str">
        <f t="shared" si="99"/>
        <v/>
      </c>
      <c r="H142" s="557" t="str">
        <f t="shared" si="99"/>
        <v/>
      </c>
      <c r="I142" s="557" t="str">
        <f t="shared" si="99"/>
        <v/>
      </c>
      <c r="J142" s="557" t="str">
        <f t="shared" si="99"/>
        <v/>
      </c>
      <c r="K142" s="557" t="str">
        <f t="shared" ref="K142:K149" si="100">IF(E142="","",SUM(F142:J142))</f>
        <v/>
      </c>
      <c r="L142" s="557" t="str">
        <f>IF(K142="","",IF(E142-K142=0,"OK","Review financial exposure"))</f>
        <v/>
      </c>
      <c r="M142" s="562">
        <f>IF(SUM(F142:J142)=0,0,(H142+I142+J142)/(SUM(F142:J142)))</f>
        <v>0</v>
      </c>
      <c r="N142" s="902">
        <f>N92</f>
        <v>0</v>
      </c>
      <c r="O142" s="562" t="str">
        <f t="shared" ref="O142:O149" si="101">IFERROR(SUMIFS($AA$92:$AA$135,$T$92:$T$135,$A142,$C$92:$C$135,$C142,$D$92:$D$135,"Climate-alignment target")/SUMIFS($AB$92:$AB$135,$T$92:$T$135,$A142,$C$92:$C$135,$C142,$D$92:$D$135,"Climate-alignment target"),"")</f>
        <v/>
      </c>
      <c r="P142" s="905" t="str">
        <f>IFERROR(IF($N142="","",SUMPRODUCT(K142:K145,O142:O145)/SUM(K142:K145)),"")</f>
        <v/>
      </c>
      <c r="Q142" s="973" t="str">
        <f>IFERROR(IF($N142="","",SUMPRODUCT(K146:K149,O146:O149)/SUM(K146:K149)),"")</f>
        <v/>
      </c>
      <c r="R142" s="908"/>
      <c r="S142" s="909"/>
      <c r="T142" s="897" t="str">
        <f>IF(R142="","",95%)</f>
        <v/>
      </c>
      <c r="U142" s="898" t="str">
        <f>IF(S142="","",IF(S142-T142&gt;=0,"OK","Minimum ambition not met, please increase ambition"))</f>
        <v/>
      </c>
      <c r="W142" s="1"/>
      <c r="Y142" s="107"/>
      <c r="AI142" s="120" t="s">
        <v>409</v>
      </c>
      <c r="AJ142" s="120" t="s">
        <v>410</v>
      </c>
    </row>
    <row r="143" spans="1:36" ht="33" hidden="1" customHeight="1" outlineLevel="3">
      <c r="A143" s="899" t="s">
        <v>121</v>
      </c>
      <c r="B143" s="900"/>
      <c r="C143" s="333" t="s">
        <v>369</v>
      </c>
      <c r="D143" s="901"/>
      <c r="E143" s="557" t="str">
        <f t="shared" si="98"/>
        <v/>
      </c>
      <c r="F143" s="557" t="str">
        <f t="shared" si="99"/>
        <v/>
      </c>
      <c r="G143" s="557" t="str">
        <f t="shared" si="99"/>
        <v/>
      </c>
      <c r="H143" s="557" t="str">
        <f t="shared" si="99"/>
        <v/>
      </c>
      <c r="I143" s="557" t="str">
        <f t="shared" si="99"/>
        <v/>
      </c>
      <c r="J143" s="557" t="str">
        <f t="shared" si="99"/>
        <v/>
      </c>
      <c r="K143" s="557" t="str">
        <f t="shared" si="100"/>
        <v/>
      </c>
      <c r="L143" s="557" t="str">
        <f t="shared" ref="L143:L149" si="102">IF(K143="","",IF(E143-K143=0,"OK","Review financial exposure"))</f>
        <v/>
      </c>
      <c r="M143" s="562">
        <f>IF(SUM(F143:J143)=0,0,(H143+I143+J143)/(SUM(F143:J143)))</f>
        <v>0</v>
      </c>
      <c r="N143" s="903"/>
      <c r="O143" s="562" t="str">
        <f t="shared" si="101"/>
        <v/>
      </c>
      <c r="P143" s="906"/>
      <c r="Q143" s="974"/>
      <c r="R143" s="908"/>
      <c r="S143" s="909"/>
      <c r="T143" s="897"/>
      <c r="U143" s="898"/>
      <c r="W143" s="1"/>
      <c r="Y143" s="107"/>
    </row>
    <row r="144" spans="1:36" ht="33" hidden="1" customHeight="1" outlineLevel="3">
      <c r="A144" s="899" t="s">
        <v>130</v>
      </c>
      <c r="B144" s="900"/>
      <c r="C144" s="333" t="s">
        <v>369</v>
      </c>
      <c r="D144" s="901"/>
      <c r="E144" s="557" t="str">
        <f t="shared" si="98"/>
        <v/>
      </c>
      <c r="F144" s="557" t="str">
        <f t="shared" si="99"/>
        <v/>
      </c>
      <c r="G144" s="557" t="str">
        <f t="shared" si="99"/>
        <v/>
      </c>
      <c r="H144" s="557" t="str">
        <f t="shared" si="99"/>
        <v/>
      </c>
      <c r="I144" s="557" t="str">
        <f t="shared" si="99"/>
        <v/>
      </c>
      <c r="J144" s="557" t="str">
        <f t="shared" si="99"/>
        <v/>
      </c>
      <c r="K144" s="557" t="str">
        <f t="shared" si="100"/>
        <v/>
      </c>
      <c r="L144" s="557" t="str">
        <f t="shared" si="102"/>
        <v/>
      </c>
      <c r="M144" s="562">
        <f>IF(SUM(F144:J144)=0,0,(H144+I144+J144)/(SUM(F144:J144)))</f>
        <v>0</v>
      </c>
      <c r="N144" s="903"/>
      <c r="O144" s="562" t="str">
        <f t="shared" si="101"/>
        <v/>
      </c>
      <c r="P144" s="906"/>
      <c r="Q144" s="974"/>
      <c r="R144" s="908"/>
      <c r="S144" s="909"/>
      <c r="T144" s="897"/>
      <c r="U144" s="898"/>
      <c r="W144" s="1"/>
      <c r="X144" s="107"/>
      <c r="Y144" s="108"/>
    </row>
    <row r="145" spans="1:27" ht="33" hidden="1" customHeight="1" outlineLevel="3">
      <c r="A145" s="899" t="s">
        <v>136</v>
      </c>
      <c r="B145" s="900"/>
      <c r="C145" s="333" t="s">
        <v>369</v>
      </c>
      <c r="D145" s="901"/>
      <c r="E145" s="557" t="str">
        <f t="shared" si="98"/>
        <v/>
      </c>
      <c r="F145" s="557" t="str">
        <f t="shared" si="99"/>
        <v/>
      </c>
      <c r="G145" s="557" t="str">
        <f t="shared" si="99"/>
        <v/>
      </c>
      <c r="H145" s="557" t="str">
        <f t="shared" si="99"/>
        <v/>
      </c>
      <c r="I145" s="557" t="str">
        <f t="shared" si="99"/>
        <v/>
      </c>
      <c r="J145" s="557" t="str">
        <f t="shared" si="99"/>
        <v/>
      </c>
      <c r="K145" s="557" t="str">
        <f t="shared" si="100"/>
        <v/>
      </c>
      <c r="L145" s="557" t="str">
        <f t="shared" si="102"/>
        <v/>
      </c>
      <c r="M145" s="562">
        <f>IF(SUM(F145:J145)=0,0,(H145+I145+J145)/(SUM(F145:J145)))</f>
        <v>0</v>
      </c>
      <c r="N145" s="903"/>
      <c r="O145" s="562" t="str">
        <f t="shared" si="101"/>
        <v/>
      </c>
      <c r="P145" s="906"/>
      <c r="Q145" s="974"/>
      <c r="R145" s="908"/>
      <c r="S145" s="909"/>
      <c r="T145" s="897"/>
      <c r="U145" s="898"/>
      <c r="W145" s="1"/>
      <c r="X145" s="107"/>
      <c r="Y145" s="107"/>
    </row>
    <row r="146" spans="1:27" ht="33" hidden="1" customHeight="1" outlineLevel="3">
      <c r="A146" s="899" t="s">
        <v>113</v>
      </c>
      <c r="B146" s="900"/>
      <c r="C146" s="333" t="s">
        <v>372</v>
      </c>
      <c r="D146" s="901"/>
      <c r="E146" s="557" t="str">
        <f t="shared" si="98"/>
        <v/>
      </c>
      <c r="F146" s="557" t="str">
        <f t="shared" si="99"/>
        <v/>
      </c>
      <c r="G146" s="557" t="str">
        <f t="shared" si="99"/>
        <v/>
      </c>
      <c r="H146" s="557" t="str">
        <f t="shared" si="99"/>
        <v/>
      </c>
      <c r="I146" s="557" t="str">
        <f t="shared" si="99"/>
        <v/>
      </c>
      <c r="J146" s="557" t="str">
        <f t="shared" si="99"/>
        <v/>
      </c>
      <c r="K146" s="557" t="str">
        <f t="shared" si="100"/>
        <v/>
      </c>
      <c r="L146" s="557" t="str">
        <f t="shared" si="102"/>
        <v/>
      </c>
      <c r="M146" s="562">
        <f>IF(SUM(F146:J146)=0,0,(H146+I146+J146)/(SUM(F146:J146)))</f>
        <v>0</v>
      </c>
      <c r="N146" s="903"/>
      <c r="O146" s="562" t="str">
        <f t="shared" si="101"/>
        <v/>
      </c>
      <c r="P146" s="906"/>
      <c r="Q146" s="974"/>
      <c r="R146" s="908"/>
      <c r="S146" s="909"/>
      <c r="T146" s="897"/>
      <c r="U146" s="898"/>
    </row>
    <row r="147" spans="1:27" ht="33" hidden="1" customHeight="1" outlineLevel="3">
      <c r="A147" s="899" t="s">
        <v>121</v>
      </c>
      <c r="B147" s="900"/>
      <c r="C147" s="333" t="s">
        <v>372</v>
      </c>
      <c r="D147" s="901"/>
      <c r="E147" s="557" t="str">
        <f t="shared" si="98"/>
        <v/>
      </c>
      <c r="F147" s="557" t="str">
        <f t="shared" si="99"/>
        <v/>
      </c>
      <c r="G147" s="557" t="str">
        <f t="shared" si="99"/>
        <v/>
      </c>
      <c r="H147" s="557" t="str">
        <f t="shared" si="99"/>
        <v/>
      </c>
      <c r="I147" s="557" t="str">
        <f t="shared" si="99"/>
        <v/>
      </c>
      <c r="J147" s="557" t="str">
        <f t="shared" si="99"/>
        <v/>
      </c>
      <c r="K147" s="557" t="str">
        <f t="shared" si="100"/>
        <v/>
      </c>
      <c r="L147" s="557" t="str">
        <f t="shared" si="102"/>
        <v/>
      </c>
      <c r="M147" s="562">
        <f>IF(SUM(F147:J147)=0,0,(H147+I147+J147)/(SUM(F147:J147)))</f>
        <v>0</v>
      </c>
      <c r="N147" s="903"/>
      <c r="O147" s="562" t="str">
        <f t="shared" si="101"/>
        <v/>
      </c>
      <c r="P147" s="906"/>
      <c r="Q147" s="974"/>
      <c r="R147" s="908"/>
      <c r="S147" s="909"/>
      <c r="T147" s="897"/>
      <c r="U147" s="898"/>
    </row>
    <row r="148" spans="1:27" ht="33" hidden="1" customHeight="1" outlineLevel="3">
      <c r="A148" s="899" t="s">
        <v>130</v>
      </c>
      <c r="B148" s="900"/>
      <c r="C148" s="333" t="s">
        <v>372</v>
      </c>
      <c r="D148" s="901"/>
      <c r="E148" s="557" t="str">
        <f t="shared" si="98"/>
        <v/>
      </c>
      <c r="F148" s="557" t="str">
        <f t="shared" si="99"/>
        <v/>
      </c>
      <c r="G148" s="557" t="str">
        <f t="shared" si="99"/>
        <v/>
      </c>
      <c r="H148" s="557" t="str">
        <f t="shared" si="99"/>
        <v/>
      </c>
      <c r="I148" s="557" t="str">
        <f t="shared" si="99"/>
        <v/>
      </c>
      <c r="J148" s="557" t="str">
        <f t="shared" si="99"/>
        <v/>
      </c>
      <c r="K148" s="557" t="str">
        <f t="shared" si="100"/>
        <v/>
      </c>
      <c r="L148" s="557" t="str">
        <f t="shared" si="102"/>
        <v/>
      </c>
      <c r="M148" s="562">
        <f>IF(SUM(F148:J148)=0,0,(H148+I148+J148)/(SUM(F148:J148)))</f>
        <v>0</v>
      </c>
      <c r="N148" s="903"/>
      <c r="O148" s="562" t="str">
        <f t="shared" si="101"/>
        <v/>
      </c>
      <c r="P148" s="906"/>
      <c r="Q148" s="974"/>
      <c r="R148" s="908"/>
      <c r="S148" s="909"/>
      <c r="T148" s="897"/>
      <c r="U148" s="898"/>
    </row>
    <row r="149" spans="1:27" ht="33" hidden="1" customHeight="1" outlineLevel="3">
      <c r="A149" s="899" t="s">
        <v>136</v>
      </c>
      <c r="B149" s="900"/>
      <c r="C149" s="333" t="s">
        <v>372</v>
      </c>
      <c r="D149" s="901"/>
      <c r="E149" s="557" t="str">
        <f t="shared" si="98"/>
        <v/>
      </c>
      <c r="F149" s="557" t="str">
        <f t="shared" si="99"/>
        <v/>
      </c>
      <c r="G149" s="557" t="str">
        <f t="shared" si="99"/>
        <v/>
      </c>
      <c r="H149" s="557" t="str">
        <f t="shared" si="99"/>
        <v/>
      </c>
      <c r="I149" s="557" t="str">
        <f t="shared" si="99"/>
        <v/>
      </c>
      <c r="J149" s="557" t="str">
        <f t="shared" si="99"/>
        <v/>
      </c>
      <c r="K149" s="557" t="str">
        <f t="shared" si="100"/>
        <v/>
      </c>
      <c r="L149" s="557" t="str">
        <f t="shared" si="102"/>
        <v/>
      </c>
      <c r="M149" s="562">
        <f>IF(SUM(F149:J149)=0,0,(H149+I149+J149)/(SUM(F149:J149)))</f>
        <v>0</v>
      </c>
      <c r="N149" s="904"/>
      <c r="O149" s="562" t="str">
        <f t="shared" si="101"/>
        <v/>
      </c>
      <c r="P149" s="907"/>
      <c r="Q149" s="975"/>
      <c r="R149" s="908"/>
      <c r="S149" s="909"/>
      <c r="T149" s="897"/>
      <c r="U149" s="898"/>
    </row>
    <row r="150" spans="1:27" ht="15.75" hidden="1" customHeight="1" outlineLevel="3">
      <c r="A150" s="1009"/>
      <c r="B150" s="1009"/>
      <c r="C150" s="61"/>
      <c r="D150" s="1"/>
      <c r="E150" s="1"/>
      <c r="S150" s="609"/>
    </row>
    <row r="151" spans="1:27" ht="15" customHeight="1">
      <c r="A151" s="1009"/>
      <c r="B151" s="1009"/>
      <c r="C151" s="61"/>
    </row>
    <row r="152" spans="1:27" ht="15" customHeight="1"/>
    <row r="153" spans="1:27" ht="15" customHeight="1"/>
    <row r="154" spans="1:27" ht="15" customHeight="1"/>
    <row r="155" spans="1:27" ht="22.25" customHeight="1" collapsed="1">
      <c r="A155" s="862" t="s">
        <v>411</v>
      </c>
      <c r="B155" s="862"/>
      <c r="C155" s="862"/>
      <c r="D155" s="862"/>
      <c r="E155" s="862"/>
      <c r="F155" s="862"/>
      <c r="G155" s="862"/>
      <c r="H155" s="862"/>
      <c r="I155" s="862"/>
      <c r="J155" s="862"/>
      <c r="K155" s="862"/>
      <c r="L155" s="862"/>
      <c r="M155" s="862"/>
      <c r="N155" s="862"/>
      <c r="O155" s="862"/>
      <c r="P155" s="862"/>
      <c r="Q155" s="862"/>
      <c r="R155" s="862"/>
      <c r="S155" s="862"/>
      <c r="T155" s="862"/>
      <c r="U155" s="862"/>
      <c r="V155" s="862"/>
      <c r="W155" s="71"/>
      <c r="X155" s="112"/>
      <c r="Y155" s="112"/>
      <c r="Z155" s="112"/>
      <c r="AA155" s="112"/>
    </row>
    <row r="156" spans="1:27" ht="14.25" hidden="1" customHeight="1" outlineLevel="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14"/>
      <c r="Y156" s="114"/>
      <c r="Z156" s="114"/>
      <c r="AA156" s="114"/>
    </row>
    <row r="157" spans="1:27" ht="84" hidden="1" customHeight="1" outlineLevel="1">
      <c r="A157" s="19"/>
      <c r="B157" s="891" t="s">
        <v>412</v>
      </c>
      <c r="C157" s="891"/>
      <c r="D157" s="891"/>
      <c r="E157" s="891"/>
      <c r="F157" s="17"/>
      <c r="G157" s="891" t="s">
        <v>354</v>
      </c>
      <c r="H157" s="891"/>
      <c r="I157" s="891"/>
      <c r="J157" s="17"/>
      <c r="K157" s="17"/>
      <c r="L157" s="17"/>
      <c r="M157" s="17"/>
      <c r="N157" s="17"/>
      <c r="O157" s="17"/>
      <c r="P157" s="17"/>
      <c r="Q157" s="17"/>
      <c r="R157" s="17"/>
      <c r="S157" s="17"/>
      <c r="T157" s="17"/>
      <c r="U157" s="17"/>
      <c r="V157" s="17"/>
      <c r="W157" s="17"/>
      <c r="X157" s="110"/>
      <c r="Y157" s="110"/>
      <c r="Z157" s="110"/>
      <c r="AA157" s="110"/>
    </row>
    <row r="158" spans="1:27" ht="6" hidden="1" customHeight="1" outlineLevel="1">
      <c r="A158" s="19"/>
      <c r="B158" s="555"/>
      <c r="C158" s="555"/>
      <c r="D158" s="555"/>
      <c r="E158" s="17"/>
      <c r="F158" s="17"/>
      <c r="G158" s="17"/>
      <c r="H158" s="17"/>
      <c r="I158" s="17"/>
      <c r="J158" s="17"/>
      <c r="K158" s="17"/>
      <c r="L158" s="17"/>
      <c r="M158" s="17"/>
      <c r="N158" s="17"/>
      <c r="O158" s="17"/>
      <c r="P158" s="17"/>
      <c r="Q158" s="17"/>
      <c r="R158" s="17"/>
      <c r="S158" s="17"/>
      <c r="T158" s="17"/>
      <c r="U158" s="17"/>
      <c r="V158" s="17"/>
      <c r="W158" s="17"/>
      <c r="X158" s="110"/>
      <c r="Y158" s="110"/>
      <c r="Z158" s="110"/>
      <c r="AA158" s="110"/>
    </row>
    <row r="159" spans="1:27" ht="37.5" hidden="1" customHeight="1" outlineLevel="1">
      <c r="A159" s="15"/>
      <c r="B159" s="887" t="s">
        <v>801</v>
      </c>
      <c r="C159" s="887"/>
      <c r="D159" s="314"/>
      <c r="E159" s="994" t="str">
        <f>IF(AND($D$159="Climate-Alignment Target Only",$D$160="No regional differentiation"),"Note: Start in row 164",IF(AND($D$159="Climate-Alignment Target Only",$D$160="Regional differentiation"),"Note: Start in row 176",IF(AND($D$159="Mix of Climate-Alignment and Sector Targets",$D$160="No regional differentiation"),"Note: Start in row 195",IF(AND($D$159="Mix of Climate-Alignment and Sector Targets",$D$160="Regional differentiation"),"Note: Start in row 237",""))))</f>
        <v/>
      </c>
      <c r="F159" s="3"/>
      <c r="G159" s="23" t="s">
        <v>803</v>
      </c>
      <c r="H159" s="23" t="s">
        <v>804</v>
      </c>
      <c r="I159" s="34" t="s">
        <v>805</v>
      </c>
      <c r="J159" s="15"/>
      <c r="K159" s="15"/>
      <c r="L159" s="15"/>
      <c r="M159" s="15"/>
      <c r="N159" s="15"/>
      <c r="O159" s="15"/>
      <c r="P159" s="15"/>
      <c r="Q159" s="15"/>
      <c r="R159" s="15"/>
      <c r="S159" s="15"/>
      <c r="T159" s="2"/>
      <c r="U159" s="2"/>
      <c r="V159" s="2"/>
      <c r="W159" s="2"/>
      <c r="X159" s="115"/>
      <c r="Y159" s="115"/>
      <c r="Z159" s="116"/>
      <c r="AA159" s="116"/>
    </row>
    <row r="160" spans="1:27" ht="42" hidden="1" customHeight="1" outlineLevel="1">
      <c r="A160" s="15"/>
      <c r="B160" s="887" t="s">
        <v>802</v>
      </c>
      <c r="C160" s="887"/>
      <c r="D160" s="314"/>
      <c r="E160" s="994"/>
      <c r="F160" s="15"/>
      <c r="G160" s="128" t="str">
        <f>IF($D159="","",'Financial activity types '!$D$11)</f>
        <v/>
      </c>
      <c r="H160" s="128" t="str">
        <f>IF($D159="","",'Financial activity types '!$C$13)</f>
        <v/>
      </c>
      <c r="I160" s="128" t="str">
        <f>IF($D159="","",'Financial activity types '!$C$7)</f>
        <v/>
      </c>
      <c r="J160" s="15"/>
      <c r="K160" s="15"/>
      <c r="L160" s="15"/>
      <c r="M160" s="15"/>
      <c r="N160" s="15"/>
      <c r="O160" s="15"/>
      <c r="P160" s="15"/>
      <c r="Q160" s="15"/>
      <c r="R160" s="15"/>
      <c r="S160" s="15"/>
      <c r="T160" s="2"/>
      <c r="U160" s="2"/>
      <c r="V160" s="2"/>
      <c r="W160" s="2"/>
      <c r="X160" s="115"/>
      <c r="Y160" s="115"/>
      <c r="Z160" s="116"/>
      <c r="AA160" s="116"/>
    </row>
    <row r="161" spans="1:35" ht="15" hidden="1" customHeight="1" outlineLevel="1"/>
    <row r="162" spans="1:35" ht="26" hidden="1" customHeight="1" outlineLevel="1" collapsed="1">
      <c r="A162" s="852" t="s">
        <v>355</v>
      </c>
      <c r="B162" s="852"/>
      <c r="C162" s="852"/>
      <c r="D162" s="852"/>
      <c r="E162" s="852"/>
      <c r="F162" s="852"/>
      <c r="G162" s="852"/>
      <c r="H162" s="852"/>
      <c r="I162" s="852"/>
      <c r="J162" s="852"/>
      <c r="K162" s="852"/>
      <c r="L162" s="852"/>
      <c r="M162" s="852"/>
      <c r="N162" s="852"/>
      <c r="O162" s="852"/>
      <c r="P162" s="852"/>
      <c r="Q162" s="852"/>
      <c r="R162" s="852"/>
      <c r="S162" s="852"/>
      <c r="T162" s="852"/>
      <c r="U162" s="852"/>
      <c r="V162" s="852"/>
      <c r="W162" s="71"/>
      <c r="X162" s="112"/>
      <c r="Y162" s="112"/>
      <c r="Z162" s="112"/>
      <c r="AA162" s="112"/>
    </row>
    <row r="163" spans="1:35" s="117" customFormat="1" ht="6.75" hidden="1" customHeight="1" outlineLevel="2">
      <c r="A163" s="63"/>
      <c r="B163" s="63"/>
      <c r="C163" s="63"/>
      <c r="D163" s="561"/>
      <c r="E163" s="889"/>
      <c r="F163" s="889"/>
      <c r="G163" s="561"/>
      <c r="H163" s="561"/>
      <c r="I163" s="561"/>
      <c r="J163" s="561"/>
      <c r="K163" s="561"/>
      <c r="L163" s="561"/>
      <c r="M163" s="561"/>
      <c r="N163" s="561"/>
      <c r="O163" s="561"/>
      <c r="P163" s="561"/>
      <c r="Q163" s="561"/>
      <c r="R163" s="561"/>
      <c r="S163" s="561"/>
      <c r="T163" s="561"/>
      <c r="U163" s="561"/>
      <c r="V163" s="561"/>
      <c r="W163" s="63"/>
    </row>
    <row r="164" spans="1:35" ht="15.75" hidden="1" customHeight="1" outlineLevel="2">
      <c r="A164" s="867" t="s">
        <v>356</v>
      </c>
      <c r="B164" s="867"/>
      <c r="C164" s="867"/>
      <c r="D164" s="867"/>
      <c r="E164" s="556"/>
      <c r="F164" s="556"/>
      <c r="G164" s="556"/>
      <c r="H164" s="556"/>
      <c r="I164" s="556"/>
      <c r="J164" s="556"/>
      <c r="K164" s="556"/>
      <c r="L164" s="556"/>
      <c r="M164" s="556"/>
      <c r="N164" s="556"/>
      <c r="O164" s="556"/>
      <c r="P164" s="556"/>
      <c r="Q164" s="556"/>
      <c r="R164" s="556"/>
      <c r="S164" s="556"/>
      <c r="T164" s="556"/>
      <c r="U164" s="556"/>
      <c r="V164" s="556"/>
      <c r="W164" s="19"/>
      <c r="X164" s="114"/>
      <c r="Y164" s="114"/>
      <c r="Z164" s="114"/>
      <c r="AA164" s="114"/>
    </row>
    <row r="165" spans="1:35" ht="32.75" hidden="1" customHeight="1" outlineLevel="2" collapsed="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14"/>
      <c r="Y165" s="114"/>
      <c r="Z165" s="114"/>
      <c r="AA165" s="114"/>
    </row>
    <row r="166" spans="1:35" ht="67.5" hidden="1" customHeight="1" outlineLevel="3">
      <c r="A166" s="126"/>
      <c r="B166" s="127"/>
      <c r="C166" s="15"/>
      <c r="D166" s="15"/>
      <c r="E166" s="15"/>
      <c r="F166" s="25"/>
      <c r="G166" s="15"/>
      <c r="H166" s="15"/>
      <c r="I166" s="15"/>
      <c r="J166" s="15"/>
      <c r="K166" s="15"/>
      <c r="L166" s="15"/>
      <c r="M166" s="859" t="s">
        <v>357</v>
      </c>
      <c r="N166" s="859"/>
      <c r="O166" s="859"/>
      <c r="P166" s="859"/>
      <c r="Q166" s="859"/>
      <c r="R166" s="859"/>
      <c r="S166" s="859"/>
      <c r="T166" s="859"/>
      <c r="U166" s="859"/>
      <c r="V166" s="859"/>
      <c r="W166" s="17"/>
      <c r="X166" s="110"/>
      <c r="Y166" s="110"/>
      <c r="AF166" s="972"/>
      <c r="AG166" s="972"/>
      <c r="AH166" s="972"/>
      <c r="AI166" s="972"/>
    </row>
    <row r="167" spans="1:35" ht="12.75" hidden="1" customHeight="1" outlineLevel="3">
      <c r="AF167" s="118"/>
      <c r="AG167" s="118"/>
      <c r="AH167" s="118"/>
      <c r="AI167" s="118"/>
    </row>
    <row r="168" spans="1:35" ht="34.5" hidden="1" customHeight="1" outlineLevel="3">
      <c r="A168" s="885" t="s">
        <v>99</v>
      </c>
      <c r="B168" s="885"/>
      <c r="C168" s="912" t="s">
        <v>364</v>
      </c>
      <c r="D168" s="885" t="s">
        <v>365</v>
      </c>
      <c r="E168" s="885"/>
      <c r="F168" s="885"/>
      <c r="G168" s="885"/>
      <c r="H168" s="885"/>
      <c r="I168" s="885"/>
      <c r="J168" s="885"/>
      <c r="K168" s="885"/>
      <c r="L168" s="798" t="s">
        <v>809</v>
      </c>
      <c r="M168" s="834" t="s">
        <v>366</v>
      </c>
      <c r="N168" s="868"/>
      <c r="O168" s="868"/>
      <c r="P168" s="868"/>
      <c r="Q168" s="868"/>
      <c r="R168" s="835"/>
      <c r="S168" s="885" t="s">
        <v>367</v>
      </c>
      <c r="T168" s="885"/>
      <c r="U168" s="885"/>
      <c r="V168" s="885"/>
      <c r="AD168" s="119"/>
    </row>
    <row r="169" spans="1:35" ht="52.5" hidden="1" customHeight="1" outlineLevel="3">
      <c r="A169" s="885"/>
      <c r="B169" s="885"/>
      <c r="C169" s="912"/>
      <c r="D169" s="36" t="s">
        <v>106</v>
      </c>
      <c r="E169" s="554" t="s">
        <v>101</v>
      </c>
      <c r="F169" s="554" t="s">
        <v>102</v>
      </c>
      <c r="G169" s="558" t="s">
        <v>103</v>
      </c>
      <c r="H169" s="558" t="s">
        <v>104</v>
      </c>
      <c r="I169" s="554" t="s">
        <v>105</v>
      </c>
      <c r="J169" s="798" t="s">
        <v>807</v>
      </c>
      <c r="K169" s="798" t="s">
        <v>808</v>
      </c>
      <c r="L169" s="798"/>
      <c r="M169" s="885" t="s">
        <v>810</v>
      </c>
      <c r="N169" s="798" t="s">
        <v>811</v>
      </c>
      <c r="O169" s="798" t="s">
        <v>812</v>
      </c>
      <c r="P169" s="798" t="s">
        <v>813</v>
      </c>
      <c r="Q169" s="869" t="s">
        <v>814</v>
      </c>
      <c r="R169" s="870"/>
      <c r="S169" s="885" t="s">
        <v>810</v>
      </c>
      <c r="T169" s="885" t="s">
        <v>811</v>
      </c>
      <c r="U169" s="885" t="s">
        <v>812</v>
      </c>
      <c r="V169" s="798" t="s">
        <v>813</v>
      </c>
      <c r="AD169" s="119"/>
    </row>
    <row r="170" spans="1:35" ht="34.5" hidden="1" customHeight="1" outlineLevel="3">
      <c r="A170" s="885"/>
      <c r="B170" s="885"/>
      <c r="C170" s="912"/>
      <c r="D170" s="40" t="s">
        <v>806</v>
      </c>
      <c r="E170" s="928" t="s">
        <v>806</v>
      </c>
      <c r="F170" s="929"/>
      <c r="G170" s="929"/>
      <c r="H170" s="929"/>
      <c r="I170" s="929"/>
      <c r="J170" s="798"/>
      <c r="K170" s="798"/>
      <c r="L170" s="798"/>
      <c r="M170" s="885"/>
      <c r="N170" s="798"/>
      <c r="O170" s="798"/>
      <c r="P170" s="798"/>
      <c r="Q170" s="871"/>
      <c r="R170" s="872"/>
      <c r="S170" s="885"/>
      <c r="T170" s="885"/>
      <c r="U170" s="885"/>
      <c r="V170" s="798"/>
      <c r="AD170" s="119"/>
    </row>
    <row r="171" spans="1:35" ht="48" hidden="1" customHeight="1" outlineLevel="3">
      <c r="A171" s="954" t="s">
        <v>113</v>
      </c>
      <c r="B171" s="954"/>
      <c r="C171" s="901" t="s">
        <v>356</v>
      </c>
      <c r="D171" s="557" t="str" cm="1">
        <f t="array" ref="D171">IF($G$160="","",SUMPRODUCT(('AOI Segmentation'!$M$20:$M$51=TRUE)*($A171='AOI Segmentation'!$AK$20:$AK$51)*('Climate-Alignment Target'!D$169='AOI Segmentation'!$Q$19:$V$19)*('AOI Segmentation'!$Q$20:$V$51)))</f>
        <v/>
      </c>
      <c r="E171" s="557" t="str" cm="1">
        <f t="array" ref="E171">IF($G$160="","",SUMPRODUCT(('AOI Segmentation'!$M$20:$M$51=TRUE)*($A171='AOI Segmentation'!$AK$20:$AK$51)*('Climate-Alignment Target'!E$169='AOI Segmentation'!$Q$19:$V$19)*('AOI Segmentation'!$Q$20:$V$51)))</f>
        <v/>
      </c>
      <c r="F171" s="557" t="str" cm="1">
        <f t="array" ref="F171">IF($G$160="","",SUMPRODUCT(('AOI Segmentation'!$M$20:$M$51=TRUE)*($A171='AOI Segmentation'!$AK$20:$AK$51)*('Climate-Alignment Target'!F$169='AOI Segmentation'!$Q$19:$V$19)*('AOI Segmentation'!$Q$20:$V$51)))</f>
        <v/>
      </c>
      <c r="G171" s="557" t="str" cm="1">
        <f t="array" ref="G171">IF($G$160="","",SUMPRODUCT(('AOI Segmentation'!$M$20:$M$51=TRUE)*($A171='AOI Segmentation'!$AK$20:$AK$51)*('Climate-Alignment Target'!G$169='AOI Segmentation'!$Q$19:$V$19)*('AOI Segmentation'!$Q$20:$V$51)))</f>
        <v/>
      </c>
      <c r="H171" s="557" t="str" cm="1">
        <f t="array" ref="H171">IF($G$160="","",SUMPRODUCT(('AOI Segmentation'!$M$20:$M$51=TRUE)*($A171='AOI Segmentation'!$AK$20:$AK$51)*('Climate-Alignment Target'!H$169='AOI Segmentation'!$Q$19:$V$19)*('AOI Segmentation'!$Q$20:$V$51)))</f>
        <v/>
      </c>
      <c r="I171" s="557" t="str" cm="1">
        <f t="array" ref="I171">IF($G$160="","",SUMPRODUCT(('AOI Segmentation'!$M$20:$M$51=TRUE)*($A171='AOI Segmentation'!$AK$20:$AK$51)*('Climate-Alignment Target'!I$169='AOI Segmentation'!$Q$19:$V$19)*('AOI Segmentation'!$Q$20:$V$51)))</f>
        <v/>
      </c>
      <c r="J171" s="557">
        <f t="shared" ref="J171:J174" si="103">IF(D171=0,"",SUM(E171:I171))</f>
        <v>0</v>
      </c>
      <c r="K171" s="557" t="e">
        <f>IF(D171=0,"",IF(D171-J171=0,"OK","Review financial exposure"))</f>
        <v>#VALUE!</v>
      </c>
      <c r="L171" s="562">
        <f>IF(SUM(E171:I171)=0,0,(G171+H171+I171)/(SUM(E171:I171)))</f>
        <v>0</v>
      </c>
      <c r="M171" s="915"/>
      <c r="N171" s="563"/>
      <c r="O171" s="562" t="str">
        <f>IF($M$171="","",IF(D171=0,"",IF(L171&gt;=$Z171,L171,(L171+($Z171-L171)/($Y171-$I$160)*($M$171-$I$160)))))</f>
        <v/>
      </c>
      <c r="P171" s="560" t="str">
        <f>IF(N171="","",IF(N171-O171&gt;=0,"OK","Minimum ambition not met, please increase ambition"))</f>
        <v/>
      </c>
      <c r="Q171" s="873" t="str">
        <f>IFERROR(IF(M171="","",SUMPRODUCT(J171:J174,N171:N174)/SUM(J171:J174)),"")</f>
        <v/>
      </c>
      <c r="R171" s="874"/>
      <c r="S171" s="955"/>
      <c r="T171" s="986"/>
      <c r="U171" s="897" t="str">
        <f>IF(S171="","",95%)</f>
        <v/>
      </c>
      <c r="V171" s="898" t="str">
        <f>IF(T171="","",IF(T171-U171&gt;=0,"OK","Minimum ambition not met, please increase ambition"))</f>
        <v/>
      </c>
      <c r="X171" s="113" t="s">
        <v>368</v>
      </c>
      <c r="Y171" s="113">
        <f t="shared" ref="Y171:Y174" si="104">_xlfn.XLOOKUP($X171,$AB$17:$AB$24,AE$17:AE$24,0,0)</f>
        <v>2035</v>
      </c>
      <c r="Z171" s="113">
        <f t="shared" ref="Z171:Z174" si="105">_xlfn.XLOOKUP($X171,$AB$17:$AB$24,AF$17:AF$24,0,0)</f>
        <v>0.95</v>
      </c>
      <c r="AD171" s="119"/>
      <c r="AI171" s="120" t="s">
        <v>413</v>
      </c>
    </row>
    <row r="172" spans="1:35" ht="48" hidden="1" customHeight="1" outlineLevel="3">
      <c r="A172" s="954" t="s">
        <v>121</v>
      </c>
      <c r="B172" s="954"/>
      <c r="C172" s="901"/>
      <c r="D172" s="557" t="str" cm="1">
        <f t="array" ref="D172">IF($G$160="","",SUMPRODUCT(('AOI Segmentation'!$M$20:$M$51=TRUE)*($A172='AOI Segmentation'!$AK$20:$AK$51)*('Climate-Alignment Target'!D$169='AOI Segmentation'!$Q$19:$V$19)*('AOI Segmentation'!$Q$20:$V$51)))</f>
        <v/>
      </c>
      <c r="E172" s="557" t="str" cm="1">
        <f t="array" ref="E172">IF($G$160="","",SUMPRODUCT(('AOI Segmentation'!$M$20:$M$51=TRUE)*($A172='AOI Segmentation'!$AK$20:$AK$51)*('Climate-Alignment Target'!E$169='AOI Segmentation'!$Q$19:$V$19)*('AOI Segmentation'!$Q$20:$V$51)))</f>
        <v/>
      </c>
      <c r="F172" s="557" t="str" cm="1">
        <f t="array" ref="F172">IF($G$160="","",SUMPRODUCT(('AOI Segmentation'!$M$20:$M$51=TRUE)*($A172='AOI Segmentation'!$AK$20:$AK$51)*('Climate-Alignment Target'!F$169='AOI Segmentation'!$Q$19:$V$19)*('AOI Segmentation'!$Q$20:$V$51)))</f>
        <v/>
      </c>
      <c r="G172" s="557" t="str" cm="1">
        <f t="array" ref="G172">IF($G$160="","",SUMPRODUCT(('AOI Segmentation'!$M$20:$M$51=TRUE)*($A172='AOI Segmentation'!$AK$20:$AK$51)*('Climate-Alignment Target'!G$169='AOI Segmentation'!$Q$19:$V$19)*('AOI Segmentation'!$Q$20:$V$51)))</f>
        <v/>
      </c>
      <c r="H172" s="557" t="str" cm="1">
        <f t="array" ref="H172">IF($G$160="","",SUMPRODUCT(('AOI Segmentation'!$M$20:$M$51=TRUE)*($A172='AOI Segmentation'!$AK$20:$AK$51)*('Climate-Alignment Target'!H$169='AOI Segmentation'!$Q$19:$V$19)*('AOI Segmentation'!$Q$20:$V$51)))</f>
        <v/>
      </c>
      <c r="I172" s="557" t="str" cm="1">
        <f t="array" ref="I172">IF($G$160="","",SUMPRODUCT(('AOI Segmentation'!$M$20:$M$51=TRUE)*($A172='AOI Segmentation'!$AK$20:$AK$51)*('Climate-Alignment Target'!I$169='AOI Segmentation'!$Q$19:$V$19)*('AOI Segmentation'!$Q$20:$V$51)))</f>
        <v/>
      </c>
      <c r="J172" s="557">
        <f t="shared" si="103"/>
        <v>0</v>
      </c>
      <c r="K172" s="557" t="e">
        <f t="shared" ref="K172:K174" si="106">IF(D172=0,"",IF(D172-J172=0,"OK","Review financial exposure"))</f>
        <v>#VALUE!</v>
      </c>
      <c r="L172" s="562">
        <f>IF(SUM(E172:I172)=0,0,(G172+H172+I172)/(SUM(E172:I172)))</f>
        <v>0</v>
      </c>
      <c r="M172" s="915"/>
      <c r="N172" s="563"/>
      <c r="O172" s="562" t="str">
        <f t="shared" ref="O172:O174" si="107">IF($M$171="","",IF(D172=0,"",IF(L172&gt;=$Z172,L172,(L172+($Z172-L172)/($Y172-$I$160)*($M$171-$I$160)))))</f>
        <v/>
      </c>
      <c r="P172" s="560" t="str">
        <f>IF(N172="","",IF(N172-O172&gt;=0,"OK","Minimum ambition not met, please increase ambition"))</f>
        <v/>
      </c>
      <c r="Q172" s="875"/>
      <c r="R172" s="876"/>
      <c r="S172" s="956"/>
      <c r="T172" s="986"/>
      <c r="U172" s="897"/>
      <c r="V172" s="898"/>
      <c r="X172" s="113" t="s">
        <v>373</v>
      </c>
      <c r="Y172" s="113">
        <f t="shared" si="104"/>
        <v>2040</v>
      </c>
      <c r="Z172" s="113">
        <f t="shared" si="105"/>
        <v>0.95</v>
      </c>
      <c r="AD172" s="119"/>
      <c r="AI172" s="120"/>
    </row>
    <row r="173" spans="1:35" ht="48" hidden="1" customHeight="1" outlineLevel="3">
      <c r="A173" s="954" t="s">
        <v>130</v>
      </c>
      <c r="B173" s="954"/>
      <c r="C173" s="901"/>
      <c r="D173" s="557" t="str" cm="1">
        <f t="array" ref="D173">IF($G$160="","",SUMPRODUCT(('AOI Segmentation'!$M$20:$M$51=TRUE)*($A173='AOI Segmentation'!$AK$20:$AK$51)*('Climate-Alignment Target'!D$169='AOI Segmentation'!$Q$19:$V$19)*('AOI Segmentation'!$Q$20:$V$51)))</f>
        <v/>
      </c>
      <c r="E173" s="557" t="str" cm="1">
        <f t="array" ref="E173">IF($G$160="","",SUMPRODUCT(('AOI Segmentation'!$M$20:$M$51=TRUE)*($A173='AOI Segmentation'!$AK$20:$AK$51)*('Climate-Alignment Target'!E$169='AOI Segmentation'!$Q$19:$V$19)*('AOI Segmentation'!$Q$20:$V$51)))</f>
        <v/>
      </c>
      <c r="F173" s="557" t="str" cm="1">
        <f t="array" ref="F173">IF($G$160="","",SUMPRODUCT(('AOI Segmentation'!$M$20:$M$51=TRUE)*($A173='AOI Segmentation'!$AK$20:$AK$51)*('Climate-Alignment Target'!F$169='AOI Segmentation'!$Q$19:$V$19)*('AOI Segmentation'!$Q$20:$V$51)))</f>
        <v/>
      </c>
      <c r="G173" s="557" t="str" cm="1">
        <f t="array" ref="G173">IF($G$160="","",SUMPRODUCT(('AOI Segmentation'!$M$20:$M$51=TRUE)*($A173='AOI Segmentation'!$AK$20:$AK$51)*('Climate-Alignment Target'!G$169='AOI Segmentation'!$Q$19:$V$19)*('AOI Segmentation'!$Q$20:$V$51)))</f>
        <v/>
      </c>
      <c r="H173" s="557" t="str" cm="1">
        <f t="array" ref="H173">IF($G$160="","",SUMPRODUCT(('AOI Segmentation'!$M$20:$M$51=TRUE)*($A173='AOI Segmentation'!$AK$20:$AK$51)*('Climate-Alignment Target'!H$169='AOI Segmentation'!$Q$19:$V$19)*('AOI Segmentation'!$Q$20:$V$51)))</f>
        <v/>
      </c>
      <c r="I173" s="557" t="str" cm="1">
        <f t="array" ref="I173">IF($G$160="","",SUMPRODUCT(('AOI Segmentation'!$M$20:$M$51=TRUE)*($A173='AOI Segmentation'!$AK$20:$AK$51)*('Climate-Alignment Target'!I$169='AOI Segmentation'!$Q$19:$V$19)*('AOI Segmentation'!$Q$20:$V$51)))</f>
        <v/>
      </c>
      <c r="J173" s="557">
        <f t="shared" si="103"/>
        <v>0</v>
      </c>
      <c r="K173" s="557" t="e">
        <f t="shared" si="106"/>
        <v>#VALUE!</v>
      </c>
      <c r="L173" s="562">
        <f>IF(SUM(E173:I173)=0,0,(G173+H173+I173)/(SUM(E173:I173)))</f>
        <v>0</v>
      </c>
      <c r="M173" s="915"/>
      <c r="N173" s="563"/>
      <c r="O173" s="562" t="str">
        <f t="shared" si="107"/>
        <v/>
      </c>
      <c r="P173" s="560" t="str">
        <f>IF(N173="","",IF(N173-O173&gt;=0,"OK","Minimum ambition not met, please increase ambition"))</f>
        <v/>
      </c>
      <c r="Q173" s="875"/>
      <c r="R173" s="876"/>
      <c r="S173" s="956"/>
      <c r="T173" s="986"/>
      <c r="U173" s="897"/>
      <c r="V173" s="898"/>
      <c r="X173" s="113" t="s">
        <v>376</v>
      </c>
      <c r="Y173" s="113">
        <f t="shared" si="104"/>
        <v>2040</v>
      </c>
      <c r="Z173" s="113">
        <f t="shared" si="105"/>
        <v>0.95</v>
      </c>
      <c r="AD173" s="119"/>
      <c r="AI173" s="120"/>
    </row>
    <row r="174" spans="1:35" ht="48" hidden="1" customHeight="1" outlineLevel="3">
      <c r="A174" s="954" t="s">
        <v>136</v>
      </c>
      <c r="B174" s="954"/>
      <c r="C174" s="901"/>
      <c r="D174" s="557" t="str" cm="1">
        <f t="array" ref="D174">IF($G$160="","",SUMPRODUCT(('AOI Segmentation'!$M$20:$M$51=TRUE)*($A174='AOI Segmentation'!$AK$20:$AK$51)*('Climate-Alignment Target'!D$169='AOI Segmentation'!$Q$19:$V$19)*('AOI Segmentation'!$Q$20:$V$51)))</f>
        <v/>
      </c>
      <c r="E174" s="557" t="str" cm="1">
        <f t="array" ref="E174">IF($G$160="","",SUMPRODUCT(('AOI Segmentation'!$M$20:$M$51=TRUE)*($A174='AOI Segmentation'!$AK$20:$AK$51)*('Climate-Alignment Target'!E$169='AOI Segmentation'!$Q$19:$V$19)*('AOI Segmentation'!$Q$20:$V$51)))</f>
        <v/>
      </c>
      <c r="F174" s="557" t="str" cm="1">
        <f t="array" ref="F174">IF($G$160="","",SUMPRODUCT(('AOI Segmentation'!$M$20:$M$51=TRUE)*($A174='AOI Segmentation'!$AK$20:$AK$51)*('Climate-Alignment Target'!F$169='AOI Segmentation'!$Q$19:$V$19)*('AOI Segmentation'!$Q$20:$V$51)))</f>
        <v/>
      </c>
      <c r="G174" s="557" t="str" cm="1">
        <f t="array" ref="G174">IF($G$160="","",SUMPRODUCT(('AOI Segmentation'!$M$20:$M$51=TRUE)*($A174='AOI Segmentation'!$AK$20:$AK$51)*('Climate-Alignment Target'!G$169='AOI Segmentation'!$Q$19:$V$19)*('AOI Segmentation'!$Q$20:$V$51)))</f>
        <v/>
      </c>
      <c r="H174" s="557" t="str" cm="1">
        <f t="array" ref="H174">IF($G$160="","",SUMPRODUCT(('AOI Segmentation'!$M$20:$M$51=TRUE)*($A174='AOI Segmentation'!$AK$20:$AK$51)*('Climate-Alignment Target'!H$169='AOI Segmentation'!$Q$19:$V$19)*('AOI Segmentation'!$Q$20:$V$51)))</f>
        <v/>
      </c>
      <c r="I174" s="557" t="str" cm="1">
        <f t="array" ref="I174">IF($G$160="","",SUMPRODUCT(('AOI Segmentation'!$M$20:$M$51=TRUE)*($A174='AOI Segmentation'!$AK$20:$AK$51)*('Climate-Alignment Target'!I$169='AOI Segmentation'!$Q$19:$V$19)*('AOI Segmentation'!$Q$20:$V$51)))</f>
        <v/>
      </c>
      <c r="J174" s="557">
        <f t="shared" si="103"/>
        <v>0</v>
      </c>
      <c r="K174" s="557" t="e">
        <f t="shared" si="106"/>
        <v>#VALUE!</v>
      </c>
      <c r="L174" s="562">
        <f>IF(SUM(E174:I174)=0,0,(G174+H174+I174)/(SUM(E174:I174)))</f>
        <v>0</v>
      </c>
      <c r="M174" s="915"/>
      <c r="N174" s="563"/>
      <c r="O174" s="562" t="str">
        <f t="shared" si="107"/>
        <v/>
      </c>
      <c r="P174" s="560" t="str">
        <f>IF(N174="","",IF(N174-O174&gt;=0,"OK","Minimum ambition not met, please increase ambition"))</f>
        <v/>
      </c>
      <c r="Q174" s="877"/>
      <c r="R174" s="878"/>
      <c r="S174" s="956"/>
      <c r="T174" s="986"/>
      <c r="U174" s="897"/>
      <c r="V174" s="898"/>
      <c r="X174" s="113" t="s">
        <v>378</v>
      </c>
      <c r="Y174" s="113">
        <f t="shared" si="104"/>
        <v>2050</v>
      </c>
      <c r="Z174" s="113">
        <f t="shared" si="105"/>
        <v>0.95</v>
      </c>
      <c r="AD174" s="119"/>
    </row>
    <row r="175" spans="1:35" ht="27.75" hidden="1" customHeight="1" outlineLevel="2">
      <c r="A175" s="315"/>
      <c r="B175" s="315"/>
      <c r="C175" s="316"/>
      <c r="D175" s="317"/>
      <c r="E175" s="318"/>
      <c r="F175" s="319"/>
      <c r="G175" s="319"/>
      <c r="H175" s="319"/>
      <c r="I175" s="319"/>
      <c r="J175" s="319"/>
      <c r="K175" s="319"/>
      <c r="L175" s="319"/>
      <c r="M175" s="319"/>
      <c r="N175" s="320"/>
      <c r="O175" s="318"/>
      <c r="P175" s="320"/>
      <c r="Q175" s="320"/>
      <c r="R175" s="320"/>
      <c r="S175" s="16"/>
      <c r="T175" s="321"/>
      <c r="U175" s="322"/>
      <c r="V175" s="320"/>
      <c r="W175" s="320"/>
      <c r="X175" s="323"/>
      <c r="AG175" s="119"/>
    </row>
    <row r="176" spans="1:35" ht="15.75" hidden="1" customHeight="1" outlineLevel="2">
      <c r="A176" s="867" t="s">
        <v>380</v>
      </c>
      <c r="B176" s="867"/>
      <c r="C176" s="867"/>
      <c r="D176" s="867"/>
      <c r="E176" s="556"/>
      <c r="F176" s="556"/>
      <c r="G176" s="556"/>
      <c r="H176" s="556"/>
      <c r="I176" s="556"/>
      <c r="J176" s="556"/>
      <c r="K176" s="556"/>
      <c r="L176" s="556"/>
      <c r="M176" s="556"/>
      <c r="N176" s="556"/>
      <c r="O176" s="556"/>
      <c r="P176" s="556"/>
      <c r="Q176" s="556"/>
      <c r="R176" s="556"/>
      <c r="S176" s="556"/>
      <c r="T176" s="556"/>
      <c r="U176" s="556"/>
      <c r="V176" s="556"/>
      <c r="W176" s="19"/>
      <c r="X176" s="114"/>
      <c r="Y176" s="114"/>
    </row>
    <row r="177" spans="1:36" ht="6" hidden="1" customHeight="1" outlineLevel="2">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14"/>
      <c r="Y177" s="114"/>
    </row>
    <row r="178" spans="1:36" ht="34.5" hidden="1" customHeight="1" outlineLevel="2" collapsed="1">
      <c r="A178" s="19"/>
      <c r="B178" s="19"/>
      <c r="C178" s="19"/>
      <c r="D178" s="19"/>
      <c r="E178" s="859" t="s">
        <v>381</v>
      </c>
      <c r="F178" s="859"/>
      <c r="G178" s="859"/>
      <c r="H178" s="859"/>
      <c r="I178" s="859"/>
      <c r="J178" s="19"/>
      <c r="K178" s="19"/>
      <c r="L178" s="19"/>
      <c r="M178" s="859" t="s">
        <v>357</v>
      </c>
      <c r="N178" s="859"/>
      <c r="O178" s="859"/>
      <c r="P178" s="859"/>
      <c r="Q178" s="859"/>
      <c r="R178" s="859"/>
      <c r="S178" s="859"/>
      <c r="T178" s="859"/>
      <c r="U178" s="859"/>
      <c r="V178" s="859"/>
    </row>
    <row r="179" spans="1:36" ht="15.75" hidden="1" customHeight="1" outlineLevel="3">
      <c r="A179" s="324"/>
      <c r="B179" s="324"/>
      <c r="C179" s="325"/>
      <c r="D179" s="325"/>
      <c r="E179" s="326"/>
      <c r="F179" s="326"/>
      <c r="G179" s="326"/>
      <c r="H179" s="326"/>
      <c r="I179" s="326"/>
      <c r="J179" s="326"/>
      <c r="K179" s="326"/>
      <c r="L179" s="326"/>
      <c r="M179" s="328"/>
      <c r="N179" s="328"/>
      <c r="O179" s="328"/>
      <c r="P179" s="327"/>
      <c r="Q179" s="327"/>
      <c r="R179" s="327"/>
      <c r="S179" s="341"/>
      <c r="T179" s="326"/>
      <c r="U179" s="326"/>
      <c r="V179" s="16"/>
      <c r="W179" s="327"/>
      <c r="X179" s="323"/>
    </row>
    <row r="180" spans="1:36" ht="36" hidden="1" customHeight="1" outlineLevel="3">
      <c r="A180" s="960" t="s">
        <v>99</v>
      </c>
      <c r="B180" s="961"/>
      <c r="C180" s="964" t="s">
        <v>364</v>
      </c>
      <c r="D180" s="879" t="s">
        <v>365</v>
      </c>
      <c r="E180" s="868"/>
      <c r="F180" s="868"/>
      <c r="G180" s="868"/>
      <c r="H180" s="868"/>
      <c r="I180" s="868"/>
      <c r="J180" s="868"/>
      <c r="K180" s="880"/>
      <c r="L180" s="714" t="s">
        <v>809</v>
      </c>
      <c r="M180" s="885" t="s">
        <v>366</v>
      </c>
      <c r="N180" s="885"/>
      <c r="O180" s="885"/>
      <c r="P180" s="885"/>
      <c r="Q180" s="885"/>
      <c r="R180" s="885"/>
      <c r="S180" s="885" t="s">
        <v>367</v>
      </c>
      <c r="T180" s="885"/>
      <c r="U180" s="885"/>
      <c r="V180" s="885"/>
    </row>
    <row r="181" spans="1:36" ht="54" hidden="1" customHeight="1" outlineLevel="3">
      <c r="A181" s="962"/>
      <c r="B181" s="963"/>
      <c r="C181" s="965"/>
      <c r="D181" s="36" t="s">
        <v>106</v>
      </c>
      <c r="E181" s="330" t="s">
        <v>101</v>
      </c>
      <c r="F181" s="330" t="s">
        <v>102</v>
      </c>
      <c r="G181" s="331" t="s">
        <v>103</v>
      </c>
      <c r="H181" s="331" t="s">
        <v>104</v>
      </c>
      <c r="I181" s="330" t="s">
        <v>105</v>
      </c>
      <c r="J181" s="798" t="s">
        <v>807</v>
      </c>
      <c r="K181" s="798" t="s">
        <v>808</v>
      </c>
      <c r="L181" s="798"/>
      <c r="M181" s="885" t="s">
        <v>810</v>
      </c>
      <c r="N181" s="798" t="s">
        <v>811</v>
      </c>
      <c r="O181" s="967" t="s">
        <v>828</v>
      </c>
      <c r="P181" s="798" t="s">
        <v>813</v>
      </c>
      <c r="Q181" s="879" t="s">
        <v>816</v>
      </c>
      <c r="R181" s="880"/>
      <c r="S181" s="885" t="s">
        <v>810</v>
      </c>
      <c r="T181" s="885" t="s">
        <v>811</v>
      </c>
      <c r="U181" s="885" t="s">
        <v>812</v>
      </c>
      <c r="V181" s="798" t="s">
        <v>813</v>
      </c>
    </row>
    <row r="182" spans="1:36" ht="36" hidden="1" customHeight="1" outlineLevel="3">
      <c r="A182" s="962"/>
      <c r="B182" s="963"/>
      <c r="C182" s="966"/>
      <c r="D182" s="40" t="s">
        <v>806</v>
      </c>
      <c r="E182" s="969" t="s">
        <v>817</v>
      </c>
      <c r="F182" s="970"/>
      <c r="G182" s="970"/>
      <c r="H182" s="970"/>
      <c r="I182" s="971"/>
      <c r="J182" s="798"/>
      <c r="K182" s="798"/>
      <c r="L182" s="798"/>
      <c r="M182" s="885"/>
      <c r="N182" s="798"/>
      <c r="O182" s="968"/>
      <c r="P182" s="798"/>
      <c r="Q182" s="38" t="s">
        <v>369</v>
      </c>
      <c r="R182" s="35" t="s">
        <v>372</v>
      </c>
      <c r="S182" s="885"/>
      <c r="T182" s="993"/>
      <c r="U182" s="885"/>
      <c r="V182" s="798"/>
    </row>
    <row r="183" spans="1:36" ht="48" hidden="1" customHeight="1" outlineLevel="3">
      <c r="A183" s="936" t="s">
        <v>113</v>
      </c>
      <c r="B183" s="936"/>
      <c r="C183" s="332" t="s">
        <v>369</v>
      </c>
      <c r="D183" s="937" t="str">
        <f>IF($D$160="Regional differentiation",D171,"")</f>
        <v/>
      </c>
      <c r="E183" s="4"/>
      <c r="F183" s="4"/>
      <c r="G183" s="4"/>
      <c r="H183" s="4"/>
      <c r="I183" s="4"/>
      <c r="J183" s="557">
        <f>SUM(E183:I183)</f>
        <v>0</v>
      </c>
      <c r="K183" s="939" t="str">
        <f>IF(D183="","",IF(D183-J183-J184=0,"OK","Review financial exposure"))</f>
        <v/>
      </c>
      <c r="L183" s="562">
        <f t="shared" ref="L183:L189" si="108">IF(SUM(E183:I183)=0,0,(G183+H183+I183)/(SUM(E183:I183)))</f>
        <v>0</v>
      </c>
      <c r="M183" s="941"/>
      <c r="N183" s="563"/>
      <c r="O183" s="562" t="str">
        <f>IF($M$183="","",IF(D183=0,"",IF(L183&gt;=$Z183,L183,(L183+($Z183-L183)/($Y183-$I$160)*($M$183-$I$160)))))</f>
        <v/>
      </c>
      <c r="P183" s="338" t="str">
        <f>IF(N183="","",IF(N183-O183&gt;=0,"OK","Minimum ambition not met, please increase ambition"))</f>
        <v/>
      </c>
      <c r="Q183" s="906" t="str">
        <f>IFERROR(IF($M183="","",($N183*$J183+$N185*$J185+$N187*$J187+$N189*$J189)/SUMIF($C183:$C190,"Developed economies",$J183:$J190)),"")</f>
        <v/>
      </c>
      <c r="R183" s="905" t="str">
        <f>IFERROR(IF($M183="","",($N184*$J184+$N186*$J186+$N188*$J188+$N190*$J190)/SUMIF($C183:$C190,"Developing economies",$J183:$J190)),"")</f>
        <v/>
      </c>
      <c r="S183" s="990"/>
      <c r="T183" s="986"/>
      <c r="U183" s="980" t="str">
        <f>IF(S183="","",95%)</f>
        <v/>
      </c>
      <c r="V183" s="983" t="str">
        <f>IF(T183="","",IF(T183-U183&gt;=0,"OK","Minimum ambition not met, please increase ambition"))</f>
        <v/>
      </c>
      <c r="X183" s="113" t="s">
        <v>368</v>
      </c>
      <c r="Y183" s="113">
        <f t="shared" ref="Y183:Y190" si="109">_xlfn.XLOOKUP($X183,$AB$17:$AB$24,AE$17:AE$24,0,0)</f>
        <v>2035</v>
      </c>
      <c r="Z183" s="113">
        <f t="shared" ref="Z183:Z190" si="110">_xlfn.XLOOKUP($X183,$AB$17:$AB$24,AF$17:AF$24,0,0)</f>
        <v>0.95</v>
      </c>
      <c r="AI183" s="120" t="s">
        <v>414</v>
      </c>
      <c r="AJ183" s="120" t="s">
        <v>415</v>
      </c>
    </row>
    <row r="184" spans="1:36" ht="48" hidden="1" customHeight="1" outlineLevel="3">
      <c r="A184" s="936"/>
      <c r="B184" s="936"/>
      <c r="C184" s="332" t="s">
        <v>372</v>
      </c>
      <c r="D184" s="938"/>
      <c r="E184" s="334"/>
      <c r="F184" s="334"/>
      <c r="G184" s="334"/>
      <c r="H184" s="334"/>
      <c r="I184" s="334"/>
      <c r="J184" s="335">
        <f>SUM(E184:I184)</f>
        <v>0</v>
      </c>
      <c r="K184" s="940"/>
      <c r="L184" s="336">
        <f t="shared" si="108"/>
        <v>0</v>
      </c>
      <c r="M184" s="942"/>
      <c r="N184" s="337"/>
      <c r="O184" s="562" t="str">
        <f>IF($M$183="","",IF(D183=0,"",IF(L184&gt;=$Z184,L184,(L184+($Z184-L184)/($Y184-$I$160)*($M$183-$I$160)))))</f>
        <v/>
      </c>
      <c r="P184" s="338" t="str">
        <f t="shared" ref="P184:P190" si="111">IF(N184="","",IF(N184-O184&gt;=0,"OK","Minimum ambition not met, please increase ambition"))</f>
        <v/>
      </c>
      <c r="Q184" s="906"/>
      <c r="R184" s="906"/>
      <c r="S184" s="991"/>
      <c r="T184" s="986"/>
      <c r="U184" s="981"/>
      <c r="V184" s="984"/>
      <c r="X184" s="113" t="s">
        <v>371</v>
      </c>
      <c r="Y184" s="113">
        <f t="shared" si="109"/>
        <v>2035</v>
      </c>
      <c r="Z184" s="113">
        <f t="shared" si="110"/>
        <v>0.85</v>
      </c>
    </row>
    <row r="185" spans="1:36" ht="48" hidden="1" customHeight="1" outlineLevel="3">
      <c r="A185" s="936" t="s">
        <v>121</v>
      </c>
      <c r="B185" s="936"/>
      <c r="C185" s="332" t="s">
        <v>369</v>
      </c>
      <c r="D185" s="937" t="str">
        <f>IF($D$160="Regional differentiation",D172,"")</f>
        <v/>
      </c>
      <c r="E185" s="4"/>
      <c r="F185" s="4"/>
      <c r="G185" s="4"/>
      <c r="H185" s="4"/>
      <c r="I185" s="4"/>
      <c r="J185" s="557">
        <f t="shared" ref="J185:J190" si="112">SUM(E185:I185)</f>
        <v>0</v>
      </c>
      <c r="K185" s="939" t="str">
        <f>IF(D185="","",IF(D185-J185-J186=0,"OK","Review financial exposure"))</f>
        <v/>
      </c>
      <c r="L185" s="562">
        <f>IF(SUM(E185:I185)=0,0,(G185+H185+I185)/(SUM(E185:I185)))</f>
        <v>0</v>
      </c>
      <c r="M185" s="942"/>
      <c r="N185" s="563"/>
      <c r="O185" s="562" t="str">
        <f>IF($M$183="","",IF(D185=0,"",IF(L185&gt;=$Z185,L185,(L185+($Z185-L185)/($Y185-$I$160)*($M$183-$I$160)))))</f>
        <v/>
      </c>
      <c r="P185" s="338" t="str">
        <f t="shared" si="111"/>
        <v/>
      </c>
      <c r="Q185" s="906"/>
      <c r="R185" s="906"/>
      <c r="S185" s="991"/>
      <c r="T185" s="986"/>
      <c r="U185" s="981"/>
      <c r="V185" s="984"/>
      <c r="X185" s="113" t="s">
        <v>373</v>
      </c>
      <c r="Y185" s="113">
        <f t="shared" si="109"/>
        <v>2040</v>
      </c>
      <c r="Z185" s="113">
        <f t="shared" si="110"/>
        <v>0.95</v>
      </c>
    </row>
    <row r="186" spans="1:36" ht="48" hidden="1" customHeight="1" outlineLevel="3">
      <c r="A186" s="936"/>
      <c r="B186" s="936"/>
      <c r="C186" s="332" t="s">
        <v>372</v>
      </c>
      <c r="D186" s="938"/>
      <c r="E186" s="334"/>
      <c r="F186" s="334"/>
      <c r="G186" s="334"/>
      <c r="H186" s="334"/>
      <c r="I186" s="334"/>
      <c r="J186" s="335">
        <f t="shared" si="112"/>
        <v>0</v>
      </c>
      <c r="K186" s="940"/>
      <c r="L186" s="336">
        <f>IF(SUM(E186:I186)=0,0,(G186+H186+I186)/(SUM(E186:I186)))</f>
        <v>0</v>
      </c>
      <c r="M186" s="942"/>
      <c r="N186" s="337"/>
      <c r="O186" s="562" t="str">
        <f>IF($M$183="","",IF(D185=0,"",IF(L186&gt;=$Z186,L186,(L186+($Z186-L186)/($Y186-$I$160)*($M$183-$I$160)))))</f>
        <v/>
      </c>
      <c r="P186" s="338" t="str">
        <f t="shared" si="111"/>
        <v/>
      </c>
      <c r="Q186" s="906"/>
      <c r="R186" s="906"/>
      <c r="S186" s="991"/>
      <c r="T186" s="986"/>
      <c r="U186" s="981"/>
      <c r="V186" s="984"/>
      <c r="X186" s="113" t="s">
        <v>374</v>
      </c>
      <c r="Y186" s="113">
        <f t="shared" si="109"/>
        <v>2040</v>
      </c>
      <c r="Z186" s="113">
        <f t="shared" si="110"/>
        <v>0.85</v>
      </c>
    </row>
    <row r="187" spans="1:36" ht="48" hidden="1" customHeight="1" outlineLevel="3">
      <c r="A187" s="936" t="s">
        <v>130</v>
      </c>
      <c r="B187" s="936"/>
      <c r="C187" s="332" t="s">
        <v>369</v>
      </c>
      <c r="D187" s="937" t="str">
        <f>IF($D$160="Regional differentiation",D173,"")</f>
        <v/>
      </c>
      <c r="E187" s="4"/>
      <c r="F187" s="4"/>
      <c r="G187" s="4"/>
      <c r="H187" s="4"/>
      <c r="I187" s="4"/>
      <c r="J187" s="557">
        <f t="shared" si="112"/>
        <v>0</v>
      </c>
      <c r="K187" s="939" t="str">
        <f>IF(D187="","",IF(D187-J187-J188=0,"OK","Review financial exposure"))</f>
        <v/>
      </c>
      <c r="L187" s="562">
        <f t="shared" si="108"/>
        <v>0</v>
      </c>
      <c r="M187" s="942"/>
      <c r="N187" s="563"/>
      <c r="O187" s="562" t="str">
        <f>IF($M$183="","",IF(D187=0,"",IF(L187&gt;=$Z187,L187,(L187+($Z187-L187)/($Y187-$I$160)*($M$183-$I$160)))))</f>
        <v/>
      </c>
      <c r="P187" s="338" t="str">
        <f t="shared" si="111"/>
        <v/>
      </c>
      <c r="Q187" s="906" t="str">
        <f t="shared" ref="Q187" si="113">IF(M187="","",IF(AND(N187="",N188="",N189="",N190=""),SUMPRODUCT(J187:J190,O187:O190)/SUM(J187:J190),SUMPRODUCT(J187:J190,N187:N190)/SUM(J187:J190)))</f>
        <v/>
      </c>
      <c r="R187" s="906"/>
      <c r="S187" s="991"/>
      <c r="T187" s="986"/>
      <c r="U187" s="981"/>
      <c r="V187" s="984"/>
      <c r="X187" s="113" t="s">
        <v>376</v>
      </c>
      <c r="Y187" s="113">
        <f t="shared" si="109"/>
        <v>2040</v>
      </c>
      <c r="Z187" s="113">
        <f t="shared" si="110"/>
        <v>0.95</v>
      </c>
    </row>
    <row r="188" spans="1:36" ht="48" hidden="1" customHeight="1" outlineLevel="3">
      <c r="A188" s="936"/>
      <c r="B188" s="936"/>
      <c r="C188" s="332" t="s">
        <v>372</v>
      </c>
      <c r="D188" s="938"/>
      <c r="E188" s="334"/>
      <c r="F188" s="334"/>
      <c r="G188" s="334"/>
      <c r="H188" s="334"/>
      <c r="I188" s="334"/>
      <c r="J188" s="335">
        <f t="shared" si="112"/>
        <v>0</v>
      </c>
      <c r="K188" s="940"/>
      <c r="L188" s="336">
        <f t="shared" si="108"/>
        <v>0</v>
      </c>
      <c r="M188" s="942"/>
      <c r="N188" s="337"/>
      <c r="O188" s="562" t="str">
        <f>IF($M$183="","",IF(D187=0,"",IF(L188&gt;=$Z188,L188,(L188+($Z188-L188)/($Y188-$I$160)*($M$183-$I$160)))))</f>
        <v/>
      </c>
      <c r="P188" s="338" t="str">
        <f t="shared" si="111"/>
        <v/>
      </c>
      <c r="Q188" s="906"/>
      <c r="R188" s="906"/>
      <c r="S188" s="991"/>
      <c r="T188" s="986"/>
      <c r="U188" s="981"/>
      <c r="V188" s="984"/>
      <c r="X188" s="113" t="s">
        <v>377</v>
      </c>
      <c r="Y188" s="113">
        <f t="shared" si="109"/>
        <v>2040</v>
      </c>
      <c r="Z188" s="113">
        <f t="shared" si="110"/>
        <v>0.85</v>
      </c>
    </row>
    <row r="189" spans="1:36" ht="48" hidden="1" customHeight="1" outlineLevel="3">
      <c r="A189" s="936" t="s">
        <v>136</v>
      </c>
      <c r="B189" s="936"/>
      <c r="C189" s="332" t="s">
        <v>369</v>
      </c>
      <c r="D189" s="937" t="str">
        <f>IF($D$160="Regional differentiation",D174,"")</f>
        <v/>
      </c>
      <c r="E189" s="4"/>
      <c r="F189" s="4"/>
      <c r="G189" s="4"/>
      <c r="H189" s="4"/>
      <c r="I189" s="4"/>
      <c r="J189" s="557">
        <f t="shared" si="112"/>
        <v>0</v>
      </c>
      <c r="K189" s="939" t="str">
        <f>IF(D189="","",IF(D189-J189-J190=0,"OK","Review financial exposure"))</f>
        <v/>
      </c>
      <c r="L189" s="562">
        <f t="shared" si="108"/>
        <v>0</v>
      </c>
      <c r="M189" s="942"/>
      <c r="N189" s="563"/>
      <c r="O189" s="562" t="str">
        <f>IF($M$183="","",IF(D189=0,"",IF(L189&gt;=$Z189,L189,(L189+($Z189-L189)/($Y189-$I$160)*($M$183-$I$160)))))</f>
        <v/>
      </c>
      <c r="P189" s="338" t="str">
        <f t="shared" si="111"/>
        <v/>
      </c>
      <c r="Q189" s="906"/>
      <c r="R189" s="906"/>
      <c r="S189" s="991"/>
      <c r="T189" s="986"/>
      <c r="U189" s="981"/>
      <c r="V189" s="984"/>
      <c r="X189" s="113" t="s">
        <v>378</v>
      </c>
      <c r="Y189" s="113">
        <f t="shared" si="109"/>
        <v>2050</v>
      </c>
      <c r="Z189" s="113">
        <f t="shared" si="110"/>
        <v>0.95</v>
      </c>
    </row>
    <row r="190" spans="1:36" ht="48" hidden="1" customHeight="1" outlineLevel="3">
      <c r="A190" s="936"/>
      <c r="B190" s="953"/>
      <c r="C190" s="333" t="s">
        <v>372</v>
      </c>
      <c r="D190" s="938"/>
      <c r="E190" s="334"/>
      <c r="F190" s="334"/>
      <c r="G190" s="334"/>
      <c r="H190" s="334"/>
      <c r="I190" s="334"/>
      <c r="J190" s="335">
        <f t="shared" si="112"/>
        <v>0</v>
      </c>
      <c r="K190" s="940"/>
      <c r="L190" s="336">
        <f>IF(SUM(E190:I190)=0,0,(G190+H190+I190)/(SUM(E190:I190)))</f>
        <v>0</v>
      </c>
      <c r="M190" s="943"/>
      <c r="N190" s="337"/>
      <c r="O190" s="562" t="str">
        <f>IF($M$183="","",IF(D189=0,"",IF(L190&gt;=$Z190,L190,(L190+($Z190-L190)/($Y190-$I$160)*($M$183-$I$160)))))</f>
        <v/>
      </c>
      <c r="P190" s="338" t="str">
        <f t="shared" si="111"/>
        <v/>
      </c>
      <c r="Q190" s="907"/>
      <c r="R190" s="907"/>
      <c r="S190" s="992"/>
      <c r="T190" s="986"/>
      <c r="U190" s="982"/>
      <c r="V190" s="985"/>
      <c r="X190" s="113" t="s">
        <v>379</v>
      </c>
      <c r="Y190" s="113">
        <f t="shared" si="109"/>
        <v>2050</v>
      </c>
      <c r="Z190" s="113">
        <f t="shared" si="110"/>
        <v>0.85</v>
      </c>
    </row>
    <row r="191" spans="1:36" ht="15.75" hidden="1" customHeight="1" outlineLevel="1">
      <c r="A191" s="1"/>
      <c r="B191" s="1"/>
      <c r="C191" s="1"/>
      <c r="D191" s="1"/>
      <c r="E191" s="1"/>
      <c r="F191" s="1"/>
      <c r="G191" s="1"/>
      <c r="H191" s="1"/>
      <c r="I191" s="1"/>
      <c r="J191" s="1"/>
      <c r="K191" s="1"/>
      <c r="L191" s="1"/>
      <c r="M191" s="1"/>
      <c r="N191" s="1"/>
      <c r="O191" s="1"/>
      <c r="P191" s="1"/>
      <c r="Q191" s="1"/>
      <c r="R191" s="1"/>
      <c r="S191" s="1"/>
      <c r="T191" s="1"/>
      <c r="U191" s="1"/>
      <c r="V191" s="1"/>
      <c r="W191" s="1"/>
      <c r="X191" s="121"/>
      <c r="Y191" s="121"/>
      <c r="Z191" s="121"/>
      <c r="AA191" s="121"/>
    </row>
    <row r="192" spans="1:36" ht="15.75" hidden="1" customHeight="1" outlineLevel="1">
      <c r="A192" s="1"/>
      <c r="B192" s="1"/>
      <c r="C192" s="1"/>
      <c r="D192" s="1"/>
      <c r="E192" s="1"/>
      <c r="F192" s="1"/>
      <c r="G192" s="1"/>
      <c r="H192" s="1"/>
      <c r="I192" s="1"/>
      <c r="J192" s="1"/>
      <c r="K192" s="1"/>
      <c r="L192" s="1"/>
      <c r="M192" s="1"/>
      <c r="N192" s="1"/>
      <c r="O192" s="1"/>
      <c r="P192" s="1"/>
      <c r="Q192" s="1"/>
      <c r="R192" s="1"/>
      <c r="S192" s="1"/>
      <c r="T192" s="1"/>
      <c r="U192" s="1"/>
      <c r="V192" s="1"/>
      <c r="W192" s="1"/>
      <c r="X192" s="121"/>
      <c r="Y192" s="121"/>
      <c r="Z192" s="121"/>
      <c r="AA192" s="121"/>
    </row>
    <row r="193" spans="1:30" ht="15.75" hidden="1" customHeight="1" outlineLevel="1" collapsed="1">
      <c r="A193" s="852" t="s">
        <v>385</v>
      </c>
      <c r="B193" s="852"/>
      <c r="C193" s="852"/>
      <c r="D193" s="852"/>
      <c r="E193" s="852"/>
      <c r="F193" s="852"/>
      <c r="G193" s="852"/>
      <c r="H193" s="852"/>
      <c r="I193" s="852"/>
      <c r="J193" s="852"/>
      <c r="K193" s="852"/>
      <c r="L193" s="852"/>
      <c r="M193" s="852"/>
      <c r="N193" s="852"/>
      <c r="O193" s="852"/>
      <c r="P193" s="852"/>
      <c r="Q193" s="852"/>
      <c r="R193" s="852"/>
      <c r="S193" s="852"/>
      <c r="T193" s="852"/>
      <c r="U193" s="852"/>
      <c r="V193" s="852"/>
      <c r="W193" s="71"/>
      <c r="X193" s="112"/>
      <c r="Y193" s="112"/>
      <c r="Z193" s="112"/>
      <c r="AA193" s="112"/>
    </row>
    <row r="194" spans="1:30" ht="15.75" hidden="1" customHeight="1" outlineLevel="2">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14"/>
      <c r="Y194" s="114"/>
      <c r="Z194" s="114"/>
      <c r="AA194" s="114"/>
    </row>
    <row r="195" spans="1:30" ht="15.75" hidden="1" customHeight="1" outlineLevel="2" collapsed="1">
      <c r="A195" s="867" t="s">
        <v>356</v>
      </c>
      <c r="B195" s="867"/>
      <c r="C195" s="867"/>
      <c r="D195" s="556"/>
      <c r="E195" s="556"/>
      <c r="F195" s="556"/>
      <c r="G195" s="556"/>
      <c r="H195" s="556"/>
      <c r="I195" s="556"/>
      <c r="J195" s="556"/>
      <c r="K195" s="556"/>
      <c r="L195" s="556"/>
      <c r="M195" s="556"/>
      <c r="N195" s="556"/>
      <c r="O195" s="556"/>
      <c r="P195" s="556"/>
      <c r="Q195" s="556"/>
      <c r="R195" s="556"/>
      <c r="S195" s="556"/>
      <c r="T195" s="556"/>
      <c r="U195" s="556"/>
      <c r="V195" s="556"/>
      <c r="W195" s="19"/>
      <c r="X195" s="114"/>
      <c r="Y195" s="114"/>
      <c r="Z195" s="114"/>
      <c r="AA195" s="114"/>
    </row>
    <row r="196" spans="1:30" ht="6" hidden="1" customHeight="1" outlineLevel="3">
      <c r="B196" s="19"/>
      <c r="C196" s="19"/>
      <c r="D196" s="19"/>
      <c r="E196" s="19"/>
      <c r="F196" s="19"/>
      <c r="G196" s="19"/>
      <c r="H196" s="19"/>
      <c r="I196" s="19"/>
      <c r="J196" s="19"/>
      <c r="K196" s="19"/>
      <c r="L196" s="19"/>
      <c r="M196" s="19"/>
      <c r="N196" s="19"/>
      <c r="O196" s="19"/>
      <c r="P196" s="19"/>
      <c r="Q196" s="19"/>
      <c r="R196" s="19"/>
      <c r="S196" s="19"/>
      <c r="T196" s="19"/>
      <c r="U196" s="19"/>
      <c r="V196" s="19"/>
      <c r="W196" s="19"/>
      <c r="X196" s="114"/>
      <c r="Y196" s="114"/>
      <c r="Z196" s="114"/>
      <c r="AA196" s="114"/>
    </row>
    <row r="197" spans="1:30" s="122" customFormat="1" ht="20.25" hidden="1" customHeight="1" outlineLevel="3">
      <c r="A197" s="858" t="s">
        <v>386</v>
      </c>
      <c r="B197" s="858"/>
      <c r="C197" s="858"/>
      <c r="D197" s="858"/>
      <c r="E197" s="858"/>
      <c r="F197" s="858"/>
      <c r="G197" s="858"/>
      <c r="H197" s="858"/>
      <c r="I197" s="858"/>
      <c r="J197" s="858"/>
      <c r="K197" s="858"/>
      <c r="L197" s="858"/>
      <c r="M197" s="858"/>
      <c r="N197" s="858"/>
      <c r="O197" s="858"/>
      <c r="P197" s="858"/>
      <c r="Q197" s="858"/>
      <c r="R197" s="70"/>
      <c r="S197" s="70"/>
      <c r="T197" s="70"/>
      <c r="U197" s="70"/>
      <c r="V197" s="12"/>
      <c r="W197" s="12"/>
    </row>
    <row r="198" spans="1:30" ht="6" hidden="1" customHeight="1" outlineLevel="3">
      <c r="A198" s="1"/>
      <c r="B198" s="917"/>
      <c r="C198" s="917"/>
      <c r="D198" s="917"/>
      <c r="E198" s="917"/>
      <c r="F198" s="917"/>
      <c r="G198" s="917"/>
      <c r="H198" s="17"/>
      <c r="I198" s="17"/>
      <c r="J198" s="17"/>
      <c r="K198" s="17"/>
      <c r="L198" s="17"/>
      <c r="M198" s="17"/>
      <c r="N198" s="17"/>
      <c r="O198" s="17"/>
      <c r="P198" s="17"/>
      <c r="Q198" s="17"/>
      <c r="R198" s="17"/>
      <c r="S198" s="17"/>
      <c r="T198" s="17"/>
      <c r="U198" s="17"/>
      <c r="V198" s="17"/>
      <c r="W198" s="17"/>
      <c r="X198" s="110"/>
      <c r="Y198" s="110"/>
      <c r="Z198" s="110"/>
      <c r="AA198" s="110"/>
    </row>
    <row r="199" spans="1:30" ht="15.75" hidden="1" customHeight="1" outlineLevel="3">
      <c r="A199" s="918" t="s">
        <v>99</v>
      </c>
      <c r="B199" s="918" t="s">
        <v>387</v>
      </c>
      <c r="C199" s="934" t="s">
        <v>364</v>
      </c>
      <c r="D199" s="798" t="s">
        <v>818</v>
      </c>
      <c r="E199" s="885" t="s">
        <v>365</v>
      </c>
      <c r="F199" s="885"/>
      <c r="G199" s="885"/>
      <c r="H199" s="885"/>
      <c r="I199" s="885"/>
      <c r="J199" s="885"/>
      <c r="K199" s="885"/>
      <c r="L199" s="554"/>
      <c r="M199" s="798" t="s">
        <v>809</v>
      </c>
      <c r="N199" s="885" t="s">
        <v>366</v>
      </c>
      <c r="O199" s="885"/>
      <c r="P199" s="885"/>
      <c r="Q199" s="885"/>
      <c r="R199" s="13"/>
      <c r="S199" s="17"/>
      <c r="T199" s="17"/>
      <c r="U199" s="17"/>
      <c r="V199" s="17"/>
      <c r="W199" s="17"/>
      <c r="X199" s="110"/>
    </row>
    <row r="200" spans="1:30" ht="87.75" hidden="1" customHeight="1" outlineLevel="3">
      <c r="A200" s="918"/>
      <c r="B200" s="918"/>
      <c r="C200" s="934"/>
      <c r="D200" s="798"/>
      <c r="E200" s="36" t="s">
        <v>106</v>
      </c>
      <c r="F200" s="554" t="s">
        <v>101</v>
      </c>
      <c r="G200" s="554" t="s">
        <v>102</v>
      </c>
      <c r="H200" s="558" t="s">
        <v>103</v>
      </c>
      <c r="I200" s="558" t="s">
        <v>104</v>
      </c>
      <c r="J200" s="554" t="s">
        <v>105</v>
      </c>
      <c r="K200" s="798" t="s">
        <v>807</v>
      </c>
      <c r="L200" s="798" t="s">
        <v>808</v>
      </c>
      <c r="M200" s="798"/>
      <c r="N200" s="885" t="s">
        <v>810</v>
      </c>
      <c r="O200" s="885" t="s">
        <v>811</v>
      </c>
      <c r="P200" s="885" t="s">
        <v>821</v>
      </c>
      <c r="Q200" s="798" t="s">
        <v>813</v>
      </c>
      <c r="R200" s="13"/>
      <c r="S200" s="17"/>
      <c r="T200" s="66"/>
      <c r="U200" s="67"/>
      <c r="V200" s="1"/>
      <c r="W200" s="17"/>
      <c r="X200" s="110"/>
      <c r="Y200" s="110"/>
      <c r="Z200" s="110"/>
    </row>
    <row r="201" spans="1:30" ht="36.75" hidden="1" customHeight="1" outlineLevel="3">
      <c r="A201" s="919"/>
      <c r="B201" s="919"/>
      <c r="C201" s="935"/>
      <c r="D201" s="798"/>
      <c r="E201" s="40" t="s">
        <v>819</v>
      </c>
      <c r="F201" s="928" t="s">
        <v>829</v>
      </c>
      <c r="G201" s="929"/>
      <c r="H201" s="929"/>
      <c r="I201" s="929"/>
      <c r="J201" s="929"/>
      <c r="K201" s="798"/>
      <c r="L201" s="798"/>
      <c r="M201" s="798"/>
      <c r="N201" s="885"/>
      <c r="O201" s="885"/>
      <c r="P201" s="885"/>
      <c r="Q201" s="798"/>
      <c r="R201" s="13"/>
      <c r="U201" s="1"/>
      <c r="V201" s="1"/>
      <c r="W201" s="26"/>
      <c r="X201" s="121"/>
      <c r="Y201" s="121"/>
      <c r="Z201" s="121"/>
      <c r="AA201" s="110"/>
      <c r="AB201" s="110" t="s">
        <v>388</v>
      </c>
      <c r="AC201" s="110" t="s">
        <v>389</v>
      </c>
      <c r="AD201" s="110" t="s">
        <v>390</v>
      </c>
    </row>
    <row r="202" spans="1:30" ht="46.25" hidden="1" customHeight="1" outlineLevel="3">
      <c r="A202" s="339" t="s">
        <v>113</v>
      </c>
      <c r="B202" s="340" t="s">
        <v>391</v>
      </c>
      <c r="C202" s="927" t="s">
        <v>356</v>
      </c>
      <c r="D202" s="333" t="str">
        <f>IF(SUMIF('AOI Segmentation'!$AK$89:$AK$223,'Climate-Alignment Target'!AD202,'AOI Segmentation'!$AL$89:$AL$223)&gt;0,"Climate-alignment target",IF(SUMIF('AOI Segmentation'!$AK$89:$AK$223,'Climate-Alignment Target'!AD202,'AOI Segmentation'!$AM$89:$AM$223)&gt;0,"Sector target","No target type selected"))</f>
        <v>No target type selected</v>
      </c>
      <c r="E202" s="557" cm="1">
        <f t="array" ref="E202">SUMPRODUCT(('AOI Segmentation'!$M$89:$M$223=TRUE)*($AD202='AOI Segmentation'!$AK$89:$AK$223)*('Climate-Alignment Target'!E$200='AOI Segmentation'!$Q$88:$V$88)*('AOI Segmentation'!$Q$89:$V$223))</f>
        <v>0</v>
      </c>
      <c r="F202" s="557" t="str" cm="1">
        <f t="array" ref="F202">IF($D202="Climate-alignment target",SUMPRODUCT(('AOI Segmentation'!$M$89:$M$223=TRUE)*($AD202='AOI Segmentation'!$AK$89:$AK$223)*('Climate-Alignment Target'!F$200='AOI Segmentation'!$Q$88:$V$88)*('AOI Segmentation'!$Q$89:$V$223)),"")</f>
        <v/>
      </c>
      <c r="G202" s="557" t="str" cm="1">
        <f t="array" ref="G202">IF($D202="Climate-alignment target",SUMPRODUCT(('AOI Segmentation'!$M$89:$M$223=TRUE)*($AD202='AOI Segmentation'!$AK$89:$AK$223)*('Climate-Alignment Target'!G$200='AOI Segmentation'!$Q$88:$V$88)*('AOI Segmentation'!$Q$89:$V$223)),"")</f>
        <v/>
      </c>
      <c r="H202" s="557" t="str" cm="1">
        <f t="array" ref="H202">IF($D202="Climate-alignment target",SUMPRODUCT(('AOI Segmentation'!$M$89:$M$223=TRUE)*($AD202='AOI Segmentation'!$AK$89:$AK$223)*('Climate-Alignment Target'!H$200='AOI Segmentation'!$Q$88:$V$88)*('AOI Segmentation'!$Q$89:$V$223)),"")</f>
        <v/>
      </c>
      <c r="I202" s="557" t="str" cm="1">
        <f t="array" ref="I202">IF($D202="Climate-alignment target",SUMPRODUCT(('AOI Segmentation'!$M$89:$M$223=TRUE)*($AD202='AOI Segmentation'!$AK$89:$AK$223)*('Climate-Alignment Target'!I$200='AOI Segmentation'!$Q$88:$V$88)*('AOI Segmentation'!$Q$89:$V$223)),"")</f>
        <v/>
      </c>
      <c r="J202" s="557" t="str" cm="1">
        <f t="array" ref="J202">IF($D202="Climate-alignment target",SUMPRODUCT(('AOI Segmentation'!$M$89:$M$223=TRUE)*($AD202='AOI Segmentation'!$AK$89:$AK$223)*('Climate-Alignment Target'!J$200='AOI Segmentation'!$Q$88:$V$88)*('AOI Segmentation'!$Q$89:$V$223)),"")</f>
        <v/>
      </c>
      <c r="K202" s="557" t="str">
        <f t="shared" ref="K202:K224" si="114">IF(D202&lt;&gt;"Climate-alignment target","",SUM(F202:J202))</f>
        <v/>
      </c>
      <c r="L202" s="557" t="str">
        <f>IF(AND(E202=K202,D202="Climate-alignment target"),"OK",IF(D202="Sector target","OK - covered by sector target",IF(AND(E202=0,D202="No target type selected"),"","Select a target type")))</f>
        <v/>
      </c>
      <c r="M202" s="562">
        <f t="shared" ref="M202:M219" si="115">IF(SUM(F202:J202)=0,0,SUM(H202:J202)/(SUM(F202:J202)))</f>
        <v>0</v>
      </c>
      <c r="N202" s="915"/>
      <c r="O202" s="462"/>
      <c r="P202" s="562" t="str">
        <f>IF(AND($D202="Climate-alignment target",$N$202&lt;&gt;""),IF(M202&gt;$Z202,M202,(M202+($Z202-M202)/($Y202-$I$160)*($N$202-$I$160))),"")</f>
        <v/>
      </c>
      <c r="Q202" s="560" t="str">
        <f>IF(O202="","",IF(O202-P202&gt;=0,"OK","Minimum ambition not met, please increase ambition"))</f>
        <v/>
      </c>
      <c r="R202" s="16"/>
      <c r="U202" s="1"/>
      <c r="V202" s="1"/>
      <c r="W202" s="26"/>
      <c r="X202" s="113" t="s">
        <v>368</v>
      </c>
      <c r="Y202" s="113">
        <f t="shared" ref="Y202:Y224" si="116">_xlfn.XLOOKUP($X202,$AB$17:$AB$24,AE$17:AE$24,0,0)</f>
        <v>2035</v>
      </c>
      <c r="Z202" s="113">
        <f t="shared" ref="Z202:Z224" si="117">_xlfn.XLOOKUP($X202,$AB$17:$AB$24,AF$17:AF$24,0,0)</f>
        <v>0.95</v>
      </c>
      <c r="AA202" s="121"/>
      <c r="AB202" s="121" t="str">
        <f>IF($D202&lt;&gt;"Climate-alignment target","",O202*K202)</f>
        <v/>
      </c>
      <c r="AC202" s="121" t="str">
        <f>IF($D202&lt;&gt;"Climate-alignment target","",K202)</f>
        <v/>
      </c>
      <c r="AD202" s="107" t="s">
        <v>171</v>
      </c>
    </row>
    <row r="203" spans="1:30" ht="46.25" hidden="1" customHeight="1" outlineLevel="3">
      <c r="A203" s="339" t="s">
        <v>113</v>
      </c>
      <c r="B203" s="340" t="s">
        <v>392</v>
      </c>
      <c r="C203" s="927"/>
      <c r="D203" s="333" t="str">
        <f>IF(SUMIF('AOI Segmentation'!$AK$89:$AK$223,'Climate-Alignment Target'!AD203,'AOI Segmentation'!$AL$89:$AL$223)&gt;0,"Climate-alignment target",IF(SUMIF('AOI Segmentation'!$AK$89:$AK$223,'Climate-Alignment Target'!AD203,'AOI Segmentation'!$AM$89:$AM$223)&gt;0,"Sector target","No target type selected"))</f>
        <v>No target type selected</v>
      </c>
      <c r="E203" s="557" cm="1">
        <f t="array" ref="E203">SUMPRODUCT(('AOI Segmentation'!$M$89:$M$223=TRUE)*($AD203='AOI Segmentation'!$AK$89:$AK$223)*('Climate-Alignment Target'!E$200='AOI Segmentation'!$Q$88:$V$88)*('AOI Segmentation'!$Q$89:$V$223))</f>
        <v>0</v>
      </c>
      <c r="F203" s="557" t="str" cm="1">
        <f t="array" ref="F203">IF($D203="Climate-alignment target",SUMPRODUCT(('AOI Segmentation'!$M$89:$M$223=TRUE)*($AD203='AOI Segmentation'!$AK$89:$AK$223)*('Climate-Alignment Target'!F$200='AOI Segmentation'!$Q$88:$V$88)*('AOI Segmentation'!$Q$89:$V$223)),"")</f>
        <v/>
      </c>
      <c r="G203" s="557" t="str" cm="1">
        <f t="array" ref="G203">IF($D203="Climate-alignment target",SUMPRODUCT(('AOI Segmentation'!$M$89:$M$223=TRUE)*($AD203='AOI Segmentation'!$AK$89:$AK$223)*('Climate-Alignment Target'!G$200='AOI Segmentation'!$Q$88:$V$88)*('AOI Segmentation'!$Q$89:$V$223)),"")</f>
        <v/>
      </c>
      <c r="H203" s="557" t="str" cm="1">
        <f t="array" ref="H203">IF($D203="Climate-alignment target",SUMPRODUCT(('AOI Segmentation'!$M$89:$M$223=TRUE)*($AD203='AOI Segmentation'!$AK$89:$AK$223)*('Climate-Alignment Target'!H$200='AOI Segmentation'!$Q$88:$V$88)*('AOI Segmentation'!$Q$89:$V$223)),"")</f>
        <v/>
      </c>
      <c r="I203" s="557" t="str" cm="1">
        <f t="array" ref="I203">IF($D203="Climate-alignment target",SUMPRODUCT(('AOI Segmentation'!$M$89:$M$223=TRUE)*($AD203='AOI Segmentation'!$AK$89:$AK$223)*('Climate-Alignment Target'!I$200='AOI Segmentation'!$Q$88:$V$88)*('AOI Segmentation'!$Q$89:$V$223)),"")</f>
        <v/>
      </c>
      <c r="J203" s="557" t="str" cm="1">
        <f t="array" ref="J203">IF($D203="Climate-alignment target",SUMPRODUCT(('AOI Segmentation'!$M$89:$M$223=TRUE)*($AD203='AOI Segmentation'!$AK$89:$AK$223)*('Climate-Alignment Target'!J$200='AOI Segmentation'!$Q$88:$V$88)*('AOI Segmentation'!$Q$89:$V$223)),"")</f>
        <v/>
      </c>
      <c r="K203" s="557" t="str">
        <f t="shared" si="114"/>
        <v/>
      </c>
      <c r="L203" s="557" t="str">
        <f t="shared" ref="L203:L224" si="118">IF(AND(E203=K203,D203="Climate-alignment target"),"OK",IF(D203="Sector target","OK - covered by sector target",IF(AND(E203=0,D203="No target type selected"),"","Select a target type")))</f>
        <v/>
      </c>
      <c r="M203" s="562">
        <f t="shared" si="115"/>
        <v>0</v>
      </c>
      <c r="N203" s="915"/>
      <c r="O203" s="462"/>
      <c r="P203" s="562" t="str">
        <f t="shared" ref="P203:P224" si="119">IF(AND($D203="Climate-alignment target",$N$202&lt;&gt;""),IF(M203&gt;$Z203,M203,(M203+($Z203-M203)/($Y203-$I$160)*($N$202-$I$160))),"")</f>
        <v/>
      </c>
      <c r="Q203" s="560" t="str">
        <f t="shared" ref="Q203:Q224" si="120">IF(O203="","",IF(O203-P203&gt;=0,"OK","Minimum ambition not met, please increase ambition"))</f>
        <v/>
      </c>
      <c r="R203" s="16"/>
      <c r="U203" s="1"/>
      <c r="V203" s="1"/>
      <c r="W203" s="26"/>
      <c r="X203" s="113" t="s">
        <v>368</v>
      </c>
      <c r="Y203" s="113">
        <f t="shared" si="116"/>
        <v>2035</v>
      </c>
      <c r="Z203" s="113">
        <f t="shared" si="117"/>
        <v>0.95</v>
      </c>
      <c r="AA203" s="121"/>
      <c r="AB203" s="121" t="str">
        <f t="shared" ref="AB203:AB222" si="121">IF($D203&lt;&gt;"Climate-alignment target","",O203*K203)</f>
        <v/>
      </c>
      <c r="AC203" s="121" t="str">
        <f t="shared" ref="AC203:AC222" si="122">IF($D203&lt;&gt;"Climate-alignment target","",K203)</f>
        <v/>
      </c>
      <c r="AD203" s="107" t="s">
        <v>172</v>
      </c>
    </row>
    <row r="204" spans="1:30" ht="46.25" hidden="1" customHeight="1" outlineLevel="3">
      <c r="A204" s="339" t="s">
        <v>121</v>
      </c>
      <c r="B204" s="340" t="s">
        <v>120</v>
      </c>
      <c r="C204" s="927"/>
      <c r="D204" s="333" t="str">
        <f>IF(SUMIF('AOI Segmentation'!$AK$89:$AK$223,'Climate-Alignment Target'!AD204,'AOI Segmentation'!$AL$89:$AL$223)&gt;0,"Climate-alignment target",IF(SUMIF('AOI Segmentation'!$AK$89:$AK$223,'Climate-Alignment Target'!AD204,'AOI Segmentation'!$AM$89:$AM$223)&gt;0,"Sector target","No target type selected"))</f>
        <v>No target type selected</v>
      </c>
      <c r="E204" s="557" cm="1">
        <f t="array" ref="E204">SUMPRODUCT(('AOI Segmentation'!$M$89:$M$223=TRUE)*($AD204='AOI Segmentation'!$AK$89:$AK$223)*('Climate-Alignment Target'!E$200='AOI Segmentation'!$Q$88:$V$88)*('AOI Segmentation'!$Q$89:$V$223))</f>
        <v>0</v>
      </c>
      <c r="F204" s="557" t="str" cm="1">
        <f t="array" ref="F204">IF($D204="Climate-alignment target",SUMPRODUCT(('AOI Segmentation'!$M$89:$M$223=TRUE)*($AD204='AOI Segmentation'!$AK$89:$AK$223)*('Climate-Alignment Target'!F$200='AOI Segmentation'!$Q$88:$V$88)*('AOI Segmentation'!$Q$89:$V$223)),"")</f>
        <v/>
      </c>
      <c r="G204" s="557" t="str" cm="1">
        <f t="array" ref="G204">IF($D204="Climate-alignment target",SUMPRODUCT(('AOI Segmentation'!$M$89:$M$223=TRUE)*($AD204='AOI Segmentation'!$AK$89:$AK$223)*('Climate-Alignment Target'!G$200='AOI Segmentation'!$Q$88:$V$88)*('AOI Segmentation'!$Q$89:$V$223)),"")</f>
        <v/>
      </c>
      <c r="H204" s="557" t="str" cm="1">
        <f t="array" ref="H204">IF($D204="Climate-alignment target",SUMPRODUCT(('AOI Segmentation'!$M$89:$M$223=TRUE)*($AD204='AOI Segmentation'!$AK$89:$AK$223)*('Climate-Alignment Target'!H$200='AOI Segmentation'!$Q$88:$V$88)*('AOI Segmentation'!$Q$89:$V$223)),"")</f>
        <v/>
      </c>
      <c r="I204" s="557" t="str" cm="1">
        <f t="array" ref="I204">IF($D204="Climate-alignment target",SUMPRODUCT(('AOI Segmentation'!$M$89:$M$223=TRUE)*($AD204='AOI Segmentation'!$AK$89:$AK$223)*('Climate-Alignment Target'!I$200='AOI Segmentation'!$Q$88:$V$88)*('AOI Segmentation'!$Q$89:$V$223)),"")</f>
        <v/>
      </c>
      <c r="J204" s="557" t="str" cm="1">
        <f t="array" ref="J204">IF($D204="Climate-alignment target",SUMPRODUCT(('AOI Segmentation'!$M$89:$M$223=TRUE)*($AD204='AOI Segmentation'!$AK$89:$AK$223)*('Climate-Alignment Target'!J$200='AOI Segmentation'!$Q$88:$V$88)*('AOI Segmentation'!$Q$89:$V$223)),"")</f>
        <v/>
      </c>
      <c r="K204" s="557" t="str">
        <f t="shared" si="114"/>
        <v/>
      </c>
      <c r="L204" s="557" t="str">
        <f t="shared" si="118"/>
        <v/>
      </c>
      <c r="M204" s="562">
        <f t="shared" si="115"/>
        <v>0</v>
      </c>
      <c r="N204" s="915"/>
      <c r="O204" s="462"/>
      <c r="P204" s="562" t="str">
        <f t="shared" si="119"/>
        <v/>
      </c>
      <c r="Q204" s="560" t="str">
        <f t="shared" si="120"/>
        <v/>
      </c>
      <c r="R204" s="16"/>
      <c r="U204" s="1"/>
      <c r="V204" s="1"/>
      <c r="W204" s="26"/>
      <c r="X204" s="113" t="s">
        <v>373</v>
      </c>
      <c r="Y204" s="113">
        <f t="shared" si="116"/>
        <v>2040</v>
      </c>
      <c r="Z204" s="113">
        <f t="shared" si="117"/>
        <v>0.95</v>
      </c>
      <c r="AA204" s="121"/>
      <c r="AB204" s="121" t="str">
        <f t="shared" si="121"/>
        <v/>
      </c>
      <c r="AC204" s="121" t="str">
        <f t="shared" si="122"/>
        <v/>
      </c>
      <c r="AD204" s="107" t="s">
        <v>173</v>
      </c>
    </row>
    <row r="205" spans="1:30" ht="46.25" hidden="1" customHeight="1" outlineLevel="3">
      <c r="A205" s="340" t="s">
        <v>121</v>
      </c>
      <c r="B205" s="340" t="s">
        <v>393</v>
      </c>
      <c r="C205" s="927"/>
      <c r="D205" s="333" t="str">
        <f>IF(SUMIF('AOI Segmentation'!$AK$89:$AK$223,'Climate-Alignment Target'!AD205,'AOI Segmentation'!$AL$89:$AL$223)&gt;0,"Climate-alignment target",IF(SUMIF('AOI Segmentation'!$AK$89:$AK$223,'Climate-Alignment Target'!AD205,'AOI Segmentation'!$AM$89:$AM$223)&gt;0,"Sector target","No target type selected"))</f>
        <v>No target type selected</v>
      </c>
      <c r="E205" s="557" cm="1">
        <f t="array" ref="E205">SUMPRODUCT(('AOI Segmentation'!$M$89:$M$223=TRUE)*($AD205='AOI Segmentation'!$AK$89:$AK$223)*('Climate-Alignment Target'!E$200='AOI Segmentation'!$Q$88:$V$88)*('AOI Segmentation'!$Q$89:$V$223))</f>
        <v>0</v>
      </c>
      <c r="F205" s="557" t="str" cm="1">
        <f t="array" ref="F205">IF($D205="Climate-alignment target",SUMPRODUCT(('AOI Segmentation'!$M$89:$M$223=TRUE)*($AD205='AOI Segmentation'!$AK$89:$AK$223)*('Climate-Alignment Target'!F$200='AOI Segmentation'!$Q$88:$V$88)*('AOI Segmentation'!$Q$89:$V$223)),"")</f>
        <v/>
      </c>
      <c r="G205" s="557" t="str" cm="1">
        <f t="array" ref="G205">IF($D205="Climate-alignment target",SUMPRODUCT(('AOI Segmentation'!$M$89:$M$223=TRUE)*($AD205='AOI Segmentation'!$AK$89:$AK$223)*('Climate-Alignment Target'!G$200='AOI Segmentation'!$Q$88:$V$88)*('AOI Segmentation'!$Q$89:$V$223)),"")</f>
        <v/>
      </c>
      <c r="H205" s="557" t="str" cm="1">
        <f t="array" ref="H205">IF($D205="Climate-alignment target",SUMPRODUCT(('AOI Segmentation'!$M$89:$M$223=TRUE)*($AD205='AOI Segmentation'!$AK$89:$AK$223)*('Climate-Alignment Target'!H$200='AOI Segmentation'!$Q$88:$V$88)*('AOI Segmentation'!$Q$89:$V$223)),"")</f>
        <v/>
      </c>
      <c r="I205" s="557" t="str" cm="1">
        <f t="array" ref="I205">IF($D205="Climate-alignment target",SUMPRODUCT(('AOI Segmentation'!$M$89:$M$223=TRUE)*($AD205='AOI Segmentation'!$AK$89:$AK$223)*('Climate-Alignment Target'!I$200='AOI Segmentation'!$Q$88:$V$88)*('AOI Segmentation'!$Q$89:$V$223)),"")</f>
        <v/>
      </c>
      <c r="J205" s="557" t="str" cm="1">
        <f t="array" ref="J205">IF($D205="Climate-alignment target",SUMPRODUCT(('AOI Segmentation'!$M$89:$M$223=TRUE)*($AD205='AOI Segmentation'!$AK$89:$AK$223)*('Climate-Alignment Target'!J$200='AOI Segmentation'!$Q$88:$V$88)*('AOI Segmentation'!$Q$89:$V$223)),"")</f>
        <v/>
      </c>
      <c r="K205" s="557" t="str">
        <f t="shared" si="114"/>
        <v/>
      </c>
      <c r="L205" s="557" t="str">
        <f t="shared" si="118"/>
        <v/>
      </c>
      <c r="M205" s="562">
        <f t="shared" si="115"/>
        <v>0</v>
      </c>
      <c r="N205" s="915"/>
      <c r="O205" s="462"/>
      <c r="P205" s="562" t="str">
        <f t="shared" si="119"/>
        <v/>
      </c>
      <c r="Q205" s="560" t="str">
        <f t="shared" si="120"/>
        <v/>
      </c>
      <c r="R205" s="16"/>
      <c r="U205" s="1"/>
      <c r="V205" s="1"/>
      <c r="W205" s="26"/>
      <c r="X205" s="113" t="s">
        <v>373</v>
      </c>
      <c r="Y205" s="113">
        <f t="shared" si="116"/>
        <v>2040</v>
      </c>
      <c r="Z205" s="113">
        <f t="shared" si="117"/>
        <v>0.95</v>
      </c>
      <c r="AA205" s="121"/>
      <c r="AB205" s="121" t="str">
        <f t="shared" si="121"/>
        <v/>
      </c>
      <c r="AC205" s="121" t="str">
        <f t="shared" si="122"/>
        <v/>
      </c>
      <c r="AD205" s="107" t="s">
        <v>178</v>
      </c>
    </row>
    <row r="206" spans="1:30" ht="46.25" hidden="1" customHeight="1" outlineLevel="3">
      <c r="A206" s="340" t="s">
        <v>136</v>
      </c>
      <c r="B206" s="340" t="s">
        <v>393</v>
      </c>
      <c r="C206" s="927"/>
      <c r="D206" s="333" t="str">
        <f>IF(SUMIF('AOI Segmentation'!$AK$89:$AK$223,'Climate-Alignment Target'!AD206,'AOI Segmentation'!$AL$89:$AL$223)&gt;0,"Climate-alignment target",IF(SUMIF('AOI Segmentation'!$AK$89:$AK$223,'Climate-Alignment Target'!AD206,'AOI Segmentation'!$AM$89:$AM$223)&gt;0,"Sector target","No target type selected"))</f>
        <v>No target type selected</v>
      </c>
      <c r="E206" s="557" cm="1">
        <f t="array" ref="E206">SUMPRODUCT(('AOI Segmentation'!$M$89:$M$223=TRUE)*($AD206='AOI Segmentation'!$AK$89:$AK$223)*('Climate-Alignment Target'!E$200='AOI Segmentation'!$Q$88:$V$88)*('AOI Segmentation'!$Q$89:$V$223))</f>
        <v>0</v>
      </c>
      <c r="F206" s="557" t="str" cm="1">
        <f t="array" ref="F206">IF($D206="Climate-alignment target",SUMPRODUCT(('AOI Segmentation'!$M$89:$M$223=TRUE)*($AD206='AOI Segmentation'!$AK$89:$AK$223)*('Climate-Alignment Target'!F$200='AOI Segmentation'!$Q$88:$V$88)*('AOI Segmentation'!$Q$89:$V$223)),"")</f>
        <v/>
      </c>
      <c r="G206" s="557" t="str" cm="1">
        <f t="array" ref="G206">IF($D206="Climate-alignment target",SUMPRODUCT(('AOI Segmentation'!$M$89:$M$223=TRUE)*($AD206='AOI Segmentation'!$AK$89:$AK$223)*('Climate-Alignment Target'!G$200='AOI Segmentation'!$Q$88:$V$88)*('AOI Segmentation'!$Q$89:$V$223)),"")</f>
        <v/>
      </c>
      <c r="H206" s="557" t="str" cm="1">
        <f t="array" ref="H206">IF($D206="Climate-alignment target",SUMPRODUCT(('AOI Segmentation'!$M$89:$M$223=TRUE)*($AD206='AOI Segmentation'!$AK$89:$AK$223)*('Climate-Alignment Target'!H$200='AOI Segmentation'!$Q$88:$V$88)*('AOI Segmentation'!$Q$89:$V$223)),"")</f>
        <v/>
      </c>
      <c r="I206" s="557" t="str" cm="1">
        <f t="array" ref="I206">IF($D206="Climate-alignment target",SUMPRODUCT(('AOI Segmentation'!$M$89:$M$223=TRUE)*($AD206='AOI Segmentation'!$AK$89:$AK$223)*('Climate-Alignment Target'!I$200='AOI Segmentation'!$Q$88:$V$88)*('AOI Segmentation'!$Q$89:$V$223)),"")</f>
        <v/>
      </c>
      <c r="J206" s="557" t="str" cm="1">
        <f t="array" ref="J206">IF($D206="Climate-alignment target",SUMPRODUCT(('AOI Segmentation'!$M$89:$M$223=TRUE)*($AD206='AOI Segmentation'!$AK$89:$AK$223)*('Climate-Alignment Target'!J$200='AOI Segmentation'!$Q$88:$V$88)*('AOI Segmentation'!$Q$89:$V$223)),"")</f>
        <v/>
      </c>
      <c r="K206" s="557" t="str">
        <f t="shared" si="114"/>
        <v/>
      </c>
      <c r="L206" s="557" t="str">
        <f t="shared" si="118"/>
        <v/>
      </c>
      <c r="M206" s="562">
        <f t="shared" si="115"/>
        <v>0</v>
      </c>
      <c r="N206" s="915"/>
      <c r="O206" s="462"/>
      <c r="P206" s="562" t="str">
        <f t="shared" si="119"/>
        <v/>
      </c>
      <c r="Q206" s="560" t="str">
        <f t="shared" si="120"/>
        <v/>
      </c>
      <c r="R206" s="16"/>
      <c r="U206" s="1"/>
      <c r="V206" s="1"/>
      <c r="W206" s="26"/>
      <c r="X206" s="113" t="s">
        <v>378</v>
      </c>
      <c r="Y206" s="113">
        <f t="shared" si="116"/>
        <v>2050</v>
      </c>
      <c r="Z206" s="113">
        <f t="shared" si="117"/>
        <v>0.95</v>
      </c>
      <c r="AA206" s="121"/>
      <c r="AB206" s="121" t="str">
        <f t="shared" si="121"/>
        <v/>
      </c>
      <c r="AC206" s="121" t="str">
        <f t="shared" si="122"/>
        <v/>
      </c>
      <c r="AD206" s="107" t="s">
        <v>216</v>
      </c>
    </row>
    <row r="207" spans="1:30" ht="46.25" hidden="1" customHeight="1" outlineLevel="3">
      <c r="A207" s="340" t="s">
        <v>121</v>
      </c>
      <c r="B207" s="340" t="s">
        <v>394</v>
      </c>
      <c r="C207" s="927"/>
      <c r="D207" s="333" t="str">
        <f>IF(SUMIF('AOI Segmentation'!$AK$89:$AK$223,'Climate-Alignment Target'!AD207,'AOI Segmentation'!$AL$89:$AL$223)&gt;0,"Climate-alignment target",IF(SUMIF('AOI Segmentation'!$AK$89:$AK$223,'Climate-Alignment Target'!AD207,'AOI Segmentation'!$AM$89:$AM$223)&gt;0,"Sector target","No target type selected"))</f>
        <v>No target type selected</v>
      </c>
      <c r="E207" s="557" cm="1">
        <f t="array" ref="E207">SUMPRODUCT(('AOI Segmentation'!$M$89:$M$223=TRUE)*($AD207='AOI Segmentation'!$AK$89:$AK$223)*('Climate-Alignment Target'!E$200='AOI Segmentation'!$Q$88:$V$88)*('AOI Segmentation'!$Q$89:$V$223))</f>
        <v>0</v>
      </c>
      <c r="F207" s="557" t="str" cm="1">
        <f t="array" ref="F207">IF($D207="Climate-alignment target",SUMPRODUCT(('AOI Segmentation'!$M$89:$M$223=TRUE)*($AD207='AOI Segmentation'!$AK$89:$AK$223)*('Climate-Alignment Target'!F$200='AOI Segmentation'!$Q$88:$V$88)*('AOI Segmentation'!$Q$89:$V$223)),"")</f>
        <v/>
      </c>
      <c r="G207" s="557" t="str" cm="1">
        <f t="array" ref="G207">IF($D207="Climate-alignment target",SUMPRODUCT(('AOI Segmentation'!$M$89:$M$223=TRUE)*($AD207='AOI Segmentation'!$AK$89:$AK$223)*('Climate-Alignment Target'!G$200='AOI Segmentation'!$Q$88:$V$88)*('AOI Segmentation'!$Q$89:$V$223)),"")</f>
        <v/>
      </c>
      <c r="H207" s="557" t="str" cm="1">
        <f t="array" ref="H207">IF($D207="Climate-alignment target",SUMPRODUCT(('AOI Segmentation'!$M$89:$M$223=TRUE)*($AD207='AOI Segmentation'!$AK$89:$AK$223)*('Climate-Alignment Target'!H$200='AOI Segmentation'!$Q$88:$V$88)*('AOI Segmentation'!$Q$89:$V$223)),"")</f>
        <v/>
      </c>
      <c r="I207" s="557" t="str" cm="1">
        <f t="array" ref="I207">IF($D207="Climate-alignment target",SUMPRODUCT(('AOI Segmentation'!$M$89:$M$223=TRUE)*($AD207='AOI Segmentation'!$AK$89:$AK$223)*('Climate-Alignment Target'!I$200='AOI Segmentation'!$Q$88:$V$88)*('AOI Segmentation'!$Q$89:$V$223)),"")</f>
        <v/>
      </c>
      <c r="J207" s="557" t="str" cm="1">
        <f t="array" ref="J207">IF($D207="Climate-alignment target",SUMPRODUCT(('AOI Segmentation'!$M$89:$M$223=TRUE)*($AD207='AOI Segmentation'!$AK$89:$AK$223)*('Climate-Alignment Target'!J$200='AOI Segmentation'!$Q$88:$V$88)*('AOI Segmentation'!$Q$89:$V$223)),"")</f>
        <v/>
      </c>
      <c r="K207" s="557" t="str">
        <f t="shared" si="114"/>
        <v/>
      </c>
      <c r="L207" s="557" t="str">
        <f t="shared" si="118"/>
        <v/>
      </c>
      <c r="M207" s="562">
        <f t="shared" si="115"/>
        <v>0</v>
      </c>
      <c r="N207" s="915"/>
      <c r="O207" s="462"/>
      <c r="P207" s="562" t="str">
        <f t="shared" si="119"/>
        <v/>
      </c>
      <c r="Q207" s="560" t="str">
        <f t="shared" si="120"/>
        <v/>
      </c>
      <c r="R207" s="16"/>
      <c r="U207" s="1"/>
      <c r="V207" s="1"/>
      <c r="W207" s="26"/>
      <c r="X207" s="113" t="s">
        <v>373</v>
      </c>
      <c r="Y207" s="113">
        <f t="shared" si="116"/>
        <v>2040</v>
      </c>
      <c r="Z207" s="113">
        <f t="shared" si="117"/>
        <v>0.95</v>
      </c>
      <c r="AA207" s="121"/>
      <c r="AB207" s="121" t="str">
        <f t="shared" si="121"/>
        <v/>
      </c>
      <c r="AC207" s="121" t="str">
        <f t="shared" si="122"/>
        <v/>
      </c>
      <c r="AD207" s="107" t="s">
        <v>182</v>
      </c>
    </row>
    <row r="208" spans="1:30" ht="46.25" hidden="1" customHeight="1" outlineLevel="3">
      <c r="A208" s="340" t="s">
        <v>136</v>
      </c>
      <c r="B208" s="340" t="s">
        <v>394</v>
      </c>
      <c r="C208" s="927"/>
      <c r="D208" s="333" t="str">
        <f>IF(SUMIF('AOI Segmentation'!$AK$89:$AK$223,'Climate-Alignment Target'!AD208,'AOI Segmentation'!$AL$89:$AL$223)&gt;0,"Climate-alignment target",IF(SUMIF('AOI Segmentation'!$AK$89:$AK$223,'Climate-Alignment Target'!AD208,'AOI Segmentation'!$AM$89:$AM$223)&gt;0,"Sector target","No target type selected"))</f>
        <v>No target type selected</v>
      </c>
      <c r="E208" s="557" cm="1">
        <f t="array" ref="E208">SUMPRODUCT(('AOI Segmentation'!$M$89:$M$223=TRUE)*($AD208='AOI Segmentation'!$AK$89:$AK$223)*('Climate-Alignment Target'!E$200='AOI Segmentation'!$Q$88:$V$88)*('AOI Segmentation'!$Q$89:$V$223))</f>
        <v>0</v>
      </c>
      <c r="F208" s="557" t="str" cm="1">
        <f t="array" ref="F208">IF($D208="Climate-alignment target",SUMPRODUCT(('AOI Segmentation'!$M$89:$M$223=TRUE)*($AD208='AOI Segmentation'!$AK$89:$AK$223)*('Climate-Alignment Target'!F$200='AOI Segmentation'!$Q$88:$V$88)*('AOI Segmentation'!$Q$89:$V$223)),"")</f>
        <v/>
      </c>
      <c r="G208" s="557" t="str" cm="1">
        <f t="array" ref="G208">IF($D208="Climate-alignment target",SUMPRODUCT(('AOI Segmentation'!$M$89:$M$223=TRUE)*($AD208='AOI Segmentation'!$AK$89:$AK$223)*('Climate-Alignment Target'!G$200='AOI Segmentation'!$Q$88:$V$88)*('AOI Segmentation'!$Q$89:$V$223)),"")</f>
        <v/>
      </c>
      <c r="H208" s="557" t="str" cm="1">
        <f t="array" ref="H208">IF($D208="Climate-alignment target",SUMPRODUCT(('AOI Segmentation'!$M$89:$M$223=TRUE)*($AD208='AOI Segmentation'!$AK$89:$AK$223)*('Climate-Alignment Target'!H$200='AOI Segmentation'!$Q$88:$V$88)*('AOI Segmentation'!$Q$89:$V$223)),"")</f>
        <v/>
      </c>
      <c r="I208" s="557" t="str" cm="1">
        <f t="array" ref="I208">IF($D208="Climate-alignment target",SUMPRODUCT(('AOI Segmentation'!$M$89:$M$223=TRUE)*($AD208='AOI Segmentation'!$AK$89:$AK$223)*('Climate-Alignment Target'!I$200='AOI Segmentation'!$Q$88:$V$88)*('AOI Segmentation'!$Q$89:$V$223)),"")</f>
        <v/>
      </c>
      <c r="J208" s="557" t="str" cm="1">
        <f t="array" ref="J208">IF($D208="Climate-alignment target",SUMPRODUCT(('AOI Segmentation'!$M$89:$M$223=TRUE)*($AD208='AOI Segmentation'!$AK$89:$AK$223)*('Climate-Alignment Target'!J$200='AOI Segmentation'!$Q$88:$V$88)*('AOI Segmentation'!$Q$89:$V$223)),"")</f>
        <v/>
      </c>
      <c r="K208" s="557" t="str">
        <f t="shared" si="114"/>
        <v/>
      </c>
      <c r="L208" s="557" t="str">
        <f t="shared" si="118"/>
        <v/>
      </c>
      <c r="M208" s="562">
        <f t="shared" si="115"/>
        <v>0</v>
      </c>
      <c r="N208" s="915"/>
      <c r="O208" s="462"/>
      <c r="P208" s="562" t="str">
        <f>IF(AND($D208="Climate-alignment target",$N$202&lt;&gt;""),IF(M208&gt;$Z208,M208,(M208+($Z208-M208)/($Y208-$I$160)*($N$202-$I$160))),"")</f>
        <v/>
      </c>
      <c r="Q208" s="560" t="str">
        <f t="shared" si="120"/>
        <v/>
      </c>
      <c r="R208" s="16"/>
      <c r="U208" s="1"/>
      <c r="V208" s="1"/>
      <c r="W208" s="26"/>
      <c r="X208" s="113" t="s">
        <v>378</v>
      </c>
      <c r="Y208" s="113">
        <f t="shared" si="116"/>
        <v>2050</v>
      </c>
      <c r="Z208" s="113">
        <f t="shared" si="117"/>
        <v>0.95</v>
      </c>
      <c r="AA208" s="121"/>
      <c r="AB208" s="121" t="str">
        <f t="shared" si="121"/>
        <v/>
      </c>
      <c r="AC208" s="121" t="str">
        <f t="shared" si="122"/>
        <v/>
      </c>
      <c r="AD208" s="107" t="s">
        <v>218</v>
      </c>
    </row>
    <row r="209" spans="1:30" ht="46.25" hidden="1" customHeight="1" outlineLevel="3">
      <c r="A209" s="340" t="s">
        <v>121</v>
      </c>
      <c r="B209" s="340" t="s">
        <v>395</v>
      </c>
      <c r="C209" s="927"/>
      <c r="D209" s="333" t="str">
        <f>IF(SUMIF('AOI Segmentation'!$AK$89:$AK$223,'Climate-Alignment Target'!AD209,'AOI Segmentation'!$AL$89:$AL$223)&gt;0,"Climate-alignment target",IF(SUMIF('AOI Segmentation'!$AK$89:$AK$223,'Climate-Alignment Target'!AD209,'AOI Segmentation'!$AM$89:$AM$223)&gt;0,"Sector target","No target type selected"))</f>
        <v>No target type selected</v>
      </c>
      <c r="E209" s="557" cm="1">
        <f t="array" ref="E209">SUMPRODUCT(('AOI Segmentation'!$M$89:$M$223=TRUE)*($AD209='AOI Segmentation'!$AK$89:$AK$223)*('Climate-Alignment Target'!E$200='AOI Segmentation'!$Q$88:$V$88)*('AOI Segmentation'!$Q$89:$V$223))</f>
        <v>0</v>
      </c>
      <c r="F209" s="557" t="str" cm="1">
        <f t="array" ref="F209">IF($D209="Climate-alignment target",SUMPRODUCT(('AOI Segmentation'!$M$89:$M$223=TRUE)*($AD209='AOI Segmentation'!$AK$89:$AK$223)*('Climate-Alignment Target'!F$200='AOI Segmentation'!$Q$88:$V$88)*('AOI Segmentation'!$Q$89:$V$223)),"")</f>
        <v/>
      </c>
      <c r="G209" s="557" t="str" cm="1">
        <f t="array" ref="G209">IF($D209="Climate-alignment target",SUMPRODUCT(('AOI Segmentation'!$M$89:$M$223=TRUE)*($AD209='AOI Segmentation'!$AK$89:$AK$223)*('Climate-Alignment Target'!G$200='AOI Segmentation'!$Q$88:$V$88)*('AOI Segmentation'!$Q$89:$V$223)),"")</f>
        <v/>
      </c>
      <c r="H209" s="557" t="str" cm="1">
        <f t="array" ref="H209">IF($D209="Climate-alignment target",SUMPRODUCT(('AOI Segmentation'!$M$89:$M$223=TRUE)*($AD209='AOI Segmentation'!$AK$89:$AK$223)*('Climate-Alignment Target'!H$200='AOI Segmentation'!$Q$88:$V$88)*('AOI Segmentation'!$Q$89:$V$223)),"")</f>
        <v/>
      </c>
      <c r="I209" s="557" t="str" cm="1">
        <f t="array" ref="I209">IF($D209="Climate-alignment target",SUMPRODUCT(('AOI Segmentation'!$M$89:$M$223=TRUE)*($AD209='AOI Segmentation'!$AK$89:$AK$223)*('Climate-Alignment Target'!I$200='AOI Segmentation'!$Q$88:$V$88)*('AOI Segmentation'!$Q$89:$V$223)),"")</f>
        <v/>
      </c>
      <c r="J209" s="557" t="str" cm="1">
        <f t="array" ref="J209">IF($D209="Climate-alignment target",SUMPRODUCT(('AOI Segmentation'!$M$89:$M$223=TRUE)*($AD209='AOI Segmentation'!$AK$89:$AK$223)*('Climate-Alignment Target'!J$200='AOI Segmentation'!$Q$88:$V$88)*('AOI Segmentation'!$Q$89:$V$223)),"")</f>
        <v/>
      </c>
      <c r="K209" s="557" t="str">
        <f t="shared" si="114"/>
        <v/>
      </c>
      <c r="L209" s="557" t="str">
        <f t="shared" si="118"/>
        <v/>
      </c>
      <c r="M209" s="562">
        <f t="shared" si="115"/>
        <v>0</v>
      </c>
      <c r="N209" s="915"/>
      <c r="O209" s="462"/>
      <c r="P209" s="562" t="str">
        <f t="shared" si="119"/>
        <v/>
      </c>
      <c r="Q209" s="560" t="str">
        <f t="shared" si="120"/>
        <v/>
      </c>
      <c r="R209" s="16"/>
      <c r="U209" s="1"/>
      <c r="V209" s="1"/>
      <c r="W209" s="26"/>
      <c r="X209" s="113" t="s">
        <v>373</v>
      </c>
      <c r="Y209" s="113">
        <f t="shared" si="116"/>
        <v>2040</v>
      </c>
      <c r="Z209" s="113">
        <f t="shared" si="117"/>
        <v>0.95</v>
      </c>
      <c r="AA209" s="121"/>
      <c r="AB209" s="121" t="str">
        <f t="shared" si="121"/>
        <v/>
      </c>
      <c r="AC209" s="121" t="str">
        <f t="shared" si="122"/>
        <v/>
      </c>
      <c r="AD209" s="107" t="s">
        <v>187</v>
      </c>
    </row>
    <row r="210" spans="1:30" ht="46.25" hidden="1" customHeight="1" outlineLevel="3">
      <c r="A210" s="340" t="s">
        <v>136</v>
      </c>
      <c r="B210" s="340" t="s">
        <v>395</v>
      </c>
      <c r="C210" s="927"/>
      <c r="D210" s="333" t="str">
        <f>IF(SUMIF('AOI Segmentation'!$AK$89:$AK$223,'Climate-Alignment Target'!AD210,'AOI Segmentation'!$AL$89:$AL$223)&gt;0,"Climate-alignment target",IF(SUMIF('AOI Segmentation'!$AK$89:$AK$223,'Climate-Alignment Target'!AD210,'AOI Segmentation'!$AM$89:$AM$223)&gt;0,"Sector target","No target type selected"))</f>
        <v>No target type selected</v>
      </c>
      <c r="E210" s="557" cm="1">
        <f t="array" ref="E210">SUMPRODUCT(('AOI Segmentation'!$M$89:$M$223=TRUE)*($AD210='AOI Segmentation'!$AK$89:$AK$223)*('Climate-Alignment Target'!E$200='AOI Segmentation'!$Q$88:$V$88)*('AOI Segmentation'!$Q$89:$V$223))</f>
        <v>0</v>
      </c>
      <c r="F210" s="557" t="str" cm="1">
        <f t="array" ref="F210">IF($D210="Climate-alignment target",SUMPRODUCT(('AOI Segmentation'!$M$89:$M$223=TRUE)*($AD210='AOI Segmentation'!$AK$89:$AK$223)*('Climate-Alignment Target'!F$200='AOI Segmentation'!$Q$88:$V$88)*('AOI Segmentation'!$Q$89:$V$223)),"")</f>
        <v/>
      </c>
      <c r="G210" s="557" t="str" cm="1">
        <f t="array" ref="G210">IF($D210="Climate-alignment target",SUMPRODUCT(('AOI Segmentation'!$M$89:$M$223=TRUE)*($AD210='AOI Segmentation'!$AK$89:$AK$223)*('Climate-Alignment Target'!G$200='AOI Segmentation'!$Q$88:$V$88)*('AOI Segmentation'!$Q$89:$V$223)),"")</f>
        <v/>
      </c>
      <c r="H210" s="557" t="str" cm="1">
        <f t="array" ref="H210">IF($D210="Climate-alignment target",SUMPRODUCT(('AOI Segmentation'!$M$89:$M$223=TRUE)*($AD210='AOI Segmentation'!$AK$89:$AK$223)*('Climate-Alignment Target'!H$200='AOI Segmentation'!$Q$88:$V$88)*('AOI Segmentation'!$Q$89:$V$223)),"")</f>
        <v/>
      </c>
      <c r="I210" s="557" t="str" cm="1">
        <f t="array" ref="I210">IF($D210="Climate-alignment target",SUMPRODUCT(('AOI Segmentation'!$M$89:$M$223=TRUE)*($AD210='AOI Segmentation'!$AK$89:$AK$223)*('Climate-Alignment Target'!I$200='AOI Segmentation'!$Q$88:$V$88)*('AOI Segmentation'!$Q$89:$V$223)),"")</f>
        <v/>
      </c>
      <c r="J210" s="557" t="str" cm="1">
        <f t="array" ref="J210">IF($D210="Climate-alignment target",SUMPRODUCT(('AOI Segmentation'!$M$89:$M$223=TRUE)*($AD210='AOI Segmentation'!$AK$89:$AK$223)*('Climate-Alignment Target'!J$200='AOI Segmentation'!$Q$88:$V$88)*('AOI Segmentation'!$Q$89:$V$223)),"")</f>
        <v/>
      </c>
      <c r="K210" s="557" t="str">
        <f t="shared" si="114"/>
        <v/>
      </c>
      <c r="L210" s="557" t="str">
        <f t="shared" si="118"/>
        <v/>
      </c>
      <c r="M210" s="562">
        <f t="shared" si="115"/>
        <v>0</v>
      </c>
      <c r="N210" s="915"/>
      <c r="O210" s="462"/>
      <c r="P210" s="562" t="str">
        <f t="shared" si="119"/>
        <v/>
      </c>
      <c r="Q210" s="560" t="str">
        <f t="shared" si="120"/>
        <v/>
      </c>
      <c r="R210" s="16"/>
      <c r="U210" s="1"/>
      <c r="V210" s="1"/>
      <c r="W210" s="26"/>
      <c r="X210" s="113" t="s">
        <v>378</v>
      </c>
      <c r="Y210" s="113">
        <f t="shared" si="116"/>
        <v>2050</v>
      </c>
      <c r="Z210" s="113">
        <f t="shared" si="117"/>
        <v>0.95</v>
      </c>
      <c r="AA210" s="121"/>
      <c r="AB210" s="121" t="str">
        <f t="shared" si="121"/>
        <v/>
      </c>
      <c r="AC210" s="121" t="str">
        <f t="shared" si="122"/>
        <v/>
      </c>
      <c r="AD210" s="107" t="s">
        <v>220</v>
      </c>
    </row>
    <row r="211" spans="1:30" ht="46.25" hidden="1" customHeight="1" outlineLevel="3">
      <c r="A211" s="340" t="s">
        <v>121</v>
      </c>
      <c r="B211" s="340" t="s">
        <v>396</v>
      </c>
      <c r="C211" s="927"/>
      <c r="D211" s="333" t="str">
        <f>IF(SUMIF('AOI Segmentation'!$AK$89:$AK$223,'Climate-Alignment Target'!AD211,'AOI Segmentation'!$AL$89:$AL$223)&gt;0,"Climate-alignment target",IF(SUMIF('AOI Segmentation'!$AK$89:$AK$223,'Climate-Alignment Target'!AD211,'AOI Segmentation'!$AM$89:$AM$223)&gt;0,"Sector target","No target type selected"))</f>
        <v>No target type selected</v>
      </c>
      <c r="E211" s="557" cm="1">
        <f t="array" ref="E211">SUMPRODUCT(('AOI Segmentation'!$M$89:$M$223=TRUE)*($AD211='AOI Segmentation'!$AK$89:$AK$223)*('Climate-Alignment Target'!E$200='AOI Segmentation'!$Q$88:$V$88)*('AOI Segmentation'!$Q$89:$V$223))</f>
        <v>0</v>
      </c>
      <c r="F211" s="557" t="str" cm="1">
        <f t="array" ref="F211">IF($D211="Climate-alignment target",SUMPRODUCT(('AOI Segmentation'!$M$89:$M$223=TRUE)*($AD211='AOI Segmentation'!$AK$89:$AK$223)*('Climate-Alignment Target'!F$200='AOI Segmentation'!$Q$88:$V$88)*('AOI Segmentation'!$Q$89:$V$223)),"")</f>
        <v/>
      </c>
      <c r="G211" s="557" t="str" cm="1">
        <f t="array" ref="G211">IF($D211="Climate-alignment target",SUMPRODUCT(('AOI Segmentation'!$M$89:$M$223=TRUE)*($AD211='AOI Segmentation'!$AK$89:$AK$223)*('Climate-Alignment Target'!G$200='AOI Segmentation'!$Q$88:$V$88)*('AOI Segmentation'!$Q$89:$V$223)),"")</f>
        <v/>
      </c>
      <c r="H211" s="557" t="str" cm="1">
        <f t="array" ref="H211">IF($D211="Climate-alignment target",SUMPRODUCT(('AOI Segmentation'!$M$89:$M$223=TRUE)*($AD211='AOI Segmentation'!$AK$89:$AK$223)*('Climate-Alignment Target'!H$200='AOI Segmentation'!$Q$88:$V$88)*('AOI Segmentation'!$Q$89:$V$223)),"")</f>
        <v/>
      </c>
      <c r="I211" s="557" t="str" cm="1">
        <f t="array" ref="I211">IF($D211="Climate-alignment target",SUMPRODUCT(('AOI Segmentation'!$M$89:$M$223=TRUE)*($AD211='AOI Segmentation'!$AK$89:$AK$223)*('Climate-Alignment Target'!I$200='AOI Segmentation'!$Q$88:$V$88)*('AOI Segmentation'!$Q$89:$V$223)),"")</f>
        <v/>
      </c>
      <c r="J211" s="557" t="str" cm="1">
        <f t="array" ref="J211">IF($D211="Climate-alignment target",SUMPRODUCT(('AOI Segmentation'!$M$89:$M$223=TRUE)*($AD211='AOI Segmentation'!$AK$89:$AK$223)*('Climate-Alignment Target'!J$200='AOI Segmentation'!$Q$88:$V$88)*('AOI Segmentation'!$Q$89:$V$223)),"")</f>
        <v/>
      </c>
      <c r="K211" s="557" t="str">
        <f t="shared" si="114"/>
        <v/>
      </c>
      <c r="L211" s="557" t="str">
        <f t="shared" si="118"/>
        <v/>
      </c>
      <c r="M211" s="562">
        <f t="shared" si="115"/>
        <v>0</v>
      </c>
      <c r="N211" s="915"/>
      <c r="O211" s="462"/>
      <c r="P211" s="562" t="str">
        <f t="shared" si="119"/>
        <v/>
      </c>
      <c r="Q211" s="560" t="str">
        <f t="shared" si="120"/>
        <v/>
      </c>
      <c r="R211" s="16"/>
      <c r="U211" s="1"/>
      <c r="V211" s="1"/>
      <c r="W211" s="26"/>
      <c r="X211" s="113" t="s">
        <v>373</v>
      </c>
      <c r="Y211" s="113">
        <f t="shared" si="116"/>
        <v>2040</v>
      </c>
      <c r="Z211" s="113">
        <f t="shared" si="117"/>
        <v>0.95</v>
      </c>
      <c r="AA211" s="121"/>
      <c r="AB211" s="121" t="str">
        <f t="shared" si="121"/>
        <v/>
      </c>
      <c r="AC211" s="121" t="str">
        <f t="shared" si="122"/>
        <v/>
      </c>
      <c r="AD211" s="107" t="s">
        <v>193</v>
      </c>
    </row>
    <row r="212" spans="1:30" ht="46.25" hidden="1" customHeight="1" outlineLevel="3">
      <c r="A212" s="340" t="s">
        <v>136</v>
      </c>
      <c r="B212" s="340" t="s">
        <v>396</v>
      </c>
      <c r="C212" s="927"/>
      <c r="D212" s="333" t="str">
        <f>IF(SUMIF('AOI Segmentation'!$AK$89:$AK$223,'Climate-Alignment Target'!AD212,'AOI Segmentation'!$AL$89:$AL$223)&gt;0,"Climate-alignment target",IF(SUMIF('AOI Segmentation'!$AK$89:$AK$223,'Climate-Alignment Target'!AD212,'AOI Segmentation'!$AM$89:$AM$223)&gt;0,"Sector target","No target type selected"))</f>
        <v>No target type selected</v>
      </c>
      <c r="E212" s="557" cm="1">
        <f t="array" ref="E212">SUMPRODUCT(('AOI Segmentation'!$M$89:$M$223=TRUE)*($AD212='AOI Segmentation'!$AK$89:$AK$223)*('Climate-Alignment Target'!E$200='AOI Segmentation'!$Q$88:$V$88)*('AOI Segmentation'!$Q$89:$V$223))</f>
        <v>0</v>
      </c>
      <c r="F212" s="557" t="str" cm="1">
        <f t="array" ref="F212">IF($D212="Climate-alignment target",SUMPRODUCT(('AOI Segmentation'!$M$89:$M$223=TRUE)*($AD212='AOI Segmentation'!$AK$89:$AK$223)*('Climate-Alignment Target'!F$200='AOI Segmentation'!$Q$88:$V$88)*('AOI Segmentation'!$Q$89:$V$223)),"")</f>
        <v/>
      </c>
      <c r="G212" s="557" t="str" cm="1">
        <f t="array" ref="G212">IF($D212="Climate-alignment target",SUMPRODUCT(('AOI Segmentation'!$M$89:$M$223=TRUE)*($AD212='AOI Segmentation'!$AK$89:$AK$223)*('Climate-Alignment Target'!G$200='AOI Segmentation'!$Q$88:$V$88)*('AOI Segmentation'!$Q$89:$V$223)),"")</f>
        <v/>
      </c>
      <c r="H212" s="557" t="str" cm="1">
        <f t="array" ref="H212">IF($D212="Climate-alignment target",SUMPRODUCT(('AOI Segmentation'!$M$89:$M$223=TRUE)*($AD212='AOI Segmentation'!$AK$89:$AK$223)*('Climate-Alignment Target'!H$200='AOI Segmentation'!$Q$88:$V$88)*('AOI Segmentation'!$Q$89:$V$223)),"")</f>
        <v/>
      </c>
      <c r="I212" s="557" t="str" cm="1">
        <f t="array" ref="I212">IF($D212="Climate-alignment target",SUMPRODUCT(('AOI Segmentation'!$M$89:$M$223=TRUE)*($AD212='AOI Segmentation'!$AK$89:$AK$223)*('Climate-Alignment Target'!I$200='AOI Segmentation'!$Q$88:$V$88)*('AOI Segmentation'!$Q$89:$V$223)),"")</f>
        <v/>
      </c>
      <c r="J212" s="557" t="str" cm="1">
        <f t="array" ref="J212">IF($D212="Climate-alignment target",SUMPRODUCT(('AOI Segmentation'!$M$89:$M$223=TRUE)*($AD212='AOI Segmentation'!$AK$89:$AK$223)*('Climate-Alignment Target'!J$200='AOI Segmentation'!$Q$88:$V$88)*('AOI Segmentation'!$Q$89:$V$223)),"")</f>
        <v/>
      </c>
      <c r="K212" s="557" t="str">
        <f t="shared" si="114"/>
        <v/>
      </c>
      <c r="L212" s="557" t="str">
        <f t="shared" si="118"/>
        <v/>
      </c>
      <c r="M212" s="562">
        <f t="shared" si="115"/>
        <v>0</v>
      </c>
      <c r="N212" s="915"/>
      <c r="O212" s="462"/>
      <c r="P212" s="562" t="str">
        <f t="shared" si="119"/>
        <v/>
      </c>
      <c r="Q212" s="560" t="str">
        <f t="shared" si="120"/>
        <v/>
      </c>
      <c r="R212" s="16"/>
      <c r="U212" s="1"/>
      <c r="V212" s="1"/>
      <c r="W212" s="26"/>
      <c r="X212" s="113" t="s">
        <v>378</v>
      </c>
      <c r="Y212" s="113">
        <f t="shared" si="116"/>
        <v>2050</v>
      </c>
      <c r="Z212" s="113">
        <f t="shared" si="117"/>
        <v>0.95</v>
      </c>
      <c r="AA212" s="121"/>
      <c r="AB212" s="121" t="str">
        <f t="shared" si="121"/>
        <v/>
      </c>
      <c r="AC212" s="121" t="str">
        <f t="shared" si="122"/>
        <v/>
      </c>
      <c r="AD212" s="107" t="s">
        <v>221</v>
      </c>
    </row>
    <row r="213" spans="1:30" ht="46.25" hidden="1" customHeight="1" outlineLevel="3">
      <c r="A213" s="340" t="s">
        <v>121</v>
      </c>
      <c r="B213" s="340" t="s">
        <v>397</v>
      </c>
      <c r="C213" s="927"/>
      <c r="D213" s="333" t="str">
        <f>IF(SUMIF('AOI Segmentation'!$AK$89:$AK$223,'Climate-Alignment Target'!AD213,'AOI Segmentation'!$AL$89:$AL$223)&gt;0,"Climate-alignment target",IF(SUMIF('AOI Segmentation'!$AK$89:$AK$223,'Climate-Alignment Target'!AD213,'AOI Segmentation'!$AM$89:$AM$223)&gt;0,"Sector target","No target type selected"))</f>
        <v>No target type selected</v>
      </c>
      <c r="E213" s="557" cm="1">
        <f t="array" ref="E213">SUMPRODUCT(('AOI Segmentation'!$M$89:$M$223=TRUE)*($AD213='AOI Segmentation'!$AK$89:$AK$223)*('Climate-Alignment Target'!E$200='AOI Segmentation'!$Q$88:$V$88)*('AOI Segmentation'!$Q$89:$V$223))</f>
        <v>0</v>
      </c>
      <c r="F213" s="557" t="str" cm="1">
        <f t="array" ref="F213">IF($D213="Climate-alignment target",SUMPRODUCT(('AOI Segmentation'!$M$89:$M$223=TRUE)*($AD213='AOI Segmentation'!$AK$89:$AK$223)*('Climate-Alignment Target'!F$200='AOI Segmentation'!$Q$88:$V$88)*('AOI Segmentation'!$Q$89:$V$223)),"")</f>
        <v/>
      </c>
      <c r="G213" s="557" t="str" cm="1">
        <f t="array" ref="G213">IF($D213="Climate-alignment target",SUMPRODUCT(('AOI Segmentation'!$M$89:$M$223=TRUE)*($AD213='AOI Segmentation'!$AK$89:$AK$223)*('Climate-Alignment Target'!G$200='AOI Segmentation'!$Q$88:$V$88)*('AOI Segmentation'!$Q$89:$V$223)),"")</f>
        <v/>
      </c>
      <c r="H213" s="557" t="str" cm="1">
        <f t="array" ref="H213">IF($D213="Climate-alignment target",SUMPRODUCT(('AOI Segmentation'!$M$89:$M$223=TRUE)*($AD213='AOI Segmentation'!$AK$89:$AK$223)*('Climate-Alignment Target'!H$200='AOI Segmentation'!$Q$88:$V$88)*('AOI Segmentation'!$Q$89:$V$223)),"")</f>
        <v/>
      </c>
      <c r="I213" s="557" t="str" cm="1">
        <f t="array" ref="I213">IF($D213="Climate-alignment target",SUMPRODUCT(('AOI Segmentation'!$M$89:$M$223=TRUE)*($AD213='AOI Segmentation'!$AK$89:$AK$223)*('Climate-Alignment Target'!I$200='AOI Segmentation'!$Q$88:$V$88)*('AOI Segmentation'!$Q$89:$V$223)),"")</f>
        <v/>
      </c>
      <c r="J213" s="557" t="str" cm="1">
        <f t="array" ref="J213">IF($D213="Climate-alignment target",SUMPRODUCT(('AOI Segmentation'!$M$89:$M$223=TRUE)*($AD213='AOI Segmentation'!$AK$89:$AK$223)*('Climate-Alignment Target'!J$200='AOI Segmentation'!$Q$88:$V$88)*('AOI Segmentation'!$Q$89:$V$223)),"")</f>
        <v/>
      </c>
      <c r="K213" s="557" t="str">
        <f t="shared" si="114"/>
        <v/>
      </c>
      <c r="L213" s="557" t="str">
        <f t="shared" si="118"/>
        <v/>
      </c>
      <c r="M213" s="562">
        <f t="shared" si="115"/>
        <v>0</v>
      </c>
      <c r="N213" s="915"/>
      <c r="O213" s="462"/>
      <c r="P213" s="562" t="str">
        <f t="shared" si="119"/>
        <v/>
      </c>
      <c r="Q213" s="560" t="str">
        <f t="shared" si="120"/>
        <v/>
      </c>
      <c r="R213" s="16"/>
      <c r="U213" s="1"/>
      <c r="V213" s="1"/>
      <c r="W213" s="26"/>
      <c r="X213" s="113" t="s">
        <v>373</v>
      </c>
      <c r="Y213" s="113">
        <f t="shared" si="116"/>
        <v>2040</v>
      </c>
      <c r="Z213" s="113">
        <f t="shared" si="117"/>
        <v>0.95</v>
      </c>
      <c r="AA213" s="121"/>
      <c r="AB213" s="121" t="str">
        <f t="shared" si="121"/>
        <v/>
      </c>
      <c r="AC213" s="121" t="str">
        <f t="shared" si="122"/>
        <v/>
      </c>
      <c r="AD213" s="107" t="s">
        <v>197</v>
      </c>
    </row>
    <row r="214" spans="1:30" ht="46.25" hidden="1" customHeight="1" outlineLevel="3">
      <c r="A214" s="340" t="s">
        <v>136</v>
      </c>
      <c r="B214" s="340" t="s">
        <v>397</v>
      </c>
      <c r="C214" s="927"/>
      <c r="D214" s="333" t="str">
        <f>IF(SUMIF('AOI Segmentation'!$AK$89:$AK$223,'Climate-Alignment Target'!AD214,'AOI Segmentation'!$AL$89:$AL$223)&gt;0,"Climate-alignment target",IF(SUMIF('AOI Segmentation'!$AK$89:$AK$223,'Climate-Alignment Target'!AD214,'AOI Segmentation'!$AM$89:$AM$223)&gt;0,"Sector target","No target type selected"))</f>
        <v>No target type selected</v>
      </c>
      <c r="E214" s="557" cm="1">
        <f t="array" ref="E214">SUMPRODUCT(('AOI Segmentation'!$M$89:$M$223=TRUE)*($AD214='AOI Segmentation'!$AK$89:$AK$223)*('Climate-Alignment Target'!E$200='AOI Segmentation'!$Q$88:$V$88)*('AOI Segmentation'!$Q$89:$V$223))</f>
        <v>0</v>
      </c>
      <c r="F214" s="557" t="str" cm="1">
        <f t="array" ref="F214">IF($D214="Climate-alignment target",SUMPRODUCT(('AOI Segmentation'!$M$89:$M$223=TRUE)*($AD214='AOI Segmentation'!$AK$89:$AK$223)*('Climate-Alignment Target'!F$200='AOI Segmentation'!$Q$88:$V$88)*('AOI Segmentation'!$Q$89:$V$223)),"")</f>
        <v/>
      </c>
      <c r="G214" s="557" t="str" cm="1">
        <f t="array" ref="G214">IF($D214="Climate-alignment target",SUMPRODUCT(('AOI Segmentation'!$M$89:$M$223=TRUE)*($AD214='AOI Segmentation'!$AK$89:$AK$223)*('Climate-Alignment Target'!G$200='AOI Segmentation'!$Q$88:$V$88)*('AOI Segmentation'!$Q$89:$V$223)),"")</f>
        <v/>
      </c>
      <c r="H214" s="557" t="str" cm="1">
        <f t="array" ref="H214">IF($D214="Climate-alignment target",SUMPRODUCT(('AOI Segmentation'!$M$89:$M$223=TRUE)*($AD214='AOI Segmentation'!$AK$89:$AK$223)*('Climate-Alignment Target'!H$200='AOI Segmentation'!$Q$88:$V$88)*('AOI Segmentation'!$Q$89:$V$223)),"")</f>
        <v/>
      </c>
      <c r="I214" s="557" t="str" cm="1">
        <f t="array" ref="I214">IF($D214="Climate-alignment target",SUMPRODUCT(('AOI Segmentation'!$M$89:$M$223=TRUE)*($AD214='AOI Segmentation'!$AK$89:$AK$223)*('Climate-Alignment Target'!I$200='AOI Segmentation'!$Q$88:$V$88)*('AOI Segmentation'!$Q$89:$V$223)),"")</f>
        <v/>
      </c>
      <c r="J214" s="557" t="str" cm="1">
        <f t="array" ref="J214">IF($D214="Climate-alignment target",SUMPRODUCT(('AOI Segmentation'!$M$89:$M$223=TRUE)*($AD214='AOI Segmentation'!$AK$89:$AK$223)*('Climate-Alignment Target'!J$200='AOI Segmentation'!$Q$88:$V$88)*('AOI Segmentation'!$Q$89:$V$223)),"")</f>
        <v/>
      </c>
      <c r="K214" s="557" t="str">
        <f t="shared" si="114"/>
        <v/>
      </c>
      <c r="L214" s="557" t="str">
        <f t="shared" si="118"/>
        <v/>
      </c>
      <c r="M214" s="562">
        <f t="shared" si="115"/>
        <v>0</v>
      </c>
      <c r="N214" s="915"/>
      <c r="O214" s="462"/>
      <c r="P214" s="562" t="str">
        <f t="shared" si="119"/>
        <v/>
      </c>
      <c r="Q214" s="560" t="str">
        <f t="shared" si="120"/>
        <v/>
      </c>
      <c r="R214" s="16"/>
      <c r="U214" s="1"/>
      <c r="V214" s="1"/>
      <c r="W214" s="26"/>
      <c r="X214" s="113" t="s">
        <v>378</v>
      </c>
      <c r="Y214" s="113">
        <f t="shared" si="116"/>
        <v>2050</v>
      </c>
      <c r="Z214" s="113">
        <f t="shared" si="117"/>
        <v>0.95</v>
      </c>
      <c r="AA214" s="121"/>
      <c r="AB214" s="121" t="str">
        <f t="shared" si="121"/>
        <v/>
      </c>
      <c r="AC214" s="121" t="str">
        <f t="shared" si="122"/>
        <v/>
      </c>
      <c r="AD214" s="107" t="s">
        <v>222</v>
      </c>
    </row>
    <row r="215" spans="1:30" ht="46.25" hidden="1" customHeight="1" outlineLevel="3">
      <c r="A215" s="340" t="s">
        <v>121</v>
      </c>
      <c r="B215" s="340" t="s">
        <v>398</v>
      </c>
      <c r="C215" s="927"/>
      <c r="D215" s="333" t="str">
        <f>IF(SUMIF('AOI Segmentation'!$AK$89:$AK$223,'Climate-Alignment Target'!AD215,'AOI Segmentation'!$AL$89:$AL$223)&gt;0,"Climate-alignment target",IF(SUMIF('AOI Segmentation'!$AK$89:$AK$223,'Climate-Alignment Target'!AD215,'AOI Segmentation'!$AM$89:$AM$223)&gt;0,"Sector target","No target type selected"))</f>
        <v>No target type selected</v>
      </c>
      <c r="E215" s="557" cm="1">
        <f t="array" ref="E215">SUMPRODUCT(('AOI Segmentation'!$M$89:$M$223=TRUE)*($AD215='AOI Segmentation'!$AK$89:$AK$223)*('Climate-Alignment Target'!E$200='AOI Segmentation'!$Q$88:$V$88)*('AOI Segmentation'!$Q$89:$V$223))</f>
        <v>0</v>
      </c>
      <c r="F215" s="557" t="str" cm="1">
        <f t="array" ref="F215">IF($D215="Climate-alignment target",SUMPRODUCT(('AOI Segmentation'!$M$89:$M$223=TRUE)*($AD215='AOI Segmentation'!$AK$89:$AK$223)*('Climate-Alignment Target'!F$200='AOI Segmentation'!$Q$88:$V$88)*('AOI Segmentation'!$Q$89:$V$223)),"")</f>
        <v/>
      </c>
      <c r="G215" s="557" t="str" cm="1">
        <f t="array" ref="G215">IF($D215="Climate-alignment target",SUMPRODUCT(('AOI Segmentation'!$M$89:$M$223=TRUE)*($AD215='AOI Segmentation'!$AK$89:$AK$223)*('Climate-Alignment Target'!G$200='AOI Segmentation'!$Q$88:$V$88)*('AOI Segmentation'!$Q$89:$V$223)),"")</f>
        <v/>
      </c>
      <c r="H215" s="557" t="str" cm="1">
        <f t="array" ref="H215">IF($D215="Climate-alignment target",SUMPRODUCT(('AOI Segmentation'!$M$89:$M$223=TRUE)*($AD215='AOI Segmentation'!$AK$89:$AK$223)*('Climate-Alignment Target'!H$200='AOI Segmentation'!$Q$88:$V$88)*('AOI Segmentation'!$Q$89:$V$223)),"")</f>
        <v/>
      </c>
      <c r="I215" s="557" t="str" cm="1">
        <f t="array" ref="I215">IF($D215="Climate-alignment target",SUMPRODUCT(('AOI Segmentation'!$M$89:$M$223=TRUE)*($AD215='AOI Segmentation'!$AK$89:$AK$223)*('Climate-Alignment Target'!I$200='AOI Segmentation'!$Q$88:$V$88)*('AOI Segmentation'!$Q$89:$V$223)),"")</f>
        <v/>
      </c>
      <c r="J215" s="557" t="str" cm="1">
        <f t="array" ref="J215">IF($D215="Climate-alignment target",SUMPRODUCT(('AOI Segmentation'!$M$89:$M$223=TRUE)*($AD215='AOI Segmentation'!$AK$89:$AK$223)*('Climate-Alignment Target'!J$200='AOI Segmentation'!$Q$88:$V$88)*('AOI Segmentation'!$Q$89:$V$223)),"")</f>
        <v/>
      </c>
      <c r="K215" s="557" t="str">
        <f t="shared" si="114"/>
        <v/>
      </c>
      <c r="L215" s="557" t="str">
        <f t="shared" si="118"/>
        <v/>
      </c>
      <c r="M215" s="562">
        <f t="shared" si="115"/>
        <v>0</v>
      </c>
      <c r="N215" s="915"/>
      <c r="O215" s="462"/>
      <c r="P215" s="562" t="str">
        <f t="shared" si="119"/>
        <v/>
      </c>
      <c r="Q215" s="560" t="str">
        <f t="shared" si="120"/>
        <v/>
      </c>
      <c r="R215" s="16"/>
      <c r="U215" s="1"/>
      <c r="V215" s="1"/>
      <c r="W215" s="26"/>
      <c r="X215" s="113" t="s">
        <v>373</v>
      </c>
      <c r="Y215" s="113">
        <f t="shared" si="116"/>
        <v>2040</v>
      </c>
      <c r="Z215" s="113">
        <f t="shared" si="117"/>
        <v>0.95</v>
      </c>
      <c r="AA215" s="121"/>
      <c r="AB215" s="121" t="str">
        <f t="shared" si="121"/>
        <v/>
      </c>
      <c r="AC215" s="121" t="str">
        <f t="shared" si="122"/>
        <v/>
      </c>
      <c r="AD215" s="107" t="s">
        <v>202</v>
      </c>
    </row>
    <row r="216" spans="1:30" ht="46.25" hidden="1" customHeight="1" outlineLevel="3">
      <c r="A216" s="340" t="s">
        <v>136</v>
      </c>
      <c r="B216" s="340" t="s">
        <v>398</v>
      </c>
      <c r="C216" s="927"/>
      <c r="D216" s="333" t="str">
        <f>IF(SUMIF('AOI Segmentation'!$AK$89:$AK$223,'Climate-Alignment Target'!AD216,'AOI Segmentation'!$AL$89:$AL$223)&gt;0,"Climate-alignment target",IF(SUMIF('AOI Segmentation'!$AK$89:$AK$223,'Climate-Alignment Target'!AD216,'AOI Segmentation'!$AM$89:$AM$223)&gt;0,"Sector target","No target type selected"))</f>
        <v>No target type selected</v>
      </c>
      <c r="E216" s="557" cm="1">
        <f t="array" ref="E216">SUMPRODUCT(('AOI Segmentation'!$M$89:$M$223=TRUE)*($AD216='AOI Segmentation'!$AK$89:$AK$223)*('Climate-Alignment Target'!E$200='AOI Segmentation'!$Q$88:$V$88)*('AOI Segmentation'!$Q$89:$V$223))</f>
        <v>0</v>
      </c>
      <c r="F216" s="557" t="str" cm="1">
        <f t="array" ref="F216">IF($D216="Climate-alignment target",SUMPRODUCT(('AOI Segmentation'!$M$89:$M$223=TRUE)*($AD216='AOI Segmentation'!$AK$89:$AK$223)*('Climate-Alignment Target'!F$200='AOI Segmentation'!$Q$88:$V$88)*('AOI Segmentation'!$Q$89:$V$223)),"")</f>
        <v/>
      </c>
      <c r="G216" s="557" t="str" cm="1">
        <f t="array" ref="G216">IF($D216="Climate-alignment target",SUMPRODUCT(('AOI Segmentation'!$M$89:$M$223=TRUE)*($AD216='AOI Segmentation'!$AK$89:$AK$223)*('Climate-Alignment Target'!G$200='AOI Segmentation'!$Q$88:$V$88)*('AOI Segmentation'!$Q$89:$V$223)),"")</f>
        <v/>
      </c>
      <c r="H216" s="557" t="str" cm="1">
        <f t="array" ref="H216">IF($D216="Climate-alignment target",SUMPRODUCT(('AOI Segmentation'!$M$89:$M$223=TRUE)*($AD216='AOI Segmentation'!$AK$89:$AK$223)*('Climate-Alignment Target'!H$200='AOI Segmentation'!$Q$88:$V$88)*('AOI Segmentation'!$Q$89:$V$223)),"")</f>
        <v/>
      </c>
      <c r="I216" s="557" t="str" cm="1">
        <f t="array" ref="I216">IF($D216="Climate-alignment target",SUMPRODUCT(('AOI Segmentation'!$M$89:$M$223=TRUE)*($AD216='AOI Segmentation'!$AK$89:$AK$223)*('Climate-Alignment Target'!I$200='AOI Segmentation'!$Q$88:$V$88)*('AOI Segmentation'!$Q$89:$V$223)),"")</f>
        <v/>
      </c>
      <c r="J216" s="557" t="str" cm="1">
        <f t="array" ref="J216">IF($D216="Climate-alignment target",SUMPRODUCT(('AOI Segmentation'!$M$89:$M$223=TRUE)*($AD216='AOI Segmentation'!$AK$89:$AK$223)*('Climate-Alignment Target'!J$200='AOI Segmentation'!$Q$88:$V$88)*('AOI Segmentation'!$Q$89:$V$223)),"")</f>
        <v/>
      </c>
      <c r="K216" s="557" t="str">
        <f t="shared" si="114"/>
        <v/>
      </c>
      <c r="L216" s="557" t="str">
        <f t="shared" si="118"/>
        <v/>
      </c>
      <c r="M216" s="562">
        <f t="shared" si="115"/>
        <v>0</v>
      </c>
      <c r="N216" s="915"/>
      <c r="O216" s="462"/>
      <c r="P216" s="562" t="str">
        <f t="shared" si="119"/>
        <v/>
      </c>
      <c r="Q216" s="560" t="str">
        <f t="shared" si="120"/>
        <v/>
      </c>
      <c r="R216" s="16"/>
      <c r="U216" s="1"/>
      <c r="V216" s="1"/>
      <c r="W216" s="26"/>
      <c r="X216" s="113" t="s">
        <v>378</v>
      </c>
      <c r="Y216" s="113">
        <f t="shared" si="116"/>
        <v>2050</v>
      </c>
      <c r="Z216" s="113">
        <f t="shared" si="117"/>
        <v>0.95</v>
      </c>
      <c r="AA216" s="121"/>
      <c r="AB216" s="121" t="str">
        <f t="shared" si="121"/>
        <v/>
      </c>
      <c r="AC216" s="121" t="str">
        <f t="shared" si="122"/>
        <v/>
      </c>
      <c r="AD216" s="107" t="s">
        <v>223</v>
      </c>
    </row>
    <row r="217" spans="1:30" ht="46.25" hidden="1" customHeight="1" outlineLevel="3">
      <c r="A217" s="340" t="s">
        <v>121</v>
      </c>
      <c r="B217" s="340" t="s">
        <v>399</v>
      </c>
      <c r="C217" s="927"/>
      <c r="D217" s="333" t="str">
        <f>IF(SUMIF('AOI Segmentation'!$AK$89:$AK$223,'Climate-Alignment Target'!AD217,'AOI Segmentation'!$AL$89:$AL$223)&gt;0,"Climate-alignment target",IF(SUMIF('AOI Segmentation'!$AK$89:$AK$223,'Climate-Alignment Target'!AD217,'AOI Segmentation'!$AM$89:$AM$223)&gt;0,"Sector target","No target type selected"))</f>
        <v>No target type selected</v>
      </c>
      <c r="E217" s="557" cm="1">
        <f t="array" ref="E217">SUMPRODUCT(('AOI Segmentation'!$M$89:$M$223=TRUE)*($AD217='AOI Segmentation'!$AK$89:$AK$223)*('Climate-Alignment Target'!E$200='AOI Segmentation'!$Q$88:$V$88)*('AOI Segmentation'!$Q$89:$V$223))</f>
        <v>0</v>
      </c>
      <c r="F217" s="557" t="str" cm="1">
        <f t="array" ref="F217">IF($D217="Climate-alignment target",SUMPRODUCT(('AOI Segmentation'!$M$89:$M$223=TRUE)*($AD217='AOI Segmentation'!$AK$89:$AK$223)*('Climate-Alignment Target'!F$200='AOI Segmentation'!$Q$88:$V$88)*('AOI Segmentation'!$Q$89:$V$223)),"")</f>
        <v/>
      </c>
      <c r="G217" s="557" t="str" cm="1">
        <f t="array" ref="G217">IF($D217="Climate-alignment target",SUMPRODUCT(('AOI Segmentation'!$M$89:$M$223=TRUE)*($AD217='AOI Segmentation'!$AK$89:$AK$223)*('Climate-Alignment Target'!G$200='AOI Segmentation'!$Q$88:$V$88)*('AOI Segmentation'!$Q$89:$V$223)),"")</f>
        <v/>
      </c>
      <c r="H217" s="557" t="str" cm="1">
        <f t="array" ref="H217">IF($D217="Climate-alignment target",SUMPRODUCT(('AOI Segmentation'!$M$89:$M$223=TRUE)*($AD217='AOI Segmentation'!$AK$89:$AK$223)*('Climate-Alignment Target'!H$200='AOI Segmentation'!$Q$88:$V$88)*('AOI Segmentation'!$Q$89:$V$223)),"")</f>
        <v/>
      </c>
      <c r="I217" s="557" t="str" cm="1">
        <f t="array" ref="I217">IF($D217="Climate-alignment target",SUMPRODUCT(('AOI Segmentation'!$M$89:$M$223=TRUE)*($AD217='AOI Segmentation'!$AK$89:$AK$223)*('Climate-Alignment Target'!I$200='AOI Segmentation'!$Q$88:$V$88)*('AOI Segmentation'!$Q$89:$V$223)),"")</f>
        <v/>
      </c>
      <c r="J217" s="557" t="str" cm="1">
        <f t="array" ref="J217">IF($D217="Climate-alignment target",SUMPRODUCT(('AOI Segmentation'!$M$89:$M$223=TRUE)*($AD217='AOI Segmentation'!$AK$89:$AK$223)*('Climate-Alignment Target'!J$200='AOI Segmentation'!$Q$88:$V$88)*('AOI Segmentation'!$Q$89:$V$223)),"")</f>
        <v/>
      </c>
      <c r="K217" s="557" t="str">
        <f t="shared" si="114"/>
        <v/>
      </c>
      <c r="L217" s="557" t="str">
        <f t="shared" si="118"/>
        <v/>
      </c>
      <c r="M217" s="562">
        <f t="shared" si="115"/>
        <v>0</v>
      </c>
      <c r="N217" s="915"/>
      <c r="O217" s="462"/>
      <c r="P217" s="562" t="str">
        <f t="shared" si="119"/>
        <v/>
      </c>
      <c r="Q217" s="560" t="str">
        <f t="shared" si="120"/>
        <v/>
      </c>
      <c r="R217" s="16"/>
      <c r="U217" s="1"/>
      <c r="V217" s="1"/>
      <c r="W217" s="26"/>
      <c r="X217" s="113" t="s">
        <v>373</v>
      </c>
      <c r="Y217" s="113">
        <f t="shared" si="116"/>
        <v>2040</v>
      </c>
      <c r="Z217" s="113">
        <f t="shared" si="117"/>
        <v>0.95</v>
      </c>
      <c r="AA217" s="121"/>
      <c r="AB217" s="121" t="str">
        <f t="shared" si="121"/>
        <v/>
      </c>
      <c r="AC217" s="121" t="str">
        <f t="shared" si="122"/>
        <v/>
      </c>
      <c r="AD217" s="107" t="s">
        <v>207</v>
      </c>
    </row>
    <row r="218" spans="1:30" ht="46.25" hidden="1" customHeight="1" outlineLevel="3">
      <c r="A218" s="340" t="s">
        <v>136</v>
      </c>
      <c r="B218" s="340" t="s">
        <v>399</v>
      </c>
      <c r="C218" s="927"/>
      <c r="D218" s="333" t="str">
        <f>IF(SUMIF('AOI Segmentation'!$AK$89:$AK$223,'Climate-Alignment Target'!AD218,'AOI Segmentation'!$AL$89:$AL$223)&gt;0,"Climate-alignment target",IF(SUMIF('AOI Segmentation'!$AK$89:$AK$223,'Climate-Alignment Target'!AD218,'AOI Segmentation'!$AM$89:$AM$223)&gt;0,"Sector target","No target type selected"))</f>
        <v>No target type selected</v>
      </c>
      <c r="E218" s="557" cm="1">
        <f t="array" ref="E218">SUMPRODUCT(('AOI Segmentation'!$M$89:$M$223=TRUE)*($AD218='AOI Segmentation'!$AK$89:$AK$223)*('Climate-Alignment Target'!E$200='AOI Segmentation'!$Q$88:$V$88)*('AOI Segmentation'!$Q$89:$V$223))</f>
        <v>0</v>
      </c>
      <c r="F218" s="557" t="str" cm="1">
        <f t="array" ref="F218">IF($D218="Climate-alignment target",SUMPRODUCT(('AOI Segmentation'!$M$89:$M$223=TRUE)*($AD218='AOI Segmentation'!$AK$89:$AK$223)*('Climate-Alignment Target'!F$200='AOI Segmentation'!$Q$88:$V$88)*('AOI Segmentation'!$Q$89:$V$223)),"")</f>
        <v/>
      </c>
      <c r="G218" s="557" t="str" cm="1">
        <f t="array" ref="G218">IF($D218="Climate-alignment target",SUMPRODUCT(('AOI Segmentation'!$M$89:$M$223=TRUE)*($AD218='AOI Segmentation'!$AK$89:$AK$223)*('Climate-Alignment Target'!G$200='AOI Segmentation'!$Q$88:$V$88)*('AOI Segmentation'!$Q$89:$V$223)),"")</f>
        <v/>
      </c>
      <c r="H218" s="557" t="str" cm="1">
        <f t="array" ref="H218">IF($D218="Climate-alignment target",SUMPRODUCT(('AOI Segmentation'!$M$89:$M$223=TRUE)*($AD218='AOI Segmentation'!$AK$89:$AK$223)*('Climate-Alignment Target'!H$200='AOI Segmentation'!$Q$88:$V$88)*('AOI Segmentation'!$Q$89:$V$223)),"")</f>
        <v/>
      </c>
      <c r="I218" s="557" t="str" cm="1">
        <f t="array" ref="I218">IF($D218="Climate-alignment target",SUMPRODUCT(('AOI Segmentation'!$M$89:$M$223=TRUE)*($AD218='AOI Segmentation'!$AK$89:$AK$223)*('Climate-Alignment Target'!I$200='AOI Segmentation'!$Q$88:$V$88)*('AOI Segmentation'!$Q$89:$V$223)),"")</f>
        <v/>
      </c>
      <c r="J218" s="557" t="str" cm="1">
        <f t="array" ref="J218">IF($D218="Climate-alignment target",SUMPRODUCT(('AOI Segmentation'!$M$89:$M$223=TRUE)*($AD218='AOI Segmentation'!$AK$89:$AK$223)*('Climate-Alignment Target'!J$200='AOI Segmentation'!$Q$88:$V$88)*('AOI Segmentation'!$Q$89:$V$223)),"")</f>
        <v/>
      </c>
      <c r="K218" s="557" t="str">
        <f t="shared" si="114"/>
        <v/>
      </c>
      <c r="L218" s="557" t="str">
        <f t="shared" si="118"/>
        <v/>
      </c>
      <c r="M218" s="562">
        <f t="shared" si="115"/>
        <v>0</v>
      </c>
      <c r="N218" s="915"/>
      <c r="O218" s="462"/>
      <c r="P218" s="562" t="str">
        <f t="shared" si="119"/>
        <v/>
      </c>
      <c r="Q218" s="560" t="str">
        <f t="shared" si="120"/>
        <v/>
      </c>
      <c r="R218" s="16"/>
      <c r="U218" s="1"/>
      <c r="V218" s="1"/>
      <c r="W218" s="26"/>
      <c r="X218" s="113" t="s">
        <v>378</v>
      </c>
      <c r="Y218" s="113">
        <f t="shared" si="116"/>
        <v>2050</v>
      </c>
      <c r="Z218" s="113">
        <f t="shared" si="117"/>
        <v>0.95</v>
      </c>
      <c r="AA218" s="121"/>
      <c r="AB218" s="121" t="str">
        <f t="shared" si="121"/>
        <v/>
      </c>
      <c r="AC218" s="121" t="str">
        <f t="shared" si="122"/>
        <v/>
      </c>
      <c r="AD218" s="107" t="s">
        <v>224</v>
      </c>
    </row>
    <row r="219" spans="1:30" ht="46.25" hidden="1" customHeight="1" outlineLevel="3">
      <c r="A219" s="340" t="s">
        <v>121</v>
      </c>
      <c r="B219" s="340" t="s">
        <v>400</v>
      </c>
      <c r="C219" s="927"/>
      <c r="D219" s="333" t="str">
        <f>IF(SUMIF('AOI Segmentation'!$AK$89:$AK$223,'Climate-Alignment Target'!AD219,'AOI Segmentation'!$AL$89:$AL$223)&gt;0,"Climate-alignment target",IF(SUMIF('AOI Segmentation'!$AK$89:$AK$223,'Climate-Alignment Target'!AD219,'AOI Segmentation'!$AM$89:$AM$223)&gt;0,"Sector target","No target type selected"))</f>
        <v>No target type selected</v>
      </c>
      <c r="E219" s="557" cm="1">
        <f t="array" ref="E219">SUMPRODUCT(('AOI Segmentation'!$M$89:$M$223=TRUE)*($AD219='AOI Segmentation'!$AK$89:$AK$223)*('Climate-Alignment Target'!E$200='AOI Segmentation'!$Q$88:$V$88)*('AOI Segmentation'!$Q$89:$V$223))</f>
        <v>0</v>
      </c>
      <c r="F219" s="557" t="str" cm="1">
        <f t="array" ref="F219">IF($D219="Climate-alignment target",SUMPRODUCT(('AOI Segmentation'!$M$89:$M$223=TRUE)*($AD219='AOI Segmentation'!$AK$89:$AK$223)*('Climate-Alignment Target'!F$200='AOI Segmentation'!$Q$88:$V$88)*('AOI Segmentation'!$Q$89:$V$223)),"")</f>
        <v/>
      </c>
      <c r="G219" s="557" t="str" cm="1">
        <f t="array" ref="G219">IF($D219="Climate-alignment target",SUMPRODUCT(('AOI Segmentation'!$M$89:$M$223=TRUE)*($AD219='AOI Segmentation'!$AK$89:$AK$223)*('Climate-Alignment Target'!G$200='AOI Segmentation'!$Q$88:$V$88)*('AOI Segmentation'!$Q$89:$V$223)),"")</f>
        <v/>
      </c>
      <c r="H219" s="557" t="str" cm="1">
        <f t="array" ref="H219">IF($D219="Climate-alignment target",SUMPRODUCT(('AOI Segmentation'!$M$89:$M$223=TRUE)*($AD219='AOI Segmentation'!$AK$89:$AK$223)*('Climate-Alignment Target'!H$200='AOI Segmentation'!$Q$88:$V$88)*('AOI Segmentation'!$Q$89:$V$223)),"")</f>
        <v/>
      </c>
      <c r="I219" s="557" t="str" cm="1">
        <f t="array" ref="I219">IF($D219="Climate-alignment target",SUMPRODUCT(('AOI Segmentation'!$M$89:$M$223=TRUE)*($AD219='AOI Segmentation'!$AK$89:$AK$223)*('Climate-Alignment Target'!I$200='AOI Segmentation'!$Q$88:$V$88)*('AOI Segmentation'!$Q$89:$V$223)),"")</f>
        <v/>
      </c>
      <c r="J219" s="557" t="str" cm="1">
        <f t="array" ref="J219">IF($D219="Climate-alignment target",SUMPRODUCT(('AOI Segmentation'!$M$89:$M$223=TRUE)*($AD219='AOI Segmentation'!$AK$89:$AK$223)*('Climate-Alignment Target'!J$200='AOI Segmentation'!$Q$88:$V$88)*('AOI Segmentation'!$Q$89:$V$223)),"")</f>
        <v/>
      </c>
      <c r="K219" s="557" t="str">
        <f t="shared" si="114"/>
        <v/>
      </c>
      <c r="L219" s="557" t="str">
        <f t="shared" si="118"/>
        <v/>
      </c>
      <c r="M219" s="562">
        <f t="shared" si="115"/>
        <v>0</v>
      </c>
      <c r="N219" s="915"/>
      <c r="O219" s="462"/>
      <c r="P219" s="562" t="str">
        <f t="shared" si="119"/>
        <v/>
      </c>
      <c r="Q219" s="560" t="str">
        <f t="shared" si="120"/>
        <v/>
      </c>
      <c r="R219" s="16"/>
      <c r="U219" s="1"/>
      <c r="V219" s="1"/>
      <c r="W219" s="26"/>
      <c r="X219" s="113" t="s">
        <v>373</v>
      </c>
      <c r="Y219" s="113">
        <f t="shared" si="116"/>
        <v>2040</v>
      </c>
      <c r="Z219" s="113">
        <f t="shared" si="117"/>
        <v>0.95</v>
      </c>
      <c r="AA219" s="121"/>
      <c r="AB219" s="121" t="str">
        <f t="shared" si="121"/>
        <v/>
      </c>
      <c r="AC219" s="121" t="str">
        <f t="shared" si="122"/>
        <v/>
      </c>
      <c r="AD219" s="107" t="s">
        <v>211</v>
      </c>
    </row>
    <row r="220" spans="1:30" ht="46.25" hidden="1" customHeight="1" outlineLevel="3">
      <c r="A220" s="340" t="s">
        <v>136</v>
      </c>
      <c r="B220" s="340" t="s">
        <v>400</v>
      </c>
      <c r="C220" s="927"/>
      <c r="D220" s="333" t="str">
        <f>IF(SUMIF('AOI Segmentation'!$AK$89:$AK$223,'Climate-Alignment Target'!AD220,'AOI Segmentation'!$AL$89:$AL$223)&gt;0,"Climate-alignment target",IF(SUMIF('AOI Segmentation'!$AK$89:$AK$223,'Climate-Alignment Target'!AD220,'AOI Segmentation'!$AM$89:$AM$223)&gt;0,"Sector target","No target type selected"))</f>
        <v>No target type selected</v>
      </c>
      <c r="E220" s="557" cm="1">
        <f t="array" ref="E220">SUMPRODUCT(('AOI Segmentation'!$M$89:$M$223=TRUE)*($AD220='AOI Segmentation'!$AK$89:$AK$223)*('Climate-Alignment Target'!E$200='AOI Segmentation'!$Q$88:$V$88)*('AOI Segmentation'!$Q$89:$V$223))</f>
        <v>0</v>
      </c>
      <c r="F220" s="557" t="str" cm="1">
        <f t="array" ref="F220">IF($D220="Climate-alignment target",SUMPRODUCT(('AOI Segmentation'!$M$89:$M$223=TRUE)*($AD220='AOI Segmentation'!$AK$89:$AK$223)*('Climate-Alignment Target'!F$200='AOI Segmentation'!$Q$88:$V$88)*('AOI Segmentation'!$Q$89:$V$223)),"")</f>
        <v/>
      </c>
      <c r="G220" s="557" t="str" cm="1">
        <f t="array" ref="G220">IF($D220="Climate-alignment target",SUMPRODUCT(('AOI Segmentation'!$M$89:$M$223=TRUE)*($AD220='AOI Segmentation'!$AK$89:$AK$223)*('Climate-Alignment Target'!G$200='AOI Segmentation'!$Q$88:$V$88)*('AOI Segmentation'!$Q$89:$V$223)),"")</f>
        <v/>
      </c>
      <c r="H220" s="557" t="str" cm="1">
        <f t="array" ref="H220">IF($D220="Climate-alignment target",SUMPRODUCT(('AOI Segmentation'!$M$89:$M$223=TRUE)*($AD220='AOI Segmentation'!$AK$89:$AK$223)*('Climate-Alignment Target'!H$200='AOI Segmentation'!$Q$88:$V$88)*('AOI Segmentation'!$Q$89:$V$223)),"")</f>
        <v/>
      </c>
      <c r="I220" s="557" t="str" cm="1">
        <f t="array" ref="I220">IF($D220="Climate-alignment target",SUMPRODUCT(('AOI Segmentation'!$M$89:$M$223=TRUE)*($AD220='AOI Segmentation'!$AK$89:$AK$223)*('Climate-Alignment Target'!I$200='AOI Segmentation'!$Q$88:$V$88)*('AOI Segmentation'!$Q$89:$V$223)),"")</f>
        <v/>
      </c>
      <c r="J220" s="557" t="str" cm="1">
        <f t="array" ref="J220">IF($D220="Climate-alignment target",SUMPRODUCT(('AOI Segmentation'!$M$89:$M$223=TRUE)*($AD220='AOI Segmentation'!$AK$89:$AK$223)*('Climate-Alignment Target'!J$200='AOI Segmentation'!$Q$88:$V$88)*('AOI Segmentation'!$Q$89:$V$223)),"")</f>
        <v/>
      </c>
      <c r="K220" s="557" t="str">
        <f t="shared" si="114"/>
        <v/>
      </c>
      <c r="L220" s="557" t="str">
        <f>IF(AND(E220=K220,D220="Climate-alignment target"),"OK",IF(D220="Sector target","OK - covered by sector target",IF(AND(E220=0,D220="No target type selected"),"","Select a target type")))</f>
        <v/>
      </c>
      <c r="M220" s="562">
        <f>IF(SUM(F220:J220)=0,0,SUM(H220:J220)/(SUM(F220:J220)))</f>
        <v>0</v>
      </c>
      <c r="N220" s="915"/>
      <c r="O220" s="462"/>
      <c r="P220" s="562" t="str">
        <f t="shared" si="119"/>
        <v/>
      </c>
      <c r="Q220" s="560" t="str">
        <f t="shared" si="120"/>
        <v/>
      </c>
      <c r="R220" s="16"/>
      <c r="U220" s="1"/>
      <c r="V220" s="1"/>
      <c r="W220" s="26"/>
      <c r="X220" s="113" t="s">
        <v>378</v>
      </c>
      <c r="Y220" s="113">
        <f t="shared" si="116"/>
        <v>2050</v>
      </c>
      <c r="Z220" s="113">
        <f t="shared" si="117"/>
        <v>0.95</v>
      </c>
      <c r="AA220" s="121"/>
      <c r="AB220" s="121" t="str">
        <f t="shared" si="121"/>
        <v/>
      </c>
      <c r="AC220" s="121" t="str">
        <f t="shared" si="122"/>
        <v/>
      </c>
      <c r="AD220" s="107" t="s">
        <v>226</v>
      </c>
    </row>
    <row r="221" spans="1:30" ht="46.25" hidden="1" customHeight="1" outlineLevel="3">
      <c r="A221" s="340" t="s">
        <v>136</v>
      </c>
      <c r="B221" s="340" t="s">
        <v>416</v>
      </c>
      <c r="C221" s="927"/>
      <c r="D221" s="333" t="str">
        <f>IF(SUMIF('AOI Segmentation'!$AK$89:$AK$223,'Climate-Alignment Target'!AD221,'AOI Segmentation'!$AL$89:$AL$223)&gt;0,"Climate-alignment target",IF(SUMIF('AOI Segmentation'!$AK$89:$AK$223,'Climate-Alignment Target'!AD221,'AOI Segmentation'!$AM$89:$AM$223)&gt;0,"Sector target","No target type selected"))</f>
        <v>No target type selected</v>
      </c>
      <c r="E221" s="557" cm="1">
        <f t="array" ref="E221">SUMPRODUCT(('AOI Segmentation'!$M$89:$M$223=TRUE)*($AD221='AOI Segmentation'!$AK$89:$AK$223)*('Climate-Alignment Target'!E$200='AOI Segmentation'!$Q$88:$V$88)*('AOI Segmentation'!$Q$89:$V$223))</f>
        <v>0</v>
      </c>
      <c r="F221" s="557" t="str" cm="1">
        <f t="array" ref="F221">IF($D221="Climate-alignment target",SUMPRODUCT(('AOI Segmentation'!$M$89:$M$223=TRUE)*($AD221='AOI Segmentation'!$AK$89:$AK$223)*('Climate-Alignment Target'!F$200='AOI Segmentation'!$Q$88:$V$88)*('AOI Segmentation'!$Q$89:$V$223)),"")</f>
        <v/>
      </c>
      <c r="G221" s="557" t="str" cm="1">
        <f t="array" ref="G221">IF($D221="Climate-alignment target",SUMPRODUCT(('AOI Segmentation'!$M$89:$M$223=TRUE)*($AD221='AOI Segmentation'!$AK$89:$AK$223)*('Climate-Alignment Target'!G$200='AOI Segmentation'!$Q$88:$V$88)*('AOI Segmentation'!$Q$89:$V$223)),"")</f>
        <v/>
      </c>
      <c r="H221" s="557" t="str" cm="1">
        <f t="array" ref="H221">IF($D221="Climate-alignment target",SUMPRODUCT(('AOI Segmentation'!$M$89:$M$223=TRUE)*($AD221='AOI Segmentation'!$AK$89:$AK$223)*('Climate-Alignment Target'!H$200='AOI Segmentation'!$Q$88:$V$88)*('AOI Segmentation'!$Q$89:$V$223)),"")</f>
        <v/>
      </c>
      <c r="I221" s="557" t="str" cm="1">
        <f t="array" ref="I221">IF($D221="Climate-alignment target",SUMPRODUCT(('AOI Segmentation'!$M$89:$M$223=TRUE)*($AD221='AOI Segmentation'!$AK$89:$AK$223)*('Climate-Alignment Target'!I$200='AOI Segmentation'!$Q$88:$V$88)*('AOI Segmentation'!$Q$89:$V$223)),"")</f>
        <v/>
      </c>
      <c r="J221" s="557" t="str" cm="1">
        <f t="array" ref="J221">IF($D221="Climate-alignment target",SUMPRODUCT(('AOI Segmentation'!$M$89:$M$223=TRUE)*($AD221='AOI Segmentation'!$AK$89:$AK$223)*('Climate-Alignment Target'!J$200='AOI Segmentation'!$Q$88:$V$88)*('AOI Segmentation'!$Q$89:$V$223)),"")</f>
        <v/>
      </c>
      <c r="K221" s="557" t="str">
        <f t="shared" si="114"/>
        <v/>
      </c>
      <c r="L221" s="557" t="str">
        <f t="shared" si="118"/>
        <v/>
      </c>
      <c r="M221" s="562">
        <f>IF(SUM(F221:J221)=0,0,SUM(H221:J221)/(SUM(F221:J221)))</f>
        <v>0</v>
      </c>
      <c r="N221" s="915"/>
      <c r="O221" s="462"/>
      <c r="P221" s="562" t="str">
        <f t="shared" si="119"/>
        <v/>
      </c>
      <c r="Q221" s="560" t="str">
        <f t="shared" si="120"/>
        <v/>
      </c>
      <c r="R221" s="16"/>
      <c r="U221" s="1"/>
      <c r="V221" s="1"/>
      <c r="W221" s="26"/>
      <c r="X221" s="113" t="s">
        <v>378</v>
      </c>
      <c r="Y221" s="113">
        <f t="shared" si="116"/>
        <v>2050</v>
      </c>
      <c r="Z221" s="113">
        <f t="shared" si="117"/>
        <v>0.95</v>
      </c>
      <c r="AA221" s="121"/>
      <c r="AB221" s="121" t="str">
        <f t="shared" si="121"/>
        <v/>
      </c>
      <c r="AC221" s="121" t="str">
        <f t="shared" si="122"/>
        <v/>
      </c>
      <c r="AD221" s="107" t="s">
        <v>265</v>
      </c>
    </row>
    <row r="222" spans="1:30" ht="46.25" hidden="1" customHeight="1" outlineLevel="3">
      <c r="A222" s="340" t="s">
        <v>136</v>
      </c>
      <c r="B222" s="340" t="s">
        <v>401</v>
      </c>
      <c r="C222" s="927"/>
      <c r="D222" s="333" t="str">
        <f>IF(SUMIF('AOI Segmentation'!$AK$89:$AK$223,'Climate-Alignment Target'!AD222,'AOI Segmentation'!$AL$89:$AL$223)&gt;0,"Climate-alignment target",IF(SUMIF('AOI Segmentation'!$AK$89:$AK$223,'Climate-Alignment Target'!AD222,'AOI Segmentation'!$AM$89:$AM$223)&gt;0,"Sector target","No target type selected"))</f>
        <v>No target type selected</v>
      </c>
      <c r="E222" s="557" cm="1">
        <f t="array" ref="E222">SUMPRODUCT(('AOI Segmentation'!$M$89:$M$223=TRUE)*($AD222='AOI Segmentation'!$AK$89:$AK$223)*('Climate-Alignment Target'!E$200='AOI Segmentation'!$Q$88:$V$88)*('AOI Segmentation'!$Q$89:$V$223))</f>
        <v>0</v>
      </c>
      <c r="F222" s="557" t="str" cm="1">
        <f t="array" ref="F222">IF($D222="Climate-alignment target",SUMPRODUCT(('AOI Segmentation'!$M$89:$M$223=TRUE)*($AD222='AOI Segmentation'!$AK$89:$AK$223)*('Climate-Alignment Target'!F$200='AOI Segmentation'!$Q$88:$V$88)*('AOI Segmentation'!$Q$89:$V$223)),"")</f>
        <v/>
      </c>
      <c r="G222" s="557" t="str" cm="1">
        <f t="array" ref="G222">IF($D222="Climate-alignment target",SUMPRODUCT(('AOI Segmentation'!$M$89:$M$223=TRUE)*($AD222='AOI Segmentation'!$AK$89:$AK$223)*('Climate-Alignment Target'!G$200='AOI Segmentation'!$Q$88:$V$88)*('AOI Segmentation'!$Q$89:$V$223)),"")</f>
        <v/>
      </c>
      <c r="H222" s="557" t="str" cm="1">
        <f t="array" ref="H222">IF($D222="Climate-alignment target",SUMPRODUCT(('AOI Segmentation'!$M$89:$M$223=TRUE)*($AD222='AOI Segmentation'!$AK$89:$AK$223)*('Climate-Alignment Target'!H$200='AOI Segmentation'!$Q$88:$V$88)*('AOI Segmentation'!$Q$89:$V$223)),"")</f>
        <v/>
      </c>
      <c r="I222" s="557" t="str" cm="1">
        <f t="array" ref="I222">IF($D222="Climate-alignment target",SUMPRODUCT(('AOI Segmentation'!$M$89:$M$223=TRUE)*($AD222='AOI Segmentation'!$AK$89:$AK$223)*('Climate-Alignment Target'!I$200='AOI Segmentation'!$Q$88:$V$88)*('AOI Segmentation'!$Q$89:$V$223)),"")</f>
        <v/>
      </c>
      <c r="J222" s="557" t="str" cm="1">
        <f t="array" ref="J222">IF($D222="Climate-alignment target",SUMPRODUCT(('AOI Segmentation'!$M$89:$M$223=TRUE)*($AD222='AOI Segmentation'!$AK$89:$AK$223)*('Climate-Alignment Target'!J$200='AOI Segmentation'!$Q$88:$V$88)*('AOI Segmentation'!$Q$89:$V$223)),"")</f>
        <v/>
      </c>
      <c r="K222" s="557" t="str">
        <f t="shared" si="114"/>
        <v/>
      </c>
      <c r="L222" s="557" t="str">
        <f t="shared" si="118"/>
        <v/>
      </c>
      <c r="M222" s="562">
        <f>IF(SUM(F222:J222)=0,0,SUM(H222:J222)/(SUM(F222:J222)))</f>
        <v>0</v>
      </c>
      <c r="N222" s="915"/>
      <c r="O222" s="462"/>
      <c r="P222" s="562" t="str">
        <f t="shared" si="119"/>
        <v/>
      </c>
      <c r="Q222" s="560" t="str">
        <f t="shared" si="120"/>
        <v/>
      </c>
      <c r="R222" s="16"/>
      <c r="U222" s="1"/>
      <c r="V222" s="1"/>
      <c r="W222" s="26"/>
      <c r="X222" s="113" t="s">
        <v>378</v>
      </c>
      <c r="Y222" s="113">
        <f t="shared" si="116"/>
        <v>2050</v>
      </c>
      <c r="Z222" s="113">
        <f t="shared" si="117"/>
        <v>0.95</v>
      </c>
      <c r="AA222" s="121"/>
      <c r="AB222" s="121" t="str">
        <f t="shared" si="121"/>
        <v/>
      </c>
      <c r="AC222" s="121" t="str">
        <f t="shared" si="122"/>
        <v/>
      </c>
      <c r="AD222" s="107" t="s">
        <v>228</v>
      </c>
    </row>
    <row r="223" spans="1:30" ht="46.25" hidden="1" customHeight="1" outlineLevel="3">
      <c r="A223" s="340" t="s">
        <v>136</v>
      </c>
      <c r="B223" s="340" t="s">
        <v>135</v>
      </c>
      <c r="C223" s="927"/>
      <c r="D223" s="333" t="str">
        <f>IF(SUMIF('AOI Segmentation'!$AK$89:$AK$223,'Climate-Alignment Target'!AD223,'AOI Segmentation'!$AL$89:$AL$223)&gt;0,"Climate-alignment target",IF(SUMIF('AOI Segmentation'!$AK$89:$AK$223,'Climate-Alignment Target'!AD223,'AOI Segmentation'!$AM$89:$AM$223)&gt;0,"Sector target","No target type selected"))</f>
        <v>No target type selected</v>
      </c>
      <c r="E223" s="557" cm="1">
        <f t="array" ref="E223">SUMPRODUCT(('AOI Segmentation'!$M$89:$M$223=TRUE)*($AD223='AOI Segmentation'!$AK$89:$AK$223)*('Climate-Alignment Target'!E$200='AOI Segmentation'!$Q$88:$V$88)*('AOI Segmentation'!$Q$89:$V$223))</f>
        <v>0</v>
      </c>
      <c r="F223" s="557" t="str" cm="1">
        <f t="array" ref="F223">IF($D223="Climate-alignment target",SUMPRODUCT(('AOI Segmentation'!$M$89:$M$223=TRUE)*($AD223='AOI Segmentation'!$AK$89:$AK$223)*('Climate-Alignment Target'!F$200='AOI Segmentation'!$Q$88:$V$88)*('AOI Segmentation'!$Q$89:$V$223)),"")</f>
        <v/>
      </c>
      <c r="G223" s="557" t="str" cm="1">
        <f t="array" ref="G223">IF($D223="Climate-alignment target",SUMPRODUCT(('AOI Segmentation'!$M$89:$M$223=TRUE)*($AD223='AOI Segmentation'!$AK$89:$AK$223)*('Climate-Alignment Target'!G$200='AOI Segmentation'!$Q$88:$V$88)*('AOI Segmentation'!$Q$89:$V$223)),"")</f>
        <v/>
      </c>
      <c r="H223" s="557" t="str" cm="1">
        <f t="array" ref="H223">IF($D223="Climate-alignment target",SUMPRODUCT(('AOI Segmentation'!$M$89:$M$223=TRUE)*($AD223='AOI Segmentation'!$AK$89:$AK$223)*('Climate-Alignment Target'!H$200='AOI Segmentation'!$Q$88:$V$88)*('AOI Segmentation'!$Q$89:$V$223)),"")</f>
        <v/>
      </c>
      <c r="I223" s="557" t="str" cm="1">
        <f t="array" ref="I223">IF($D223="Climate-alignment target",SUMPRODUCT(('AOI Segmentation'!$M$89:$M$223=TRUE)*($AD223='AOI Segmentation'!$AK$89:$AK$223)*('Climate-Alignment Target'!I$200='AOI Segmentation'!$Q$88:$V$88)*('AOI Segmentation'!$Q$89:$V$223)),"")</f>
        <v/>
      </c>
      <c r="J223" s="557" t="str" cm="1">
        <f t="array" ref="J223">IF($D223="Climate-alignment target",SUMPRODUCT(('AOI Segmentation'!$M$89:$M$223=TRUE)*($AD223='AOI Segmentation'!$AK$89:$AK$223)*('Climate-Alignment Target'!J$200='AOI Segmentation'!$Q$88:$V$88)*('AOI Segmentation'!$Q$89:$V$223)),"")</f>
        <v/>
      </c>
      <c r="K223" s="557" t="str">
        <f t="shared" ref="K223" si="123">IF(D223&lt;&gt;"Climate-alignment target","",SUM(F223:J223))</f>
        <v/>
      </c>
      <c r="L223" s="557" t="str">
        <f>IF(AND(E223=K223,D223="Climate-alignment target"),"OK",IF(D223="Sector target","OK - covered by sector target",IF(AND(E223=0,D223="No target type selected"),"","Select a target type")))</f>
        <v/>
      </c>
      <c r="M223" s="562">
        <f>IF(SUM(F223:J223)=0,0,SUM(H223:J223)/(SUM(F223:J223)))</f>
        <v>0</v>
      </c>
      <c r="N223" s="915"/>
      <c r="O223" s="462"/>
      <c r="P223" s="562" t="str">
        <f t="shared" ref="P223" si="124">IF(AND($D223="Climate-alignment target",$N$202&lt;&gt;""),IF(M223&gt;$Z223,M223,(M223+($Z223-M223)/($Y223-$I$160)*($N$202-$I$160))),"")</f>
        <v/>
      </c>
      <c r="Q223" s="560" t="str">
        <f t="shared" ref="Q223" si="125">IF(O223="","",IF(O223-P223&gt;=0,"OK","Minimum ambition not met, please increase ambition"))</f>
        <v/>
      </c>
      <c r="R223" s="16"/>
      <c r="U223" s="1"/>
      <c r="V223" s="1"/>
      <c r="W223" s="26"/>
      <c r="X223" s="113" t="s">
        <v>378</v>
      </c>
      <c r="Y223" s="113">
        <f t="shared" ref="Y223" si="126">_xlfn.XLOOKUP($X223,$AB$17:$AB$24,AE$17:AE$24,0,0)</f>
        <v>2050</v>
      </c>
      <c r="Z223" s="113">
        <f t="shared" ref="Z223" si="127">_xlfn.XLOOKUP($X223,$AB$17:$AB$24,AF$17:AF$24,0,0)</f>
        <v>0.95</v>
      </c>
      <c r="AA223" s="121"/>
      <c r="AB223" s="121" t="str">
        <f t="shared" ref="AB223" si="128">IF($D223&lt;&gt;"Climate-alignment target","",O223*K223)</f>
        <v/>
      </c>
      <c r="AC223" s="121" t="str">
        <f t="shared" ref="AC223" si="129">IF($D223&lt;&gt;"Climate-alignment target","",K223)</f>
        <v/>
      </c>
      <c r="AD223" s="107" t="s">
        <v>214</v>
      </c>
    </row>
    <row r="224" spans="1:30" ht="46.25" hidden="1" customHeight="1" outlineLevel="3">
      <c r="A224" s="340" t="s">
        <v>130</v>
      </c>
      <c r="B224" s="340" t="s">
        <v>129</v>
      </c>
      <c r="C224" s="927"/>
      <c r="D224" s="333" t="str">
        <f>IF(SUMIF('AOI Segmentation'!$AK$89:$AK$223,'Climate-Alignment Target'!AD224,'AOI Segmentation'!$AL$89:$AL$223)&gt;0,"Climate-alignment target",IF(SUMIF('AOI Segmentation'!$AK$89:$AK$223,'Climate-Alignment Target'!AD224,'AOI Segmentation'!$AM$89:$AM$223)&gt;0,"Sector target","No target type selected"))</f>
        <v>No target type selected</v>
      </c>
      <c r="E224" s="557" cm="1">
        <f t="array" ref="E224">SUMPRODUCT(('AOI Segmentation'!$M$89:$M$223=TRUE)*($AD224='AOI Segmentation'!$AK$89:$AK$223)*('Climate-Alignment Target'!E$200='AOI Segmentation'!$Q$88:$V$88)*('AOI Segmentation'!$Q$89:$V$223))</f>
        <v>0</v>
      </c>
      <c r="F224" s="557" t="str" cm="1">
        <f t="array" ref="F224">IF($D224="Climate-alignment target",SUMPRODUCT(('AOI Segmentation'!$M$89:$M$223=TRUE)*($AD224='AOI Segmentation'!$AK$89:$AK$223)*('Climate-Alignment Target'!F$200='AOI Segmentation'!$Q$88:$V$88)*('AOI Segmentation'!$Q$89:$V$223)),"")</f>
        <v/>
      </c>
      <c r="G224" s="557" t="str" cm="1">
        <f t="array" ref="G224">IF($D224="Climate-alignment target",SUMPRODUCT(('AOI Segmentation'!$M$89:$M$223=TRUE)*($AD224='AOI Segmentation'!$AK$89:$AK$223)*('Climate-Alignment Target'!G$200='AOI Segmentation'!$Q$88:$V$88)*('AOI Segmentation'!$Q$89:$V$223)),"")</f>
        <v/>
      </c>
      <c r="H224" s="557" t="str" cm="1">
        <f t="array" ref="H224">IF($D224="Climate-alignment target",SUMPRODUCT(('AOI Segmentation'!$M$89:$M$223=TRUE)*($AD224='AOI Segmentation'!$AK$89:$AK$223)*('Climate-Alignment Target'!H$200='AOI Segmentation'!$Q$88:$V$88)*('AOI Segmentation'!$Q$89:$V$223)),"")</f>
        <v/>
      </c>
      <c r="I224" s="557" t="str" cm="1">
        <f t="array" ref="I224">IF($D224="Climate-alignment target",SUMPRODUCT(('AOI Segmentation'!$M$89:$M$223=TRUE)*($AD224='AOI Segmentation'!$AK$89:$AK$223)*('Climate-Alignment Target'!I$200='AOI Segmentation'!$Q$88:$V$88)*('AOI Segmentation'!$Q$89:$V$223)),"")</f>
        <v/>
      </c>
      <c r="J224" s="557" t="str" cm="1">
        <f t="array" ref="J224">IF($D224="Climate-alignment target",SUMPRODUCT(('AOI Segmentation'!$M$89:$M$223=TRUE)*($AD224='AOI Segmentation'!$AK$89:$AK$223)*('Climate-Alignment Target'!J$200='AOI Segmentation'!$Q$88:$V$88)*('AOI Segmentation'!$Q$89:$V$223)),"")</f>
        <v/>
      </c>
      <c r="K224" s="557" t="str">
        <f t="shared" si="114"/>
        <v/>
      </c>
      <c r="L224" s="557" t="str">
        <f t="shared" si="118"/>
        <v/>
      </c>
      <c r="M224" s="562">
        <f>IF(SUM(F224:J224)=0,0,SUM(H224:J224)/(SUM(F224:J224)))</f>
        <v>0</v>
      </c>
      <c r="N224" s="915"/>
      <c r="O224" s="462"/>
      <c r="P224" s="562" t="str">
        <f t="shared" si="119"/>
        <v/>
      </c>
      <c r="Q224" s="560" t="str">
        <f t="shared" si="120"/>
        <v/>
      </c>
      <c r="R224" s="16"/>
      <c r="U224" s="1"/>
      <c r="V224" s="1"/>
      <c r="W224" s="26"/>
      <c r="X224" s="113" t="s">
        <v>376</v>
      </c>
      <c r="Y224" s="113">
        <f t="shared" si="116"/>
        <v>2040</v>
      </c>
      <c r="Z224" s="113">
        <f t="shared" si="117"/>
        <v>0.95</v>
      </c>
      <c r="AA224" s="121"/>
      <c r="AB224" s="121" t="str">
        <f t="shared" ref="AB224" si="130">IF($D224&lt;&gt;"Climate-alignment target","",O224*K224)</f>
        <v/>
      </c>
      <c r="AC224" s="121" t="str">
        <f t="shared" ref="AC224" si="131">IF($D224&lt;&gt;"Climate-alignment target","",K224)</f>
        <v/>
      </c>
      <c r="AD224" s="107" t="s">
        <v>213</v>
      </c>
    </row>
    <row r="225" spans="1:35" ht="15" hidden="1" customHeight="1" outlineLevel="3">
      <c r="B225" s="1"/>
      <c r="C225" s="1"/>
      <c r="D225" s="1"/>
      <c r="E225" s="1"/>
      <c r="F225" s="1"/>
      <c r="G225" s="20"/>
      <c r="H225" s="1"/>
      <c r="I225" s="1"/>
      <c r="Q225" s="608"/>
      <c r="R225" s="608"/>
      <c r="S225" s="608"/>
      <c r="T225" s="608"/>
      <c r="Z225" s="121"/>
    </row>
    <row r="226" spans="1:35" ht="15" hidden="1" customHeight="1" outlineLevel="3">
      <c r="A226" s="858" t="s">
        <v>402</v>
      </c>
      <c r="B226" s="858"/>
      <c r="C226" s="858"/>
      <c r="D226" s="858"/>
      <c r="E226" s="858"/>
      <c r="F226" s="858"/>
      <c r="G226" s="858"/>
      <c r="H226" s="858"/>
      <c r="I226" s="858"/>
      <c r="J226" s="858"/>
      <c r="K226" s="858"/>
      <c r="L226" s="858"/>
      <c r="M226" s="858"/>
      <c r="N226" s="858"/>
      <c r="O226" s="858"/>
      <c r="P226" s="858"/>
      <c r="Q226" s="858"/>
      <c r="R226" s="858"/>
      <c r="S226" s="858"/>
      <c r="T226" s="858"/>
      <c r="U226" s="70"/>
      <c r="V226" s="70"/>
      <c r="W226" s="70"/>
      <c r="X226" s="123"/>
    </row>
    <row r="227" spans="1:35" ht="6.75" hidden="1" customHeight="1" outlineLevel="3">
      <c r="B227" s="1"/>
      <c r="C227" s="1"/>
      <c r="D227" s="1"/>
      <c r="E227" s="1"/>
      <c r="F227" s="1"/>
      <c r="G227" s="21"/>
      <c r="H227" s="1"/>
      <c r="I227" s="1"/>
      <c r="N227" s="608"/>
      <c r="O227" s="608"/>
      <c r="P227" s="608"/>
      <c r="Z227" s="121"/>
      <c r="AA227" s="121"/>
    </row>
    <row r="228" spans="1:35" ht="30" hidden="1" customHeight="1" outlineLevel="3">
      <c r="A228" s="885" t="s">
        <v>99</v>
      </c>
      <c r="B228" s="885"/>
      <c r="C228" s="912" t="s">
        <v>364</v>
      </c>
      <c r="D228" s="798" t="s">
        <v>403</v>
      </c>
      <c r="E228" s="885" t="s">
        <v>365</v>
      </c>
      <c r="F228" s="885"/>
      <c r="G228" s="885"/>
      <c r="H228" s="885"/>
      <c r="I228" s="885"/>
      <c r="J228" s="885"/>
      <c r="K228" s="885"/>
      <c r="L228" s="885"/>
      <c r="M228" s="798" t="s">
        <v>809</v>
      </c>
      <c r="N228" s="885" t="s">
        <v>366</v>
      </c>
      <c r="O228" s="885"/>
      <c r="P228" s="885"/>
      <c r="Q228" s="834" t="s">
        <v>367</v>
      </c>
      <c r="R228" s="868"/>
      <c r="S228" s="868"/>
      <c r="T228" s="835"/>
      <c r="W228" s="1"/>
      <c r="X228" s="121"/>
    </row>
    <row r="229" spans="1:35" ht="88.5" hidden="1" customHeight="1" outlineLevel="3">
      <c r="A229" s="885"/>
      <c r="B229" s="885"/>
      <c r="C229" s="912"/>
      <c r="D229" s="798"/>
      <c r="E229" s="36" t="s">
        <v>106</v>
      </c>
      <c r="F229" s="554" t="s">
        <v>101</v>
      </c>
      <c r="G229" s="554" t="s">
        <v>102</v>
      </c>
      <c r="H229" s="558" t="s">
        <v>103</v>
      </c>
      <c r="I229" s="558" t="s">
        <v>104</v>
      </c>
      <c r="J229" s="554" t="s">
        <v>105</v>
      </c>
      <c r="K229" s="798" t="s">
        <v>807</v>
      </c>
      <c r="L229" s="798" t="s">
        <v>808</v>
      </c>
      <c r="M229" s="798"/>
      <c r="N229" s="885" t="s">
        <v>822</v>
      </c>
      <c r="O229" s="885" t="s">
        <v>826</v>
      </c>
      <c r="P229" s="885" t="s">
        <v>824</v>
      </c>
      <c r="Q229" s="885" t="s">
        <v>810</v>
      </c>
      <c r="R229" s="885" t="s">
        <v>811</v>
      </c>
      <c r="S229" s="885" t="s">
        <v>812</v>
      </c>
      <c r="T229" s="798" t="s">
        <v>813</v>
      </c>
      <c r="V229" s="1"/>
      <c r="W229" s="68"/>
    </row>
    <row r="230" spans="1:35" ht="30" hidden="1" customHeight="1" outlineLevel="3">
      <c r="A230" s="885"/>
      <c r="B230" s="885"/>
      <c r="C230" s="912"/>
      <c r="D230" s="798"/>
      <c r="E230" s="987" t="s">
        <v>819</v>
      </c>
      <c r="F230" s="988"/>
      <c r="G230" s="988"/>
      <c r="H230" s="988"/>
      <c r="I230" s="988"/>
      <c r="J230" s="989"/>
      <c r="K230" s="798"/>
      <c r="L230" s="798"/>
      <c r="M230" s="798"/>
      <c r="N230" s="885"/>
      <c r="O230" s="885"/>
      <c r="P230" s="885"/>
      <c r="Q230" s="885"/>
      <c r="R230" s="885"/>
      <c r="S230" s="885"/>
      <c r="T230" s="798"/>
      <c r="V230" s="1"/>
      <c r="W230" s="68"/>
    </row>
    <row r="231" spans="1:35" ht="30" hidden="1" customHeight="1" outlineLevel="3">
      <c r="A231" s="916" t="s">
        <v>113</v>
      </c>
      <c r="B231" s="916"/>
      <c r="C231" s="901" t="s">
        <v>356</v>
      </c>
      <c r="D231" s="930" t="s">
        <v>404</v>
      </c>
      <c r="E231" s="557">
        <f>SUMIFS(K$202:K$224,$A$202:$A$224,$A231)</f>
        <v>0</v>
      </c>
      <c r="F231" s="557">
        <f t="shared" ref="F231:J234" si="132">SUMIFS(F$202:F$224,$A$202:$A$224,$A231,$D$202:$D$224,$D$231)</f>
        <v>0</v>
      </c>
      <c r="G231" s="557">
        <f t="shared" si="132"/>
        <v>0</v>
      </c>
      <c r="H231" s="557">
        <f t="shared" si="132"/>
        <v>0</v>
      </c>
      <c r="I231" s="557">
        <f t="shared" si="132"/>
        <v>0</v>
      </c>
      <c r="J231" s="557">
        <f t="shared" si="132"/>
        <v>0</v>
      </c>
      <c r="K231" s="557" t="str">
        <f t="shared" ref="K231:K234" si="133">IF(E231=0,"",SUM(F231:J231))</f>
        <v/>
      </c>
      <c r="L231" s="557" t="str">
        <f>IF(E231=0,"",IF(E231-K231=0,"OK","Review financial exposure"))</f>
        <v/>
      </c>
      <c r="M231" s="562">
        <f>IF(SUM(F231:J231)=0,0,(H231+I231+J231)/(SUM(F231:J231)))</f>
        <v>0</v>
      </c>
      <c r="N231" s="902">
        <f>N202</f>
        <v>0</v>
      </c>
      <c r="O231" s="562" t="str">
        <f>IFERROR(SUMIF($A$202:$A$224,$A231,$AB$202:$AB$224)/SUMIF($A$202:$A$224,$A231,$AC$202:$AC$224),"")</f>
        <v/>
      </c>
      <c r="P231" s="933" t="str">
        <f>IFERROR(SUMPRODUCT(O231:O234,K231:K234)/SUM(K231:K234),"")</f>
        <v/>
      </c>
      <c r="Q231" s="908"/>
      <c r="R231" s="909"/>
      <c r="S231" s="897" t="str">
        <f>IF(Q231="","",95%)</f>
        <v/>
      </c>
      <c r="T231" s="898" t="str">
        <f>IF(R231="","",IF(R231-S231&gt;=0,"OK","Minimum ambition not met, please increase ambition"))</f>
        <v/>
      </c>
      <c r="V231" s="1"/>
      <c r="W231" s="68"/>
      <c r="X231" s="107"/>
      <c r="AI231" s="120" t="s">
        <v>417</v>
      </c>
    </row>
    <row r="232" spans="1:35" ht="30" hidden="1" customHeight="1" outlineLevel="3">
      <c r="A232" s="916" t="s">
        <v>121</v>
      </c>
      <c r="B232" s="916"/>
      <c r="C232" s="901"/>
      <c r="D232" s="931"/>
      <c r="E232" s="557">
        <f>SUMIFS(K$202:K$224,$A$202:$A$224,$A232)</f>
        <v>0</v>
      </c>
      <c r="F232" s="557">
        <f t="shared" si="132"/>
        <v>0</v>
      </c>
      <c r="G232" s="557">
        <f t="shared" si="132"/>
        <v>0</v>
      </c>
      <c r="H232" s="557">
        <f t="shared" si="132"/>
        <v>0</v>
      </c>
      <c r="I232" s="557">
        <f t="shared" si="132"/>
        <v>0</v>
      </c>
      <c r="J232" s="557">
        <f t="shared" si="132"/>
        <v>0</v>
      </c>
      <c r="K232" s="557" t="str">
        <f t="shared" si="133"/>
        <v/>
      </c>
      <c r="L232" s="557" t="str">
        <f t="shared" ref="L232:L234" si="134">IF(E232=0,"",IF(E232-K232=0,"OK","Review financial exposure"))</f>
        <v/>
      </c>
      <c r="M232" s="562">
        <f>IF(SUM(F232:J232)=0,0,(H232+I232+J232)/(SUM(F232:J232)))</f>
        <v>0</v>
      </c>
      <c r="N232" s="903"/>
      <c r="O232" s="562" t="str">
        <f>IFERROR(SUMIF($A$202:$A$224,$A232,$AB$202:$AB$224)/SUMIF($A$202:$A$224,$A232,$AC$202:$AC$224),"")</f>
        <v/>
      </c>
      <c r="P232" s="933"/>
      <c r="Q232" s="908"/>
      <c r="R232" s="909"/>
      <c r="S232" s="897"/>
      <c r="T232" s="898"/>
      <c r="V232" s="1"/>
      <c r="W232" s="68"/>
      <c r="X232" s="107"/>
    </row>
    <row r="233" spans="1:35" ht="30" hidden="1" customHeight="1" outlineLevel="3">
      <c r="A233" s="916" t="s">
        <v>130</v>
      </c>
      <c r="B233" s="916"/>
      <c r="C233" s="901"/>
      <c r="D233" s="931"/>
      <c r="E233" s="557">
        <f>SUMIFS(K$202:K$224,$A$202:$A$224,$A233)</f>
        <v>0</v>
      </c>
      <c r="F233" s="557">
        <f t="shared" si="132"/>
        <v>0</v>
      </c>
      <c r="G233" s="557">
        <f t="shared" si="132"/>
        <v>0</v>
      </c>
      <c r="H233" s="557">
        <f t="shared" si="132"/>
        <v>0</v>
      </c>
      <c r="I233" s="557">
        <f t="shared" si="132"/>
        <v>0</v>
      </c>
      <c r="J233" s="557">
        <f t="shared" si="132"/>
        <v>0</v>
      </c>
      <c r="K233" s="557" t="str">
        <f t="shared" si="133"/>
        <v/>
      </c>
      <c r="L233" s="557" t="str">
        <f t="shared" si="134"/>
        <v/>
      </c>
      <c r="M233" s="562">
        <f>IF(SUM(F233:J233)=0,0,(H233+I233+J233)/(SUM(F233:J233)))</f>
        <v>0</v>
      </c>
      <c r="N233" s="903"/>
      <c r="O233" s="562" t="str">
        <f>IFERROR(SUMIF($A$202:$A$224,$A233,$AB$202:$AB$224)/SUMIF($A$202:$A$224,$A233,$AC$202:$AC$224),"")</f>
        <v/>
      </c>
      <c r="P233" s="933"/>
      <c r="Q233" s="908"/>
      <c r="R233" s="909"/>
      <c r="S233" s="897"/>
      <c r="T233" s="898"/>
      <c r="V233" s="1"/>
      <c r="W233" s="24"/>
      <c r="X233" s="108"/>
      <c r="Y233" s="108"/>
      <c r="Z233" s="108"/>
      <c r="AA233" s="108"/>
      <c r="AB233" s="108"/>
      <c r="AC233" s="107"/>
    </row>
    <row r="234" spans="1:35" ht="30" hidden="1" customHeight="1" outlineLevel="3">
      <c r="A234" s="916" t="s">
        <v>136</v>
      </c>
      <c r="B234" s="916"/>
      <c r="C234" s="901"/>
      <c r="D234" s="932"/>
      <c r="E234" s="557">
        <f>SUMIFS(K$202:K$224,$A$202:$A$224,$A234)</f>
        <v>0</v>
      </c>
      <c r="F234" s="557">
        <f t="shared" si="132"/>
        <v>0</v>
      </c>
      <c r="G234" s="557">
        <f t="shared" si="132"/>
        <v>0</v>
      </c>
      <c r="H234" s="557">
        <f t="shared" si="132"/>
        <v>0</v>
      </c>
      <c r="I234" s="557">
        <f t="shared" si="132"/>
        <v>0</v>
      </c>
      <c r="J234" s="557">
        <f t="shared" si="132"/>
        <v>0</v>
      </c>
      <c r="K234" s="557" t="str">
        <f t="shared" si="133"/>
        <v/>
      </c>
      <c r="L234" s="557" t="str">
        <f t="shared" si="134"/>
        <v/>
      </c>
      <c r="M234" s="562">
        <f>IF(SUM(F234:J234)=0,0,(H234+I234+J234)/(SUM(F234:J234)))</f>
        <v>0</v>
      </c>
      <c r="N234" s="904"/>
      <c r="O234" s="562" t="str">
        <f>IFERROR(SUMIF($A$202:$A$224,$A234,$AB$202:$AB$224)/SUMIF($A$202:$A$224,$A234,$AC$202:$AC$224),"")</f>
        <v/>
      </c>
      <c r="P234" s="933"/>
      <c r="Q234" s="908"/>
      <c r="R234" s="909"/>
      <c r="S234" s="897"/>
      <c r="T234" s="898"/>
      <c r="V234" s="1"/>
      <c r="W234" s="24"/>
      <c r="X234" s="107"/>
    </row>
    <row r="235" spans="1:35" ht="13.5" hidden="1" customHeight="1" outlineLevel="2"/>
    <row r="236" spans="1:35" ht="13.5" hidden="1" customHeight="1" outlineLevel="2"/>
    <row r="237" spans="1:35" ht="15.75" hidden="1" customHeight="1" outlineLevel="2" collapsed="1">
      <c r="A237" s="867" t="s">
        <v>380</v>
      </c>
      <c r="B237" s="867"/>
      <c r="C237" s="867"/>
      <c r="D237" s="867"/>
      <c r="E237" s="867"/>
      <c r="F237" s="867"/>
      <c r="G237" s="867"/>
      <c r="H237" s="867"/>
      <c r="I237" s="867"/>
      <c r="J237" s="867"/>
      <c r="K237" s="867"/>
      <c r="L237" s="867"/>
      <c r="M237" s="867"/>
      <c r="N237" s="867"/>
      <c r="O237" s="867"/>
      <c r="P237" s="867"/>
      <c r="Q237" s="867"/>
      <c r="R237" s="867"/>
      <c r="S237" s="867"/>
      <c r="T237" s="867"/>
      <c r="U237" s="867"/>
      <c r="V237" s="867"/>
    </row>
    <row r="238" spans="1:35" ht="13.5" hidden="1" customHeight="1" outlineLevel="3">
      <c r="A238" s="1"/>
      <c r="B238" s="1"/>
      <c r="C238" s="18"/>
      <c r="D238" s="1"/>
      <c r="E238" s="1"/>
    </row>
    <row r="239" spans="1:35" s="122" customFormat="1" ht="20.25" hidden="1" customHeight="1" outlineLevel="3">
      <c r="A239" s="858" t="s">
        <v>406</v>
      </c>
      <c r="B239" s="858"/>
      <c r="C239" s="858"/>
      <c r="D239" s="858"/>
      <c r="E239" s="858"/>
      <c r="F239" s="858"/>
      <c r="G239" s="858"/>
      <c r="H239" s="858"/>
      <c r="I239" s="858"/>
      <c r="J239" s="858"/>
      <c r="K239" s="858"/>
      <c r="L239" s="858"/>
      <c r="M239" s="858"/>
      <c r="N239" s="858"/>
      <c r="O239" s="858"/>
      <c r="P239" s="858"/>
      <c r="Q239" s="858"/>
      <c r="R239" s="70"/>
      <c r="S239" s="70"/>
      <c r="T239" s="70"/>
      <c r="U239" s="12"/>
      <c r="V239" s="12"/>
      <c r="W239" s="12"/>
    </row>
    <row r="240" spans="1:35" ht="6" hidden="1" customHeight="1" outlineLevel="3">
      <c r="A240" s="1"/>
      <c r="B240" s="917"/>
      <c r="C240" s="917"/>
      <c r="D240" s="917"/>
      <c r="E240" s="917"/>
      <c r="F240" s="917"/>
      <c r="G240" s="917"/>
      <c r="H240" s="17"/>
      <c r="I240" s="17"/>
      <c r="J240" s="17"/>
      <c r="K240" s="17"/>
      <c r="L240" s="17"/>
      <c r="M240" s="17"/>
      <c r="N240" s="17"/>
      <c r="O240" s="17"/>
      <c r="P240" s="17"/>
      <c r="Q240" s="17"/>
      <c r="R240" s="17"/>
      <c r="S240" s="17"/>
      <c r="T240" s="17"/>
      <c r="U240" s="17"/>
      <c r="V240" s="17"/>
      <c r="W240" s="17"/>
      <c r="X240" s="110"/>
      <c r="Y240" s="110"/>
      <c r="Z240" s="110"/>
      <c r="AA240" s="110"/>
    </row>
    <row r="241" spans="1:29" ht="15.75" hidden="1" customHeight="1" outlineLevel="3">
      <c r="A241" s="918" t="s">
        <v>99</v>
      </c>
      <c r="B241" s="918" t="s">
        <v>387</v>
      </c>
      <c r="C241" s="920" t="s">
        <v>364</v>
      </c>
      <c r="D241" s="918" t="s">
        <v>818</v>
      </c>
      <c r="E241" s="885" t="s">
        <v>365</v>
      </c>
      <c r="F241" s="885"/>
      <c r="G241" s="885"/>
      <c r="H241" s="885"/>
      <c r="I241" s="885"/>
      <c r="J241" s="885"/>
      <c r="K241" s="885"/>
      <c r="L241" s="885"/>
      <c r="M241" s="798" t="s">
        <v>809</v>
      </c>
      <c r="N241" s="887" t="s">
        <v>366</v>
      </c>
      <c r="O241" s="887"/>
      <c r="P241" s="887"/>
      <c r="Q241" s="887"/>
      <c r="R241" s="13"/>
      <c r="S241" s="17"/>
      <c r="T241" s="17"/>
      <c r="U241" s="17"/>
      <c r="V241" s="17"/>
      <c r="W241" s="17"/>
      <c r="X241" s="110"/>
    </row>
    <row r="242" spans="1:29" ht="94.5" hidden="1" customHeight="1" outlineLevel="3">
      <c r="A242" s="918"/>
      <c r="B242" s="918"/>
      <c r="C242" s="920"/>
      <c r="D242" s="918"/>
      <c r="E242" s="36" t="s">
        <v>106</v>
      </c>
      <c r="F242" s="554" t="s">
        <v>101</v>
      </c>
      <c r="G242" s="554" t="s">
        <v>102</v>
      </c>
      <c r="H242" s="558" t="s">
        <v>103</v>
      </c>
      <c r="I242" s="558" t="s">
        <v>104</v>
      </c>
      <c r="J242" s="554" t="s">
        <v>105</v>
      </c>
      <c r="K242" s="798" t="s">
        <v>807</v>
      </c>
      <c r="L242" s="798" t="s">
        <v>808</v>
      </c>
      <c r="M242" s="798"/>
      <c r="N242" s="922" t="s">
        <v>810</v>
      </c>
      <c r="O242" s="923" t="s">
        <v>811</v>
      </c>
      <c r="P242" s="922" t="s">
        <v>821</v>
      </c>
      <c r="Q242" s="924" t="s">
        <v>813</v>
      </c>
      <c r="R242" s="13"/>
      <c r="S242" s="17"/>
      <c r="T242" s="66"/>
      <c r="U242" s="67"/>
      <c r="V242" s="1"/>
      <c r="W242" s="27"/>
      <c r="X242" s="110"/>
      <c r="Y242" s="110"/>
      <c r="Z242" s="110"/>
    </row>
    <row r="243" spans="1:29" ht="32.25" hidden="1" customHeight="1" outlineLevel="3">
      <c r="A243" s="919"/>
      <c r="B243" s="919"/>
      <c r="C243" s="921"/>
      <c r="D243" s="919"/>
      <c r="E243" s="40" t="s">
        <v>819</v>
      </c>
      <c r="F243" s="925" t="s">
        <v>817</v>
      </c>
      <c r="G243" s="926"/>
      <c r="H243" s="926"/>
      <c r="I243" s="926"/>
      <c r="J243" s="926"/>
      <c r="K243" s="798"/>
      <c r="L243" s="798"/>
      <c r="M243" s="798"/>
      <c r="N243" s="922"/>
      <c r="O243" s="924"/>
      <c r="P243" s="922"/>
      <c r="Q243" s="924"/>
      <c r="R243" s="13"/>
      <c r="U243" s="1"/>
      <c r="V243" s="1"/>
      <c r="W243" s="27"/>
      <c r="X243" s="110"/>
      <c r="Y243" s="110"/>
      <c r="Z243" s="110"/>
      <c r="AA243" s="110" t="s">
        <v>388</v>
      </c>
      <c r="AB243" s="110" t="s">
        <v>389</v>
      </c>
      <c r="AC243" s="110" t="s">
        <v>390</v>
      </c>
    </row>
    <row r="244" spans="1:29" ht="47" hidden="1" customHeight="1" outlineLevel="3">
      <c r="A244" s="894" t="s">
        <v>113</v>
      </c>
      <c r="B244" s="886" t="s">
        <v>391</v>
      </c>
      <c r="C244" s="333" t="s">
        <v>369</v>
      </c>
      <c r="D244" s="333" t="str">
        <f>_xlfn.XLOOKUP(AC244,$AD$202:$AD$224,$D$202:$D$224,"No target",0)</f>
        <v>No target type selected</v>
      </c>
      <c r="E244" s="866" cm="1">
        <f t="array" ref="E244">SUMPRODUCT(('AOI Segmentation'!$M$89:$M$223=TRUE)*($AC244='AOI Segmentation'!$AK$89:$AK$223)*('Climate-Alignment Target'!E$242='AOI Segmentation'!$Q$88:$V$88)*('AOI Segmentation'!$Q$89:$V$223))</f>
        <v>0</v>
      </c>
      <c r="F244" s="5"/>
      <c r="G244" s="5"/>
      <c r="H244" s="5"/>
      <c r="I244" s="5"/>
      <c r="J244" s="5"/>
      <c r="K244" s="557" t="str">
        <f>IF(D244&lt;&gt;"Climate-alignment target","",SUM(F244:J244))</f>
        <v/>
      </c>
      <c r="L244" s="712" t="str">
        <f>IF(K244="","",IF(E244=(K244+K245),"OK",IF(D244="Sector target","OK - covered by sector target",IF(AND(E244=0,D244="No target type selected"),"OK","Review financial exposure"))))</f>
        <v/>
      </c>
      <c r="M244" s="562">
        <f t="shared" ref="M244:M249" si="135">IF(SUM(F244:J244)=0,0,SUM(H244:J244)/(SUM(F244:J244)))</f>
        <v>0</v>
      </c>
      <c r="N244" s="915"/>
      <c r="O244" s="563"/>
      <c r="P244" s="562" t="str">
        <f t="shared" ref="P244:P285" si="136">IF(AND($D244="Climate-alignment target",$N$244&lt;&gt;""),IF(M244&gt;$Z244,M244,(M244+($Z244-M244)/($Y244-$I$9)*($N$92-$I$9))),"")</f>
        <v/>
      </c>
      <c r="Q244" s="560" t="str">
        <f>IF(O244="","",IF(O244-P244&gt;=0,"OK","Minimum ambition not met, please increase ambition"))</f>
        <v/>
      </c>
      <c r="R244" s="16"/>
      <c r="T244" s="121" t="s">
        <v>113</v>
      </c>
      <c r="U244" s="1"/>
      <c r="V244" s="1"/>
      <c r="W244" s="26"/>
      <c r="X244" s="113" t="s">
        <v>368</v>
      </c>
      <c r="Y244" s="113">
        <f t="shared" ref="Y244:Y289" si="137">_xlfn.XLOOKUP($X244,$AB$17:$AB$24,AE$17:AE$24,0,0)</f>
        <v>2035</v>
      </c>
      <c r="Z244" s="113">
        <f t="shared" ref="Z244:Z289" si="138">_xlfn.XLOOKUP($X244,$AB$17:$AB$24,AF$17:AF$24,0,0)</f>
        <v>0.95</v>
      </c>
      <c r="AA244" s="121" t="str">
        <f>IF($D244&lt;&gt;"Climate-alignment target","",O244*K244)</f>
        <v/>
      </c>
      <c r="AB244" s="121" t="str">
        <f>IF($D244&lt;&gt;"Climate-alignment target","",K244)</f>
        <v/>
      </c>
      <c r="AC244" s="107" t="s">
        <v>171</v>
      </c>
    </row>
    <row r="245" spans="1:29" ht="47" hidden="1" customHeight="1" outlineLevel="3">
      <c r="A245" s="895"/>
      <c r="B245" s="886"/>
      <c r="C245" s="333" t="s">
        <v>372</v>
      </c>
      <c r="D245" s="333" t="str">
        <f>D244</f>
        <v>No target type selected</v>
      </c>
      <c r="E245" s="866"/>
      <c r="F245" s="5"/>
      <c r="G245" s="5"/>
      <c r="H245" s="5"/>
      <c r="I245" s="5"/>
      <c r="J245" s="5"/>
      <c r="K245" s="557" t="str">
        <f>IF(D245&lt;&gt;"Climate-alignment target","",SUM(F245:J245))</f>
        <v/>
      </c>
      <c r="L245" s="713"/>
      <c r="M245" s="562">
        <f t="shared" si="135"/>
        <v>0</v>
      </c>
      <c r="N245" s="915"/>
      <c r="O245" s="563"/>
      <c r="P245" s="562" t="str">
        <f t="shared" si="136"/>
        <v/>
      </c>
      <c r="Q245" s="560" t="str">
        <f t="shared" ref="Q245:Q289" si="139">IF(O245="","",IF(O245-P245&gt;=0,"OK","Minimum ambition not met, please increase ambition"))</f>
        <v/>
      </c>
      <c r="R245" s="16"/>
      <c r="T245" s="121" t="s">
        <v>113</v>
      </c>
      <c r="U245" s="1"/>
      <c r="V245" s="1"/>
      <c r="W245" s="26"/>
      <c r="X245" s="113" t="s">
        <v>371</v>
      </c>
      <c r="Y245" s="113">
        <f t="shared" si="137"/>
        <v>2035</v>
      </c>
      <c r="Z245" s="113">
        <f t="shared" si="138"/>
        <v>0.85</v>
      </c>
      <c r="AA245" s="121" t="str">
        <f t="shared" ref="AA245:AA289" si="140">IF($D245&lt;&gt;"Climate-alignment target","",O245*K245)</f>
        <v/>
      </c>
      <c r="AB245" s="121" t="str">
        <f t="shared" ref="AB245:AB289" si="141">IF($D245&lt;&gt;"Climate-alignment target","",K245)</f>
        <v/>
      </c>
      <c r="AC245" s="107"/>
    </row>
    <row r="246" spans="1:29" ht="47" hidden="1" customHeight="1" outlineLevel="3">
      <c r="A246" s="895"/>
      <c r="B246" s="886" t="s">
        <v>392</v>
      </c>
      <c r="C246" s="333" t="s">
        <v>369</v>
      </c>
      <c r="D246" s="333" t="str">
        <f t="shared" ref="D246" si="142">_xlfn.XLOOKUP(AC246,$AD$202:$AD$224,$D$202:$D$224,"No target",0)</f>
        <v>No target type selected</v>
      </c>
      <c r="E246" s="866" cm="1">
        <f t="array" ref="E246">SUMPRODUCT(('AOI Segmentation'!$M$89:$M$223=TRUE)*($AC246='AOI Segmentation'!$AK$89:$AK$223)*('Climate-Alignment Target'!E$242='AOI Segmentation'!$Q$88:$V$88)*('AOI Segmentation'!$Q$89:$V$223))</f>
        <v>0</v>
      </c>
      <c r="F246" s="5"/>
      <c r="G246" s="5"/>
      <c r="H246" s="5"/>
      <c r="I246" s="5"/>
      <c r="J246" s="5"/>
      <c r="K246" s="557" t="str">
        <f t="shared" ref="K246:K287" si="143">IF(D246&lt;&gt;"Climate-alignment target","",SUM(F246:J246))</f>
        <v/>
      </c>
      <c r="L246" s="712" t="str">
        <f>IF(K246="","",IF(E246=(K246+K247),"OK",IF(D246="Sector target","OK - covered by sector target",IF(AND(E246=0,D246="No target type selected"),"OK","Review financial exposure"))))</f>
        <v/>
      </c>
      <c r="M246" s="562">
        <f t="shared" si="135"/>
        <v>0</v>
      </c>
      <c r="N246" s="915"/>
      <c r="O246" s="563"/>
      <c r="P246" s="562" t="str">
        <f t="shared" si="136"/>
        <v/>
      </c>
      <c r="Q246" s="560" t="str">
        <f t="shared" si="139"/>
        <v/>
      </c>
      <c r="R246" s="16"/>
      <c r="T246" s="121" t="s">
        <v>113</v>
      </c>
      <c r="U246" s="1"/>
      <c r="V246" s="1"/>
      <c r="W246" s="26"/>
      <c r="X246" s="113" t="s">
        <v>368</v>
      </c>
      <c r="Y246" s="113">
        <f t="shared" si="137"/>
        <v>2035</v>
      </c>
      <c r="Z246" s="113">
        <f t="shared" si="138"/>
        <v>0.95</v>
      </c>
      <c r="AA246" s="121" t="str">
        <f t="shared" si="140"/>
        <v/>
      </c>
      <c r="AB246" s="121" t="str">
        <f t="shared" si="141"/>
        <v/>
      </c>
      <c r="AC246" s="107" t="s">
        <v>172</v>
      </c>
    </row>
    <row r="247" spans="1:29" ht="47" hidden="1" customHeight="1" outlineLevel="3">
      <c r="A247" s="896"/>
      <c r="B247" s="886"/>
      <c r="C247" s="333" t="s">
        <v>372</v>
      </c>
      <c r="D247" s="333" t="str">
        <f t="shared" ref="D247" si="144">D246</f>
        <v>No target type selected</v>
      </c>
      <c r="E247" s="866"/>
      <c r="F247" s="5"/>
      <c r="G247" s="5"/>
      <c r="H247" s="5"/>
      <c r="I247" s="5"/>
      <c r="J247" s="5"/>
      <c r="K247" s="557" t="str">
        <f t="shared" si="143"/>
        <v/>
      </c>
      <c r="L247" s="713"/>
      <c r="M247" s="562">
        <f t="shared" si="135"/>
        <v>0</v>
      </c>
      <c r="N247" s="915"/>
      <c r="O247" s="563"/>
      <c r="P247" s="562" t="str">
        <f t="shared" si="136"/>
        <v/>
      </c>
      <c r="Q247" s="560" t="str">
        <f t="shared" si="139"/>
        <v/>
      </c>
      <c r="R247" s="16"/>
      <c r="T247" s="121" t="s">
        <v>113</v>
      </c>
      <c r="U247" s="1"/>
      <c r="V247" s="1"/>
      <c r="W247" s="26"/>
      <c r="X247" s="113" t="s">
        <v>371</v>
      </c>
      <c r="Y247" s="113">
        <f t="shared" si="137"/>
        <v>2035</v>
      </c>
      <c r="Z247" s="113">
        <f t="shared" si="138"/>
        <v>0.85</v>
      </c>
      <c r="AA247" s="121" t="str">
        <f t="shared" si="140"/>
        <v/>
      </c>
      <c r="AB247" s="121" t="str">
        <f t="shared" si="141"/>
        <v/>
      </c>
      <c r="AC247" s="107"/>
    </row>
    <row r="248" spans="1:29" ht="47" hidden="1" customHeight="1" outlineLevel="3">
      <c r="A248" s="863" t="s">
        <v>121</v>
      </c>
      <c r="B248" s="863" t="s">
        <v>120</v>
      </c>
      <c r="C248" s="333" t="s">
        <v>369</v>
      </c>
      <c r="D248" s="333" t="str">
        <f t="shared" ref="D248" si="145">_xlfn.XLOOKUP(AC248,$AD$202:$AD$224,$D$202:$D$224,"No target",0)</f>
        <v>No target type selected</v>
      </c>
      <c r="E248" s="866" cm="1">
        <f t="array" ref="E248">SUMPRODUCT(('AOI Segmentation'!$M$89:$M$223=TRUE)*($AC248='AOI Segmentation'!$AK$89:$AK$223)*('Climate-Alignment Target'!E$242='AOI Segmentation'!$Q$88:$V$88)*('AOI Segmentation'!$Q$89:$V$223))</f>
        <v>0</v>
      </c>
      <c r="F248" s="5"/>
      <c r="G248" s="5"/>
      <c r="H248" s="5"/>
      <c r="I248" s="5"/>
      <c r="J248" s="5"/>
      <c r="K248" s="557" t="str">
        <f t="shared" si="143"/>
        <v/>
      </c>
      <c r="L248" s="712" t="str">
        <f>IF(K248="","",IF(E248=(K248+K249),"OK",IF(D248="Sector target","OK - covered by sector target",IF(AND(E248=0,D248="No target type selected"),"OK","Review financial exposure"))))</f>
        <v/>
      </c>
      <c r="M248" s="562">
        <f t="shared" si="135"/>
        <v>0</v>
      </c>
      <c r="N248" s="915"/>
      <c r="O248" s="563"/>
      <c r="P248" s="562" t="str">
        <f t="shared" si="136"/>
        <v/>
      </c>
      <c r="Q248" s="560" t="str">
        <f t="shared" si="139"/>
        <v/>
      </c>
      <c r="R248" s="16"/>
      <c r="T248" s="124" t="s">
        <v>121</v>
      </c>
      <c r="U248" s="1"/>
      <c r="V248" s="1"/>
      <c r="W248" s="26"/>
      <c r="X248" s="113" t="s">
        <v>373</v>
      </c>
      <c r="Y248" s="113">
        <f t="shared" si="137"/>
        <v>2040</v>
      </c>
      <c r="Z248" s="113">
        <f t="shared" si="138"/>
        <v>0.95</v>
      </c>
      <c r="AA248" s="121" t="str">
        <f t="shared" si="140"/>
        <v/>
      </c>
      <c r="AB248" s="121" t="str">
        <f t="shared" si="141"/>
        <v/>
      </c>
      <c r="AC248" s="107" t="s">
        <v>173</v>
      </c>
    </row>
    <row r="249" spans="1:29" ht="47" hidden="1" customHeight="1" outlineLevel="3">
      <c r="A249" s="865"/>
      <c r="B249" s="865"/>
      <c r="C249" s="333" t="s">
        <v>372</v>
      </c>
      <c r="D249" s="333" t="str">
        <f t="shared" ref="D249" si="146">D248</f>
        <v>No target type selected</v>
      </c>
      <c r="E249" s="866"/>
      <c r="F249" s="5"/>
      <c r="G249" s="5"/>
      <c r="H249" s="5"/>
      <c r="I249" s="5"/>
      <c r="J249" s="5"/>
      <c r="K249" s="557" t="str">
        <f t="shared" si="143"/>
        <v/>
      </c>
      <c r="L249" s="713"/>
      <c r="M249" s="562">
        <f t="shared" si="135"/>
        <v>0</v>
      </c>
      <c r="N249" s="915"/>
      <c r="O249" s="563"/>
      <c r="P249" s="562" t="str">
        <f t="shared" si="136"/>
        <v/>
      </c>
      <c r="Q249" s="560" t="str">
        <f t="shared" si="139"/>
        <v/>
      </c>
      <c r="R249" s="16"/>
      <c r="T249" s="124" t="s">
        <v>121</v>
      </c>
      <c r="U249" s="1"/>
      <c r="V249" s="1"/>
      <c r="W249" s="26"/>
      <c r="X249" s="113" t="s">
        <v>374</v>
      </c>
      <c r="Y249" s="113">
        <f t="shared" si="137"/>
        <v>2040</v>
      </c>
      <c r="Z249" s="113">
        <f t="shared" si="138"/>
        <v>0.85</v>
      </c>
      <c r="AA249" s="121" t="str">
        <f t="shared" si="140"/>
        <v/>
      </c>
      <c r="AB249" s="121" t="str">
        <f t="shared" si="141"/>
        <v/>
      </c>
      <c r="AC249" s="107"/>
    </row>
    <row r="250" spans="1:29" ht="47" hidden="1" customHeight="1" outlineLevel="3">
      <c r="A250" s="863" t="s">
        <v>121</v>
      </c>
      <c r="B250" s="886" t="s">
        <v>393</v>
      </c>
      <c r="C250" s="333" t="s">
        <v>369</v>
      </c>
      <c r="D250" s="333" t="str">
        <f t="shared" ref="D250" si="147">_xlfn.XLOOKUP(AC250,$AD$202:$AD$224,$D$202:$D$224,"No target",0)</f>
        <v>No target type selected</v>
      </c>
      <c r="E250" s="866" cm="1">
        <f t="array" ref="E250">SUMPRODUCT(('AOI Segmentation'!$M$89:$M$223=TRUE)*($AC250='AOI Segmentation'!$AK$89:$AK$223)*('Climate-Alignment Target'!E$242='AOI Segmentation'!$Q$88:$V$88)*('AOI Segmentation'!$Q$89:$V$223))</f>
        <v>0</v>
      </c>
      <c r="F250" s="5"/>
      <c r="G250" s="5"/>
      <c r="H250" s="5"/>
      <c r="I250" s="5"/>
      <c r="J250" s="5"/>
      <c r="K250" s="557" t="str">
        <f t="shared" si="143"/>
        <v/>
      </c>
      <c r="L250" s="712" t="str">
        <f t="shared" ref="L250" si="148">IF(K250="","",IF(E250=(K250+K251),"OK",IF(D250="Sector target","OK - covered by sector target",IF(AND(E250=0,D250="No target type selected"),"OK","Review financial exposure"))))</f>
        <v/>
      </c>
      <c r="M250" s="562">
        <f t="shared" ref="M250:M289" si="149">IF(SUM(F250:J250)=0,0,SUM(H250:J250)/(SUM(F250:J250)))</f>
        <v>0</v>
      </c>
      <c r="N250" s="915"/>
      <c r="O250" s="563"/>
      <c r="P250" s="562" t="str">
        <f t="shared" si="136"/>
        <v/>
      </c>
      <c r="Q250" s="560" t="str">
        <f t="shared" si="139"/>
        <v/>
      </c>
      <c r="R250" s="16"/>
      <c r="T250" s="124" t="s">
        <v>121</v>
      </c>
      <c r="U250" s="1"/>
      <c r="V250" s="1"/>
      <c r="W250" s="26"/>
      <c r="X250" s="113" t="s">
        <v>373</v>
      </c>
      <c r="Y250" s="113">
        <f t="shared" si="137"/>
        <v>2040</v>
      </c>
      <c r="Z250" s="113">
        <f t="shared" si="138"/>
        <v>0.95</v>
      </c>
      <c r="AA250" s="121" t="str">
        <f t="shared" si="140"/>
        <v/>
      </c>
      <c r="AB250" s="121" t="str">
        <f t="shared" si="141"/>
        <v/>
      </c>
      <c r="AC250" s="107" t="s">
        <v>178</v>
      </c>
    </row>
    <row r="251" spans="1:29" ht="47" hidden="1" customHeight="1" outlineLevel="3">
      <c r="A251" s="865"/>
      <c r="B251" s="886"/>
      <c r="C251" s="333" t="s">
        <v>372</v>
      </c>
      <c r="D251" s="333" t="str">
        <f t="shared" ref="D251" si="150">D250</f>
        <v>No target type selected</v>
      </c>
      <c r="E251" s="866"/>
      <c r="F251" s="5"/>
      <c r="G251" s="5"/>
      <c r="H251" s="5"/>
      <c r="I251" s="5"/>
      <c r="J251" s="5"/>
      <c r="K251" s="557" t="str">
        <f t="shared" si="143"/>
        <v/>
      </c>
      <c r="L251" s="713"/>
      <c r="M251" s="562">
        <f t="shared" si="149"/>
        <v>0</v>
      </c>
      <c r="N251" s="915"/>
      <c r="O251" s="563"/>
      <c r="P251" s="562" t="str">
        <f t="shared" si="136"/>
        <v/>
      </c>
      <c r="Q251" s="560" t="str">
        <f t="shared" si="139"/>
        <v/>
      </c>
      <c r="R251" s="16"/>
      <c r="T251" s="124" t="s">
        <v>121</v>
      </c>
      <c r="U251" s="1"/>
      <c r="V251" s="1"/>
      <c r="W251" s="26"/>
      <c r="X251" s="113" t="s">
        <v>374</v>
      </c>
      <c r="Y251" s="113">
        <f t="shared" si="137"/>
        <v>2040</v>
      </c>
      <c r="Z251" s="113">
        <f t="shared" si="138"/>
        <v>0.85</v>
      </c>
      <c r="AA251" s="121" t="str">
        <f t="shared" si="140"/>
        <v/>
      </c>
      <c r="AB251" s="121" t="str">
        <f t="shared" si="141"/>
        <v/>
      </c>
      <c r="AC251" s="107"/>
    </row>
    <row r="252" spans="1:29" ht="47" hidden="1" customHeight="1" outlineLevel="3">
      <c r="A252" s="863" t="s">
        <v>136</v>
      </c>
      <c r="B252" s="886" t="s">
        <v>393</v>
      </c>
      <c r="C252" s="333" t="s">
        <v>369</v>
      </c>
      <c r="D252" s="333" t="str">
        <f t="shared" ref="D252" si="151">_xlfn.XLOOKUP(AC252,$AD$202:$AD$224,$D$202:$D$224,"No target",0)</f>
        <v>No target type selected</v>
      </c>
      <c r="E252" s="866" cm="1">
        <f t="array" ref="E252">SUMPRODUCT(('AOI Segmentation'!$M$89:$M$223=TRUE)*($AC252='AOI Segmentation'!$AK$89:$AK$223)*('Climate-Alignment Target'!E$242='AOI Segmentation'!$Q$88:$V$88)*('AOI Segmentation'!$Q$89:$V$223))</f>
        <v>0</v>
      </c>
      <c r="F252" s="5"/>
      <c r="G252" s="5"/>
      <c r="H252" s="5"/>
      <c r="I252" s="5"/>
      <c r="J252" s="5"/>
      <c r="K252" s="557" t="str">
        <f t="shared" si="143"/>
        <v/>
      </c>
      <c r="L252" s="712" t="str">
        <f t="shared" ref="L252" si="152">IF(K252="","",IF(E252=(K252+K253),"OK",IF(D252="Sector target","OK - covered by sector target",IF(AND(E252=0,D252="No target type selected"),"OK","Review financial exposure"))))</f>
        <v/>
      </c>
      <c r="M252" s="562">
        <f t="shared" si="149"/>
        <v>0</v>
      </c>
      <c r="N252" s="915"/>
      <c r="O252" s="563"/>
      <c r="P252" s="562" t="str">
        <f t="shared" si="136"/>
        <v/>
      </c>
      <c r="Q252" s="560" t="str">
        <f t="shared" si="139"/>
        <v/>
      </c>
      <c r="R252" s="16"/>
      <c r="T252" s="124" t="s">
        <v>136</v>
      </c>
      <c r="U252" s="1"/>
      <c r="V252" s="1"/>
      <c r="W252" s="26"/>
      <c r="X252" s="113" t="s">
        <v>378</v>
      </c>
      <c r="Y252" s="113">
        <f t="shared" si="137"/>
        <v>2050</v>
      </c>
      <c r="Z252" s="113">
        <f t="shared" si="138"/>
        <v>0.95</v>
      </c>
      <c r="AA252" s="121" t="str">
        <f t="shared" si="140"/>
        <v/>
      </c>
      <c r="AB252" s="121" t="str">
        <f t="shared" si="141"/>
        <v/>
      </c>
      <c r="AC252" s="107" t="s">
        <v>216</v>
      </c>
    </row>
    <row r="253" spans="1:29" ht="47" hidden="1" customHeight="1" outlineLevel="3">
      <c r="A253" s="865"/>
      <c r="B253" s="886"/>
      <c r="C253" s="333" t="s">
        <v>372</v>
      </c>
      <c r="D253" s="333" t="str">
        <f t="shared" ref="D253" si="153">D252</f>
        <v>No target type selected</v>
      </c>
      <c r="E253" s="866"/>
      <c r="F253" s="5"/>
      <c r="G253" s="5"/>
      <c r="H253" s="5"/>
      <c r="I253" s="5"/>
      <c r="J253" s="5"/>
      <c r="K253" s="557" t="str">
        <f t="shared" si="143"/>
        <v/>
      </c>
      <c r="L253" s="713"/>
      <c r="M253" s="562">
        <f t="shared" si="149"/>
        <v>0</v>
      </c>
      <c r="N253" s="915"/>
      <c r="O253" s="563"/>
      <c r="P253" s="562" t="str">
        <f t="shared" si="136"/>
        <v/>
      </c>
      <c r="Q253" s="560" t="str">
        <f t="shared" si="139"/>
        <v/>
      </c>
      <c r="R253" s="16"/>
      <c r="T253" s="124" t="s">
        <v>136</v>
      </c>
      <c r="U253" s="1"/>
      <c r="V253" s="1"/>
      <c r="W253" s="26"/>
      <c r="X253" s="113" t="s">
        <v>379</v>
      </c>
      <c r="Y253" s="113">
        <f t="shared" si="137"/>
        <v>2050</v>
      </c>
      <c r="Z253" s="113">
        <f t="shared" si="138"/>
        <v>0.85</v>
      </c>
      <c r="AA253" s="121" t="str">
        <f t="shared" si="140"/>
        <v/>
      </c>
      <c r="AB253" s="121" t="str">
        <f t="shared" si="141"/>
        <v/>
      </c>
      <c r="AC253" s="107"/>
    </row>
    <row r="254" spans="1:29" ht="47" hidden="1" customHeight="1" outlineLevel="3">
      <c r="A254" s="863" t="s">
        <v>121</v>
      </c>
      <c r="B254" s="886" t="s">
        <v>394</v>
      </c>
      <c r="C254" s="333" t="s">
        <v>369</v>
      </c>
      <c r="D254" s="333" t="str">
        <f t="shared" ref="D254" si="154">_xlfn.XLOOKUP(AC254,$AD$202:$AD$224,$D$202:$D$224,"No target",0)</f>
        <v>No target type selected</v>
      </c>
      <c r="E254" s="866" cm="1">
        <f t="array" ref="E254">SUMPRODUCT(('AOI Segmentation'!$M$89:$M$223=TRUE)*($AC254='AOI Segmentation'!$AK$89:$AK$223)*('Climate-Alignment Target'!E$242='AOI Segmentation'!$Q$88:$V$88)*('AOI Segmentation'!$Q$89:$V$223))</f>
        <v>0</v>
      </c>
      <c r="F254" s="5"/>
      <c r="G254" s="5"/>
      <c r="H254" s="5"/>
      <c r="I254" s="5"/>
      <c r="J254" s="5"/>
      <c r="K254" s="557" t="str">
        <f t="shared" si="143"/>
        <v/>
      </c>
      <c r="L254" s="712" t="str">
        <f t="shared" ref="L254" si="155">IF(K254="","",IF(E254=(K254+K255),"OK",IF(D254="Sector target","OK - covered by sector target",IF(AND(E254=0,D254="No target type selected"),"OK","Review financial exposure"))))</f>
        <v/>
      </c>
      <c r="M254" s="562">
        <f t="shared" si="149"/>
        <v>0</v>
      </c>
      <c r="N254" s="915"/>
      <c r="O254" s="563"/>
      <c r="P254" s="562" t="str">
        <f t="shared" si="136"/>
        <v/>
      </c>
      <c r="Q254" s="560" t="str">
        <f t="shared" si="139"/>
        <v/>
      </c>
      <c r="R254" s="16"/>
      <c r="T254" s="124" t="s">
        <v>121</v>
      </c>
      <c r="U254" s="1"/>
      <c r="V254" s="1"/>
      <c r="W254" s="26"/>
      <c r="X254" s="113" t="s">
        <v>373</v>
      </c>
      <c r="Y254" s="113">
        <f t="shared" si="137"/>
        <v>2040</v>
      </c>
      <c r="Z254" s="113">
        <f t="shared" si="138"/>
        <v>0.95</v>
      </c>
      <c r="AA254" s="121" t="str">
        <f t="shared" si="140"/>
        <v/>
      </c>
      <c r="AB254" s="121" t="str">
        <f t="shared" si="141"/>
        <v/>
      </c>
      <c r="AC254" s="107" t="s">
        <v>182</v>
      </c>
    </row>
    <row r="255" spans="1:29" ht="47" hidden="1" customHeight="1" outlineLevel="3">
      <c r="A255" s="865"/>
      <c r="B255" s="886"/>
      <c r="C255" s="333" t="s">
        <v>372</v>
      </c>
      <c r="D255" s="333" t="str">
        <f t="shared" ref="D255" si="156">D254</f>
        <v>No target type selected</v>
      </c>
      <c r="E255" s="866"/>
      <c r="F255" s="5"/>
      <c r="G255" s="5"/>
      <c r="H255" s="5"/>
      <c r="I255" s="5"/>
      <c r="J255" s="5"/>
      <c r="K255" s="557" t="str">
        <f t="shared" si="143"/>
        <v/>
      </c>
      <c r="L255" s="713"/>
      <c r="M255" s="562">
        <f t="shared" si="149"/>
        <v>0</v>
      </c>
      <c r="N255" s="915"/>
      <c r="O255" s="563"/>
      <c r="P255" s="562" t="str">
        <f t="shared" si="136"/>
        <v/>
      </c>
      <c r="Q255" s="560" t="str">
        <f t="shared" si="139"/>
        <v/>
      </c>
      <c r="R255" s="16"/>
      <c r="T255" s="124" t="s">
        <v>121</v>
      </c>
      <c r="U255" s="1"/>
      <c r="V255" s="1"/>
      <c r="W255" s="26"/>
      <c r="X255" s="113" t="s">
        <v>374</v>
      </c>
      <c r="Y255" s="113">
        <f t="shared" si="137"/>
        <v>2040</v>
      </c>
      <c r="Z255" s="113">
        <f t="shared" si="138"/>
        <v>0.85</v>
      </c>
      <c r="AA255" s="121" t="str">
        <f t="shared" si="140"/>
        <v/>
      </c>
      <c r="AB255" s="121" t="str">
        <f t="shared" si="141"/>
        <v/>
      </c>
      <c r="AC255" s="107"/>
    </row>
    <row r="256" spans="1:29" ht="47" hidden="1" customHeight="1" outlineLevel="3">
      <c r="A256" s="863" t="s">
        <v>136</v>
      </c>
      <c r="B256" s="886" t="s">
        <v>394</v>
      </c>
      <c r="C256" s="333" t="s">
        <v>369</v>
      </c>
      <c r="D256" s="333" t="str">
        <f t="shared" ref="D256" si="157">_xlfn.XLOOKUP(AC256,$AD$202:$AD$224,$D$202:$D$224,"No target",0)</f>
        <v>No target type selected</v>
      </c>
      <c r="E256" s="866" cm="1">
        <f t="array" ref="E256">SUMPRODUCT(('AOI Segmentation'!$M$89:$M$223=TRUE)*($AC256='AOI Segmentation'!$AK$89:$AK$223)*('Climate-Alignment Target'!E$242='AOI Segmentation'!$Q$88:$V$88)*('AOI Segmentation'!$Q$89:$V$223))</f>
        <v>0</v>
      </c>
      <c r="F256" s="5"/>
      <c r="G256" s="5"/>
      <c r="H256" s="5"/>
      <c r="I256" s="5"/>
      <c r="J256" s="5"/>
      <c r="K256" s="557" t="str">
        <f t="shared" si="143"/>
        <v/>
      </c>
      <c r="L256" s="712" t="str">
        <f t="shared" ref="L256" si="158">IF(K256="","",IF(E256=(K256+K257),"OK",IF(D256="Sector target","OK - covered by sector target",IF(AND(E256=0,D256="No target type selected"),"OK","Review financial exposure"))))</f>
        <v/>
      </c>
      <c r="M256" s="562">
        <f t="shared" si="149"/>
        <v>0</v>
      </c>
      <c r="N256" s="915"/>
      <c r="O256" s="563"/>
      <c r="P256" s="562" t="str">
        <f t="shared" si="136"/>
        <v/>
      </c>
      <c r="Q256" s="560" t="str">
        <f t="shared" si="139"/>
        <v/>
      </c>
      <c r="R256" s="16"/>
      <c r="T256" s="124" t="s">
        <v>136</v>
      </c>
      <c r="U256" s="1"/>
      <c r="V256" s="1"/>
      <c r="W256" s="26"/>
      <c r="X256" s="113" t="s">
        <v>378</v>
      </c>
      <c r="Y256" s="113">
        <f t="shared" si="137"/>
        <v>2050</v>
      </c>
      <c r="Z256" s="113">
        <f t="shared" si="138"/>
        <v>0.95</v>
      </c>
      <c r="AA256" s="121" t="str">
        <f t="shared" si="140"/>
        <v/>
      </c>
      <c r="AB256" s="121" t="str">
        <f t="shared" si="141"/>
        <v/>
      </c>
      <c r="AC256" s="107" t="s">
        <v>218</v>
      </c>
    </row>
    <row r="257" spans="1:29" ht="47" hidden="1" customHeight="1" outlineLevel="3">
      <c r="A257" s="865"/>
      <c r="B257" s="886"/>
      <c r="C257" s="333" t="s">
        <v>372</v>
      </c>
      <c r="D257" s="333" t="str">
        <f t="shared" ref="D257" si="159">D256</f>
        <v>No target type selected</v>
      </c>
      <c r="E257" s="866"/>
      <c r="F257" s="5"/>
      <c r="G257" s="5"/>
      <c r="H257" s="5"/>
      <c r="I257" s="5"/>
      <c r="J257" s="5"/>
      <c r="K257" s="557" t="str">
        <f t="shared" si="143"/>
        <v/>
      </c>
      <c r="L257" s="713"/>
      <c r="M257" s="562">
        <f t="shared" si="149"/>
        <v>0</v>
      </c>
      <c r="N257" s="915"/>
      <c r="O257" s="563"/>
      <c r="P257" s="562" t="str">
        <f t="shared" si="136"/>
        <v/>
      </c>
      <c r="Q257" s="560" t="str">
        <f t="shared" si="139"/>
        <v/>
      </c>
      <c r="R257" s="16"/>
      <c r="T257" s="124" t="s">
        <v>136</v>
      </c>
      <c r="U257" s="1"/>
      <c r="V257" s="1"/>
      <c r="W257" s="26"/>
      <c r="X257" s="113" t="s">
        <v>379</v>
      </c>
      <c r="Y257" s="113">
        <f t="shared" si="137"/>
        <v>2050</v>
      </c>
      <c r="Z257" s="113">
        <f t="shared" si="138"/>
        <v>0.85</v>
      </c>
      <c r="AA257" s="121" t="str">
        <f t="shared" si="140"/>
        <v/>
      </c>
      <c r="AB257" s="121" t="str">
        <f t="shared" si="141"/>
        <v/>
      </c>
      <c r="AC257" s="107"/>
    </row>
    <row r="258" spans="1:29" ht="47" hidden="1" customHeight="1" outlineLevel="3">
      <c r="A258" s="863" t="s">
        <v>121</v>
      </c>
      <c r="B258" s="886" t="s">
        <v>395</v>
      </c>
      <c r="C258" s="333" t="s">
        <v>369</v>
      </c>
      <c r="D258" s="333" t="str">
        <f t="shared" ref="D258" si="160">_xlfn.XLOOKUP(AC258,$AD$202:$AD$224,$D$202:$D$224,"No target",0)</f>
        <v>No target type selected</v>
      </c>
      <c r="E258" s="866" cm="1">
        <f t="array" ref="E258">SUMPRODUCT(('AOI Segmentation'!$M$89:$M$223=TRUE)*($AC258='AOI Segmentation'!$AK$89:$AK$223)*('Climate-Alignment Target'!E$242='AOI Segmentation'!$Q$88:$V$88)*('AOI Segmentation'!$Q$89:$V$223))</f>
        <v>0</v>
      </c>
      <c r="F258" s="5"/>
      <c r="G258" s="5"/>
      <c r="H258" s="5"/>
      <c r="I258" s="5"/>
      <c r="J258" s="5"/>
      <c r="K258" s="557" t="str">
        <f t="shared" si="143"/>
        <v/>
      </c>
      <c r="L258" s="712" t="str">
        <f t="shared" ref="L258" si="161">IF(K258="","",IF(E258=(K258+K259),"OK",IF(D258="Sector target","OK - covered by sector target",IF(AND(E258=0,D258="No target type selected"),"OK","Review financial exposure"))))</f>
        <v/>
      </c>
      <c r="M258" s="562">
        <f t="shared" si="149"/>
        <v>0</v>
      </c>
      <c r="N258" s="915"/>
      <c r="O258" s="563"/>
      <c r="P258" s="562" t="str">
        <f t="shared" si="136"/>
        <v/>
      </c>
      <c r="Q258" s="560" t="str">
        <f t="shared" si="139"/>
        <v/>
      </c>
      <c r="R258" s="16"/>
      <c r="T258" s="124" t="s">
        <v>121</v>
      </c>
      <c r="U258" s="1"/>
      <c r="V258" s="1"/>
      <c r="W258" s="26"/>
      <c r="X258" s="113" t="s">
        <v>373</v>
      </c>
      <c r="Y258" s="113">
        <f t="shared" si="137"/>
        <v>2040</v>
      </c>
      <c r="Z258" s="113">
        <f t="shared" si="138"/>
        <v>0.95</v>
      </c>
      <c r="AA258" s="121" t="str">
        <f t="shared" si="140"/>
        <v/>
      </c>
      <c r="AB258" s="121" t="str">
        <f t="shared" si="141"/>
        <v/>
      </c>
      <c r="AC258" s="107" t="s">
        <v>187</v>
      </c>
    </row>
    <row r="259" spans="1:29" ht="47" hidden="1" customHeight="1" outlineLevel="3">
      <c r="A259" s="865"/>
      <c r="B259" s="886"/>
      <c r="C259" s="333" t="s">
        <v>372</v>
      </c>
      <c r="D259" s="333" t="str">
        <f t="shared" ref="D259" si="162">D258</f>
        <v>No target type selected</v>
      </c>
      <c r="E259" s="866"/>
      <c r="F259" s="5"/>
      <c r="G259" s="5"/>
      <c r="H259" s="5"/>
      <c r="I259" s="5"/>
      <c r="J259" s="5"/>
      <c r="K259" s="557" t="str">
        <f t="shared" si="143"/>
        <v/>
      </c>
      <c r="L259" s="713"/>
      <c r="M259" s="562">
        <f t="shared" si="149"/>
        <v>0</v>
      </c>
      <c r="N259" s="915"/>
      <c r="O259" s="563"/>
      <c r="P259" s="562" t="str">
        <f t="shared" si="136"/>
        <v/>
      </c>
      <c r="Q259" s="560" t="str">
        <f t="shared" si="139"/>
        <v/>
      </c>
      <c r="R259" s="16"/>
      <c r="T259" s="124" t="s">
        <v>121</v>
      </c>
      <c r="U259" s="1"/>
      <c r="V259" s="1"/>
      <c r="W259" s="26"/>
      <c r="X259" s="113" t="s">
        <v>374</v>
      </c>
      <c r="Y259" s="113">
        <f t="shared" si="137"/>
        <v>2040</v>
      </c>
      <c r="Z259" s="113">
        <f t="shared" si="138"/>
        <v>0.85</v>
      </c>
      <c r="AA259" s="121" t="str">
        <f t="shared" si="140"/>
        <v/>
      </c>
      <c r="AB259" s="121" t="str">
        <f t="shared" si="141"/>
        <v/>
      </c>
      <c r="AC259" s="107"/>
    </row>
    <row r="260" spans="1:29" ht="47" hidden="1" customHeight="1" outlineLevel="3">
      <c r="A260" s="863" t="s">
        <v>136</v>
      </c>
      <c r="B260" s="886" t="s">
        <v>395</v>
      </c>
      <c r="C260" s="333" t="s">
        <v>369</v>
      </c>
      <c r="D260" s="333" t="str">
        <f t="shared" ref="D260" si="163">_xlfn.XLOOKUP(AC260,$AD$202:$AD$224,$D$202:$D$224,"No target",0)</f>
        <v>No target type selected</v>
      </c>
      <c r="E260" s="866" cm="1">
        <f t="array" ref="E260">SUMPRODUCT(('AOI Segmentation'!$M$89:$M$223=TRUE)*($AC260='AOI Segmentation'!$AK$89:$AK$223)*('Climate-Alignment Target'!E$242='AOI Segmentation'!$Q$88:$V$88)*('AOI Segmentation'!$Q$89:$V$223))</f>
        <v>0</v>
      </c>
      <c r="F260" s="5"/>
      <c r="G260" s="5"/>
      <c r="H260" s="5"/>
      <c r="I260" s="5"/>
      <c r="J260" s="5"/>
      <c r="K260" s="557" t="str">
        <f t="shared" si="143"/>
        <v/>
      </c>
      <c r="L260" s="712" t="str">
        <f t="shared" ref="L260" si="164">IF(K260="","",IF(E260=(K260+K261),"OK",IF(D260="Sector target","OK - covered by sector target",IF(AND(E260=0,D260="No target type selected"),"OK","Review financial exposure"))))</f>
        <v/>
      </c>
      <c r="M260" s="562">
        <f t="shared" si="149"/>
        <v>0</v>
      </c>
      <c r="N260" s="915"/>
      <c r="O260" s="563"/>
      <c r="P260" s="562" t="str">
        <f t="shared" si="136"/>
        <v/>
      </c>
      <c r="Q260" s="560" t="str">
        <f t="shared" si="139"/>
        <v/>
      </c>
      <c r="R260" s="16"/>
      <c r="T260" s="124" t="s">
        <v>136</v>
      </c>
      <c r="U260" s="1"/>
      <c r="V260" s="1"/>
      <c r="W260" s="26"/>
      <c r="X260" s="113" t="s">
        <v>378</v>
      </c>
      <c r="Y260" s="113">
        <f t="shared" si="137"/>
        <v>2050</v>
      </c>
      <c r="Z260" s="113">
        <f t="shared" si="138"/>
        <v>0.95</v>
      </c>
      <c r="AA260" s="121" t="str">
        <f t="shared" si="140"/>
        <v/>
      </c>
      <c r="AB260" s="121" t="str">
        <f t="shared" si="141"/>
        <v/>
      </c>
      <c r="AC260" s="107" t="s">
        <v>220</v>
      </c>
    </row>
    <row r="261" spans="1:29" ht="47" hidden="1" customHeight="1" outlineLevel="3">
      <c r="A261" s="865"/>
      <c r="B261" s="886"/>
      <c r="C261" s="333" t="s">
        <v>372</v>
      </c>
      <c r="D261" s="333" t="str">
        <f t="shared" ref="D261" si="165">D260</f>
        <v>No target type selected</v>
      </c>
      <c r="E261" s="866"/>
      <c r="F261" s="5"/>
      <c r="G261" s="5"/>
      <c r="H261" s="5"/>
      <c r="I261" s="5"/>
      <c r="J261" s="5"/>
      <c r="K261" s="557" t="str">
        <f t="shared" si="143"/>
        <v/>
      </c>
      <c r="L261" s="713"/>
      <c r="M261" s="562">
        <f t="shared" si="149"/>
        <v>0</v>
      </c>
      <c r="N261" s="915"/>
      <c r="O261" s="563"/>
      <c r="P261" s="562" t="str">
        <f t="shared" si="136"/>
        <v/>
      </c>
      <c r="Q261" s="560" t="str">
        <f t="shared" si="139"/>
        <v/>
      </c>
      <c r="R261" s="16"/>
      <c r="T261" s="124" t="s">
        <v>136</v>
      </c>
      <c r="U261" s="1"/>
      <c r="V261" s="1"/>
      <c r="W261" s="26"/>
      <c r="X261" s="113" t="s">
        <v>379</v>
      </c>
      <c r="Y261" s="113">
        <f t="shared" si="137"/>
        <v>2050</v>
      </c>
      <c r="Z261" s="113">
        <f t="shared" si="138"/>
        <v>0.85</v>
      </c>
      <c r="AA261" s="121" t="str">
        <f t="shared" si="140"/>
        <v/>
      </c>
      <c r="AB261" s="121" t="str">
        <f t="shared" si="141"/>
        <v/>
      </c>
      <c r="AC261" s="107"/>
    </row>
    <row r="262" spans="1:29" ht="47" hidden="1" customHeight="1" outlineLevel="3">
      <c r="A262" s="863" t="s">
        <v>121</v>
      </c>
      <c r="B262" s="886" t="s">
        <v>396</v>
      </c>
      <c r="C262" s="333" t="s">
        <v>369</v>
      </c>
      <c r="D262" s="333" t="str">
        <f t="shared" ref="D262" si="166">_xlfn.XLOOKUP(AC262,$AD$202:$AD$224,$D$202:$D$224,"No target",0)</f>
        <v>No target type selected</v>
      </c>
      <c r="E262" s="866" cm="1">
        <f t="array" ref="E262">SUMPRODUCT(('AOI Segmentation'!$M$89:$M$223=TRUE)*($AC262='AOI Segmentation'!$AK$89:$AK$223)*('Climate-Alignment Target'!E$242='AOI Segmentation'!$Q$88:$V$88)*('AOI Segmentation'!$Q$89:$V$223))</f>
        <v>0</v>
      </c>
      <c r="F262" s="5"/>
      <c r="G262" s="5"/>
      <c r="H262" s="5"/>
      <c r="I262" s="5"/>
      <c r="J262" s="5"/>
      <c r="K262" s="557" t="str">
        <f t="shared" si="143"/>
        <v/>
      </c>
      <c r="L262" s="712" t="str">
        <f t="shared" ref="L262" si="167">IF(K262="","",IF(E262=(K262+K263),"OK",IF(D262="Sector target","OK - covered by sector target",IF(AND(E262=0,D262="No target type selected"),"OK","Review financial exposure"))))</f>
        <v/>
      </c>
      <c r="M262" s="562">
        <f t="shared" si="149"/>
        <v>0</v>
      </c>
      <c r="N262" s="915"/>
      <c r="O262" s="563"/>
      <c r="P262" s="562" t="str">
        <f t="shared" si="136"/>
        <v/>
      </c>
      <c r="Q262" s="560" t="str">
        <f t="shared" si="139"/>
        <v/>
      </c>
      <c r="R262" s="16"/>
      <c r="T262" s="124" t="s">
        <v>121</v>
      </c>
      <c r="U262" s="1"/>
      <c r="V262" s="1"/>
      <c r="W262" s="26"/>
      <c r="X262" s="113" t="s">
        <v>373</v>
      </c>
      <c r="Y262" s="113">
        <f t="shared" si="137"/>
        <v>2040</v>
      </c>
      <c r="Z262" s="113">
        <f t="shared" si="138"/>
        <v>0.95</v>
      </c>
      <c r="AA262" s="121" t="str">
        <f t="shared" si="140"/>
        <v/>
      </c>
      <c r="AB262" s="121" t="str">
        <f t="shared" si="141"/>
        <v/>
      </c>
      <c r="AC262" s="107" t="s">
        <v>193</v>
      </c>
    </row>
    <row r="263" spans="1:29" ht="47" hidden="1" customHeight="1" outlineLevel="3">
      <c r="A263" s="865"/>
      <c r="B263" s="886"/>
      <c r="C263" s="333" t="s">
        <v>372</v>
      </c>
      <c r="D263" s="333" t="str">
        <f t="shared" ref="D263" si="168">D262</f>
        <v>No target type selected</v>
      </c>
      <c r="E263" s="866"/>
      <c r="F263" s="5"/>
      <c r="G263" s="5"/>
      <c r="H263" s="5"/>
      <c r="I263" s="5"/>
      <c r="J263" s="5"/>
      <c r="K263" s="557" t="str">
        <f t="shared" si="143"/>
        <v/>
      </c>
      <c r="L263" s="713"/>
      <c r="M263" s="562">
        <f t="shared" si="149"/>
        <v>0</v>
      </c>
      <c r="N263" s="915"/>
      <c r="O263" s="563"/>
      <c r="P263" s="562" t="str">
        <f t="shared" si="136"/>
        <v/>
      </c>
      <c r="Q263" s="560" t="str">
        <f t="shared" si="139"/>
        <v/>
      </c>
      <c r="R263" s="16"/>
      <c r="T263" s="124" t="s">
        <v>121</v>
      </c>
      <c r="U263" s="1"/>
      <c r="V263" s="1"/>
      <c r="W263" s="26"/>
      <c r="X263" s="113" t="s">
        <v>374</v>
      </c>
      <c r="Y263" s="113">
        <f t="shared" si="137"/>
        <v>2040</v>
      </c>
      <c r="Z263" s="113">
        <f t="shared" si="138"/>
        <v>0.85</v>
      </c>
      <c r="AA263" s="121" t="str">
        <f t="shared" si="140"/>
        <v/>
      </c>
      <c r="AB263" s="121" t="str">
        <f t="shared" si="141"/>
        <v/>
      </c>
      <c r="AC263" s="107"/>
    </row>
    <row r="264" spans="1:29" ht="47" hidden="1" customHeight="1" outlineLevel="3">
      <c r="A264" s="863" t="s">
        <v>136</v>
      </c>
      <c r="B264" s="886" t="s">
        <v>396</v>
      </c>
      <c r="C264" s="333" t="s">
        <v>369</v>
      </c>
      <c r="D264" s="333" t="str">
        <f t="shared" ref="D264" si="169">_xlfn.XLOOKUP(AC264,$AD$202:$AD$224,$D$202:$D$224,"No target",0)</f>
        <v>No target type selected</v>
      </c>
      <c r="E264" s="866" cm="1">
        <f t="array" ref="E264">SUMPRODUCT(('AOI Segmentation'!$M$89:$M$223=TRUE)*($AC264='AOI Segmentation'!$AK$89:$AK$223)*('Climate-Alignment Target'!E$242='AOI Segmentation'!$Q$88:$V$88)*('AOI Segmentation'!$Q$89:$V$223))</f>
        <v>0</v>
      </c>
      <c r="F264" s="5"/>
      <c r="G264" s="5"/>
      <c r="H264" s="5"/>
      <c r="I264" s="5"/>
      <c r="J264" s="5"/>
      <c r="K264" s="557" t="str">
        <f t="shared" si="143"/>
        <v/>
      </c>
      <c r="L264" s="712" t="str">
        <f t="shared" ref="L264" si="170">IF(K264="","",IF(E264=(K264+K265),"OK",IF(D264="Sector target","OK - covered by sector target",IF(AND(E264=0,D264="No target type selected"),"OK","Review financial exposure"))))</f>
        <v/>
      </c>
      <c r="M264" s="562">
        <f t="shared" si="149"/>
        <v>0</v>
      </c>
      <c r="N264" s="915"/>
      <c r="O264" s="563"/>
      <c r="P264" s="562" t="str">
        <f t="shared" si="136"/>
        <v/>
      </c>
      <c r="Q264" s="560" t="str">
        <f t="shared" si="139"/>
        <v/>
      </c>
      <c r="R264" s="16"/>
      <c r="T264" s="124" t="s">
        <v>136</v>
      </c>
      <c r="U264" s="1"/>
      <c r="V264" s="1"/>
      <c r="W264" s="26"/>
      <c r="X264" s="113" t="s">
        <v>378</v>
      </c>
      <c r="Y264" s="113">
        <f t="shared" si="137"/>
        <v>2050</v>
      </c>
      <c r="Z264" s="113">
        <f t="shared" si="138"/>
        <v>0.95</v>
      </c>
      <c r="AA264" s="121" t="str">
        <f t="shared" si="140"/>
        <v/>
      </c>
      <c r="AB264" s="121" t="str">
        <f t="shared" si="141"/>
        <v/>
      </c>
      <c r="AC264" s="107" t="s">
        <v>221</v>
      </c>
    </row>
    <row r="265" spans="1:29" ht="47" hidden="1" customHeight="1" outlineLevel="3">
      <c r="A265" s="865"/>
      <c r="B265" s="886"/>
      <c r="C265" s="333" t="s">
        <v>372</v>
      </c>
      <c r="D265" s="333" t="str">
        <f t="shared" ref="D265" si="171">D264</f>
        <v>No target type selected</v>
      </c>
      <c r="E265" s="866"/>
      <c r="F265" s="5"/>
      <c r="G265" s="5"/>
      <c r="H265" s="5"/>
      <c r="I265" s="5"/>
      <c r="J265" s="5"/>
      <c r="K265" s="557" t="str">
        <f t="shared" si="143"/>
        <v/>
      </c>
      <c r="L265" s="713"/>
      <c r="M265" s="562">
        <f t="shared" si="149"/>
        <v>0</v>
      </c>
      <c r="N265" s="915"/>
      <c r="O265" s="563"/>
      <c r="P265" s="562" t="str">
        <f t="shared" si="136"/>
        <v/>
      </c>
      <c r="Q265" s="560" t="str">
        <f t="shared" si="139"/>
        <v/>
      </c>
      <c r="R265" s="16"/>
      <c r="T265" s="124" t="s">
        <v>136</v>
      </c>
      <c r="U265" s="1"/>
      <c r="V265" s="1"/>
      <c r="W265" s="26"/>
      <c r="X265" s="113" t="s">
        <v>379</v>
      </c>
      <c r="Y265" s="113">
        <f t="shared" si="137"/>
        <v>2050</v>
      </c>
      <c r="Z265" s="113">
        <f t="shared" si="138"/>
        <v>0.85</v>
      </c>
      <c r="AA265" s="121" t="str">
        <f t="shared" si="140"/>
        <v/>
      </c>
      <c r="AB265" s="121" t="str">
        <f t="shared" si="141"/>
        <v/>
      </c>
      <c r="AC265" s="107"/>
    </row>
    <row r="266" spans="1:29" ht="47" hidden="1" customHeight="1" outlineLevel="3">
      <c r="A266" s="863" t="s">
        <v>121</v>
      </c>
      <c r="B266" s="886" t="s">
        <v>397</v>
      </c>
      <c r="C266" s="333" t="s">
        <v>369</v>
      </c>
      <c r="D266" s="333" t="str">
        <f t="shared" ref="D266" si="172">_xlfn.XLOOKUP(AC266,$AD$202:$AD$224,$D$202:$D$224,"No target",0)</f>
        <v>No target type selected</v>
      </c>
      <c r="E266" s="866" cm="1">
        <f t="array" ref="E266">SUMPRODUCT(('AOI Segmentation'!$M$89:$M$223=TRUE)*($AC266='AOI Segmentation'!$AK$89:$AK$223)*('Climate-Alignment Target'!E$242='AOI Segmentation'!$Q$88:$V$88)*('AOI Segmentation'!$Q$89:$V$223))</f>
        <v>0</v>
      </c>
      <c r="F266" s="5"/>
      <c r="G266" s="5"/>
      <c r="H266" s="5"/>
      <c r="I266" s="5"/>
      <c r="J266" s="5"/>
      <c r="K266" s="557" t="str">
        <f t="shared" si="143"/>
        <v/>
      </c>
      <c r="L266" s="712" t="str">
        <f t="shared" ref="L266" si="173">IF(K266="","",IF(E266=(K266+K267),"OK",IF(D266="Sector target","OK - covered by sector target",IF(AND(E266=0,D266="No target type selected"),"OK","Review financial exposure"))))</f>
        <v/>
      </c>
      <c r="M266" s="562">
        <f t="shared" si="149"/>
        <v>0</v>
      </c>
      <c r="N266" s="915"/>
      <c r="O266" s="563"/>
      <c r="P266" s="562" t="str">
        <f t="shared" si="136"/>
        <v/>
      </c>
      <c r="Q266" s="560" t="str">
        <f t="shared" si="139"/>
        <v/>
      </c>
      <c r="R266" s="16"/>
      <c r="T266" s="124" t="s">
        <v>121</v>
      </c>
      <c r="U266" s="1"/>
      <c r="V266" s="1"/>
      <c r="W266" s="26"/>
      <c r="X266" s="113" t="s">
        <v>373</v>
      </c>
      <c r="Y266" s="113">
        <f t="shared" si="137"/>
        <v>2040</v>
      </c>
      <c r="Z266" s="113">
        <f t="shared" si="138"/>
        <v>0.95</v>
      </c>
      <c r="AA266" s="121" t="str">
        <f t="shared" si="140"/>
        <v/>
      </c>
      <c r="AB266" s="121" t="str">
        <f t="shared" si="141"/>
        <v/>
      </c>
      <c r="AC266" s="107" t="s">
        <v>197</v>
      </c>
    </row>
    <row r="267" spans="1:29" ht="47" hidden="1" customHeight="1" outlineLevel="3">
      <c r="A267" s="865"/>
      <c r="B267" s="886"/>
      <c r="C267" s="333" t="s">
        <v>372</v>
      </c>
      <c r="D267" s="333" t="str">
        <f t="shared" ref="D267" si="174">D266</f>
        <v>No target type selected</v>
      </c>
      <c r="E267" s="866"/>
      <c r="F267" s="5"/>
      <c r="G267" s="5"/>
      <c r="H267" s="5"/>
      <c r="I267" s="5"/>
      <c r="J267" s="5"/>
      <c r="K267" s="557" t="str">
        <f t="shared" si="143"/>
        <v/>
      </c>
      <c r="L267" s="713"/>
      <c r="M267" s="562">
        <f t="shared" si="149"/>
        <v>0</v>
      </c>
      <c r="N267" s="915"/>
      <c r="O267" s="563"/>
      <c r="P267" s="562" t="str">
        <f t="shared" si="136"/>
        <v/>
      </c>
      <c r="Q267" s="560" t="str">
        <f t="shared" si="139"/>
        <v/>
      </c>
      <c r="R267" s="16"/>
      <c r="T267" s="124" t="s">
        <v>121</v>
      </c>
      <c r="U267" s="1"/>
      <c r="V267" s="1"/>
      <c r="W267" s="26"/>
      <c r="X267" s="113" t="s">
        <v>374</v>
      </c>
      <c r="Y267" s="113">
        <f t="shared" si="137"/>
        <v>2040</v>
      </c>
      <c r="Z267" s="113">
        <f t="shared" si="138"/>
        <v>0.85</v>
      </c>
      <c r="AA267" s="121" t="str">
        <f t="shared" si="140"/>
        <v/>
      </c>
      <c r="AB267" s="121" t="str">
        <f t="shared" si="141"/>
        <v/>
      </c>
      <c r="AC267" s="107"/>
    </row>
    <row r="268" spans="1:29" ht="47" hidden="1" customHeight="1" outlineLevel="3">
      <c r="A268" s="863" t="s">
        <v>136</v>
      </c>
      <c r="B268" s="886" t="s">
        <v>397</v>
      </c>
      <c r="C268" s="333" t="s">
        <v>369</v>
      </c>
      <c r="D268" s="333" t="str">
        <f t="shared" ref="D268" si="175">_xlfn.XLOOKUP(AC268,$AD$202:$AD$224,$D$202:$D$224,"No target",0)</f>
        <v>No target type selected</v>
      </c>
      <c r="E268" s="866" cm="1">
        <f t="array" ref="E268">SUMPRODUCT(('AOI Segmentation'!$M$89:$M$223=TRUE)*($AC268='AOI Segmentation'!$AK$89:$AK$223)*('Climate-Alignment Target'!E$242='AOI Segmentation'!$Q$88:$V$88)*('AOI Segmentation'!$Q$89:$V$223))</f>
        <v>0</v>
      </c>
      <c r="F268" s="5"/>
      <c r="G268" s="5"/>
      <c r="H268" s="5"/>
      <c r="I268" s="5"/>
      <c r="J268" s="5"/>
      <c r="K268" s="557" t="str">
        <f t="shared" si="143"/>
        <v/>
      </c>
      <c r="L268" s="712" t="str">
        <f t="shared" ref="L268" si="176">IF(K268="","",IF(E268=(K268+K269),"OK",IF(D268="Sector target","OK - covered by sector target",IF(AND(E268=0,D268="No target type selected"),"OK","Review financial exposure"))))</f>
        <v/>
      </c>
      <c r="M268" s="562">
        <f t="shared" si="149"/>
        <v>0</v>
      </c>
      <c r="N268" s="915"/>
      <c r="O268" s="563"/>
      <c r="P268" s="562" t="str">
        <f t="shared" si="136"/>
        <v/>
      </c>
      <c r="Q268" s="560" t="str">
        <f t="shared" si="139"/>
        <v/>
      </c>
      <c r="R268" s="16"/>
      <c r="T268" s="124" t="s">
        <v>136</v>
      </c>
      <c r="U268" s="1"/>
      <c r="V268" s="1"/>
      <c r="W268" s="26"/>
      <c r="X268" s="113" t="s">
        <v>378</v>
      </c>
      <c r="Y268" s="113">
        <f t="shared" si="137"/>
        <v>2050</v>
      </c>
      <c r="Z268" s="113">
        <f t="shared" si="138"/>
        <v>0.95</v>
      </c>
      <c r="AA268" s="121" t="str">
        <f t="shared" si="140"/>
        <v/>
      </c>
      <c r="AB268" s="121" t="str">
        <f t="shared" si="141"/>
        <v/>
      </c>
      <c r="AC268" s="107" t="s">
        <v>222</v>
      </c>
    </row>
    <row r="269" spans="1:29" ht="47" hidden="1" customHeight="1" outlineLevel="3">
      <c r="A269" s="865"/>
      <c r="B269" s="886"/>
      <c r="C269" s="333" t="s">
        <v>372</v>
      </c>
      <c r="D269" s="333" t="str">
        <f t="shared" ref="D269" si="177">D268</f>
        <v>No target type selected</v>
      </c>
      <c r="E269" s="866"/>
      <c r="F269" s="5"/>
      <c r="G269" s="5"/>
      <c r="H269" s="5"/>
      <c r="I269" s="5"/>
      <c r="J269" s="5"/>
      <c r="K269" s="557" t="str">
        <f t="shared" si="143"/>
        <v/>
      </c>
      <c r="L269" s="713"/>
      <c r="M269" s="562">
        <f t="shared" si="149"/>
        <v>0</v>
      </c>
      <c r="N269" s="915"/>
      <c r="O269" s="563"/>
      <c r="P269" s="562" t="str">
        <f t="shared" si="136"/>
        <v/>
      </c>
      <c r="Q269" s="560" t="str">
        <f t="shared" si="139"/>
        <v/>
      </c>
      <c r="R269" s="16"/>
      <c r="T269" s="124" t="s">
        <v>136</v>
      </c>
      <c r="U269" s="1"/>
      <c r="V269" s="1"/>
      <c r="W269" s="26"/>
      <c r="X269" s="113" t="s">
        <v>379</v>
      </c>
      <c r="Y269" s="113">
        <f t="shared" si="137"/>
        <v>2050</v>
      </c>
      <c r="Z269" s="113">
        <f t="shared" si="138"/>
        <v>0.85</v>
      </c>
      <c r="AA269" s="121" t="str">
        <f t="shared" si="140"/>
        <v/>
      </c>
      <c r="AB269" s="121" t="str">
        <f t="shared" si="141"/>
        <v/>
      </c>
      <c r="AC269" s="107"/>
    </row>
    <row r="270" spans="1:29" ht="47" hidden="1" customHeight="1" outlineLevel="3">
      <c r="A270" s="863" t="s">
        <v>121</v>
      </c>
      <c r="B270" s="886" t="s">
        <v>398</v>
      </c>
      <c r="C270" s="333" t="s">
        <v>369</v>
      </c>
      <c r="D270" s="333" t="str">
        <f t="shared" ref="D270" si="178">_xlfn.XLOOKUP(AC270,$AD$202:$AD$224,$D$202:$D$224,"No target",0)</f>
        <v>No target type selected</v>
      </c>
      <c r="E270" s="866" cm="1">
        <f t="array" ref="E270">SUMPRODUCT(('AOI Segmentation'!$M$89:$M$223=TRUE)*($AC270='AOI Segmentation'!$AK$89:$AK$223)*('Climate-Alignment Target'!E$242='AOI Segmentation'!$Q$88:$V$88)*('AOI Segmentation'!$Q$89:$V$223))</f>
        <v>0</v>
      </c>
      <c r="F270" s="5"/>
      <c r="G270" s="5"/>
      <c r="H270" s="5"/>
      <c r="I270" s="5"/>
      <c r="J270" s="5"/>
      <c r="K270" s="557" t="str">
        <f t="shared" si="143"/>
        <v/>
      </c>
      <c r="L270" s="712" t="str">
        <f t="shared" ref="L270" si="179">IF(K270="","",IF(E270=(K270+K271),"OK",IF(D270="Sector target","OK - covered by sector target",IF(AND(E270=0,D270="No target type selected"),"OK","Review financial exposure"))))</f>
        <v/>
      </c>
      <c r="M270" s="562">
        <f t="shared" si="149"/>
        <v>0</v>
      </c>
      <c r="N270" s="915"/>
      <c r="O270" s="563"/>
      <c r="P270" s="562" t="str">
        <f t="shared" si="136"/>
        <v/>
      </c>
      <c r="Q270" s="560" t="str">
        <f t="shared" si="139"/>
        <v/>
      </c>
      <c r="R270" s="16"/>
      <c r="T270" s="124" t="s">
        <v>121</v>
      </c>
      <c r="U270" s="1"/>
      <c r="V270" s="1"/>
      <c r="W270" s="26"/>
      <c r="X270" s="113" t="s">
        <v>373</v>
      </c>
      <c r="Y270" s="113">
        <f t="shared" si="137"/>
        <v>2040</v>
      </c>
      <c r="Z270" s="113">
        <f t="shared" si="138"/>
        <v>0.95</v>
      </c>
      <c r="AA270" s="121" t="str">
        <f t="shared" si="140"/>
        <v/>
      </c>
      <c r="AB270" s="121" t="str">
        <f t="shared" si="141"/>
        <v/>
      </c>
      <c r="AC270" s="107" t="s">
        <v>202</v>
      </c>
    </row>
    <row r="271" spans="1:29" ht="47" hidden="1" customHeight="1" outlineLevel="3">
      <c r="A271" s="865"/>
      <c r="B271" s="886"/>
      <c r="C271" s="333" t="s">
        <v>372</v>
      </c>
      <c r="D271" s="333" t="str">
        <f t="shared" ref="D271" si="180">D270</f>
        <v>No target type selected</v>
      </c>
      <c r="E271" s="866"/>
      <c r="F271" s="5"/>
      <c r="G271" s="5"/>
      <c r="H271" s="5"/>
      <c r="I271" s="5"/>
      <c r="J271" s="5"/>
      <c r="K271" s="557" t="str">
        <f t="shared" si="143"/>
        <v/>
      </c>
      <c r="L271" s="713"/>
      <c r="M271" s="562">
        <f t="shared" si="149"/>
        <v>0</v>
      </c>
      <c r="N271" s="915"/>
      <c r="O271" s="563"/>
      <c r="P271" s="562" t="str">
        <f t="shared" si="136"/>
        <v/>
      </c>
      <c r="Q271" s="560" t="str">
        <f t="shared" si="139"/>
        <v/>
      </c>
      <c r="R271" s="16"/>
      <c r="T271" s="124" t="s">
        <v>121</v>
      </c>
      <c r="U271" s="1"/>
      <c r="V271" s="1"/>
      <c r="W271" s="26"/>
      <c r="X271" s="113" t="s">
        <v>374</v>
      </c>
      <c r="Y271" s="113">
        <f t="shared" si="137"/>
        <v>2040</v>
      </c>
      <c r="Z271" s="113">
        <f t="shared" si="138"/>
        <v>0.85</v>
      </c>
      <c r="AA271" s="121" t="str">
        <f t="shared" si="140"/>
        <v/>
      </c>
      <c r="AB271" s="121" t="str">
        <f t="shared" si="141"/>
        <v/>
      </c>
      <c r="AC271" s="107"/>
    </row>
    <row r="272" spans="1:29" ht="47" hidden="1" customHeight="1" outlineLevel="3">
      <c r="A272" s="863" t="s">
        <v>136</v>
      </c>
      <c r="B272" s="886" t="s">
        <v>398</v>
      </c>
      <c r="C272" s="333" t="s">
        <v>369</v>
      </c>
      <c r="D272" s="333" t="str">
        <f t="shared" ref="D272" si="181">_xlfn.XLOOKUP(AC272,$AD$202:$AD$224,$D$202:$D$224,"No target",0)</f>
        <v>No target type selected</v>
      </c>
      <c r="E272" s="866" cm="1">
        <f t="array" ref="E272">SUMPRODUCT(('AOI Segmentation'!$M$89:$M$223=TRUE)*($AC272='AOI Segmentation'!$AK$89:$AK$223)*('Climate-Alignment Target'!E$242='AOI Segmentation'!$Q$88:$V$88)*('AOI Segmentation'!$Q$89:$V$223))</f>
        <v>0</v>
      </c>
      <c r="F272" s="5"/>
      <c r="G272" s="5"/>
      <c r="H272" s="5"/>
      <c r="I272" s="5"/>
      <c r="J272" s="5"/>
      <c r="K272" s="557" t="str">
        <f t="shared" si="143"/>
        <v/>
      </c>
      <c r="L272" s="712" t="str">
        <f t="shared" ref="L272" si="182">IF(K272="","",IF(E272=(K272+K273),"OK",IF(D272="Sector target","OK - covered by sector target",IF(AND(E272=0,D272="No target type selected"),"OK","Review financial exposure"))))</f>
        <v/>
      </c>
      <c r="M272" s="562">
        <f t="shared" si="149"/>
        <v>0</v>
      </c>
      <c r="N272" s="915"/>
      <c r="O272" s="563"/>
      <c r="P272" s="562" t="str">
        <f t="shared" si="136"/>
        <v/>
      </c>
      <c r="Q272" s="560" t="str">
        <f t="shared" si="139"/>
        <v/>
      </c>
      <c r="R272" s="16"/>
      <c r="T272" s="124" t="s">
        <v>136</v>
      </c>
      <c r="U272" s="1"/>
      <c r="V272" s="1"/>
      <c r="W272" s="26"/>
      <c r="X272" s="113" t="s">
        <v>378</v>
      </c>
      <c r="Y272" s="113">
        <f t="shared" si="137"/>
        <v>2050</v>
      </c>
      <c r="Z272" s="113">
        <f t="shared" si="138"/>
        <v>0.95</v>
      </c>
      <c r="AA272" s="121" t="str">
        <f t="shared" si="140"/>
        <v/>
      </c>
      <c r="AB272" s="121" t="str">
        <f t="shared" si="141"/>
        <v/>
      </c>
      <c r="AC272" s="107" t="s">
        <v>223</v>
      </c>
    </row>
    <row r="273" spans="1:29" ht="47" hidden="1" customHeight="1" outlineLevel="3">
      <c r="A273" s="865"/>
      <c r="B273" s="886"/>
      <c r="C273" s="333" t="s">
        <v>372</v>
      </c>
      <c r="D273" s="333" t="str">
        <f t="shared" ref="D273" si="183">D272</f>
        <v>No target type selected</v>
      </c>
      <c r="E273" s="866"/>
      <c r="F273" s="5"/>
      <c r="G273" s="5"/>
      <c r="H273" s="5"/>
      <c r="I273" s="5"/>
      <c r="J273" s="5"/>
      <c r="K273" s="557" t="str">
        <f t="shared" si="143"/>
        <v/>
      </c>
      <c r="L273" s="713"/>
      <c r="M273" s="562">
        <f t="shared" si="149"/>
        <v>0</v>
      </c>
      <c r="N273" s="915"/>
      <c r="O273" s="563"/>
      <c r="P273" s="562" t="str">
        <f t="shared" si="136"/>
        <v/>
      </c>
      <c r="Q273" s="560" t="str">
        <f t="shared" si="139"/>
        <v/>
      </c>
      <c r="R273" s="16"/>
      <c r="T273" s="124" t="s">
        <v>136</v>
      </c>
      <c r="U273" s="1"/>
      <c r="V273" s="1"/>
      <c r="W273" s="26"/>
      <c r="X273" s="113" t="s">
        <v>379</v>
      </c>
      <c r="Y273" s="113">
        <f t="shared" si="137"/>
        <v>2050</v>
      </c>
      <c r="Z273" s="113">
        <f t="shared" si="138"/>
        <v>0.85</v>
      </c>
      <c r="AA273" s="121" t="str">
        <f t="shared" si="140"/>
        <v/>
      </c>
      <c r="AB273" s="121" t="str">
        <f t="shared" si="141"/>
        <v/>
      </c>
      <c r="AC273" s="107"/>
    </row>
    <row r="274" spans="1:29" ht="47" hidden="1" customHeight="1" outlineLevel="3">
      <c r="A274" s="863" t="s">
        <v>121</v>
      </c>
      <c r="B274" s="886" t="s">
        <v>399</v>
      </c>
      <c r="C274" s="333" t="s">
        <v>369</v>
      </c>
      <c r="D274" s="333" t="str">
        <f t="shared" ref="D274" si="184">_xlfn.XLOOKUP(AC274,$AD$202:$AD$224,$D$202:$D$224,"No target",0)</f>
        <v>No target type selected</v>
      </c>
      <c r="E274" s="866" cm="1">
        <f t="array" ref="E274">SUMPRODUCT(('AOI Segmentation'!$M$89:$M$223=TRUE)*($AC274='AOI Segmentation'!$AK$89:$AK$223)*('Climate-Alignment Target'!E$242='AOI Segmentation'!$Q$88:$V$88)*('AOI Segmentation'!$Q$89:$V$223))</f>
        <v>0</v>
      </c>
      <c r="F274" s="5"/>
      <c r="G274" s="5"/>
      <c r="H274" s="5"/>
      <c r="I274" s="5"/>
      <c r="J274" s="5"/>
      <c r="K274" s="557" t="str">
        <f t="shared" si="143"/>
        <v/>
      </c>
      <c r="L274" s="712" t="str">
        <f t="shared" ref="L274" si="185">IF(K274="","",IF(E274=(K274+K275),"OK",IF(D274="Sector target","OK - covered by sector target",IF(AND(E274=0,D274="No target type selected"),"OK","Review financial exposure"))))</f>
        <v/>
      </c>
      <c r="M274" s="562">
        <f t="shared" si="149"/>
        <v>0</v>
      </c>
      <c r="N274" s="915"/>
      <c r="O274" s="563"/>
      <c r="P274" s="562" t="str">
        <f t="shared" si="136"/>
        <v/>
      </c>
      <c r="Q274" s="560" t="str">
        <f t="shared" si="139"/>
        <v/>
      </c>
      <c r="R274" s="16"/>
      <c r="T274" s="124" t="s">
        <v>121</v>
      </c>
      <c r="U274" s="1"/>
      <c r="V274" s="1"/>
      <c r="W274" s="26"/>
      <c r="X274" s="113" t="s">
        <v>373</v>
      </c>
      <c r="Y274" s="113">
        <f t="shared" si="137"/>
        <v>2040</v>
      </c>
      <c r="Z274" s="113">
        <f t="shared" si="138"/>
        <v>0.95</v>
      </c>
      <c r="AA274" s="121" t="str">
        <f t="shared" si="140"/>
        <v/>
      </c>
      <c r="AB274" s="121" t="str">
        <f t="shared" si="141"/>
        <v/>
      </c>
      <c r="AC274" s="107" t="s">
        <v>207</v>
      </c>
    </row>
    <row r="275" spans="1:29" ht="47" hidden="1" customHeight="1" outlineLevel="3">
      <c r="A275" s="865"/>
      <c r="B275" s="886"/>
      <c r="C275" s="333" t="s">
        <v>372</v>
      </c>
      <c r="D275" s="333" t="str">
        <f t="shared" ref="D275" si="186">D274</f>
        <v>No target type selected</v>
      </c>
      <c r="E275" s="866"/>
      <c r="F275" s="5"/>
      <c r="G275" s="5"/>
      <c r="H275" s="5"/>
      <c r="I275" s="5"/>
      <c r="J275" s="5"/>
      <c r="K275" s="557" t="str">
        <f t="shared" si="143"/>
        <v/>
      </c>
      <c r="L275" s="713"/>
      <c r="M275" s="562">
        <f t="shared" si="149"/>
        <v>0</v>
      </c>
      <c r="N275" s="915"/>
      <c r="O275" s="563"/>
      <c r="P275" s="562" t="str">
        <f t="shared" si="136"/>
        <v/>
      </c>
      <c r="Q275" s="560" t="str">
        <f t="shared" si="139"/>
        <v/>
      </c>
      <c r="R275" s="16"/>
      <c r="T275" s="124" t="s">
        <v>121</v>
      </c>
      <c r="U275" s="1"/>
      <c r="V275" s="1"/>
      <c r="W275" s="26"/>
      <c r="X275" s="113" t="s">
        <v>374</v>
      </c>
      <c r="Y275" s="113">
        <f t="shared" si="137"/>
        <v>2040</v>
      </c>
      <c r="Z275" s="113">
        <f t="shared" si="138"/>
        <v>0.85</v>
      </c>
      <c r="AA275" s="121" t="str">
        <f t="shared" si="140"/>
        <v/>
      </c>
      <c r="AB275" s="121" t="str">
        <f t="shared" si="141"/>
        <v/>
      </c>
      <c r="AC275" s="107"/>
    </row>
    <row r="276" spans="1:29" ht="47" hidden="1" customHeight="1" outlineLevel="3">
      <c r="A276" s="863" t="s">
        <v>136</v>
      </c>
      <c r="B276" s="886" t="s">
        <v>399</v>
      </c>
      <c r="C276" s="333" t="s">
        <v>369</v>
      </c>
      <c r="D276" s="333" t="str">
        <f t="shared" ref="D276" si="187">_xlfn.XLOOKUP(AC276,$AD$202:$AD$224,$D$202:$D$224,"No target",0)</f>
        <v>No target type selected</v>
      </c>
      <c r="E276" s="866" cm="1">
        <f t="array" ref="E276">SUMPRODUCT(('AOI Segmentation'!$M$89:$M$223=TRUE)*($AC276='AOI Segmentation'!$AK$89:$AK$223)*('Climate-Alignment Target'!E$242='AOI Segmentation'!$Q$88:$V$88)*('AOI Segmentation'!$Q$89:$V$223))</f>
        <v>0</v>
      </c>
      <c r="F276" s="5"/>
      <c r="G276" s="5"/>
      <c r="H276" s="5"/>
      <c r="I276" s="5"/>
      <c r="J276" s="5"/>
      <c r="K276" s="557" t="str">
        <f t="shared" si="143"/>
        <v/>
      </c>
      <c r="L276" s="712" t="str">
        <f t="shared" ref="L276" si="188">IF(K276="","",IF(E276=(K276+K277),"OK",IF(D276="Sector target","OK - covered by sector target",IF(AND(E276=0,D276="No target type selected"),"OK","Review financial exposure"))))</f>
        <v/>
      </c>
      <c r="M276" s="562">
        <f t="shared" si="149"/>
        <v>0</v>
      </c>
      <c r="N276" s="915"/>
      <c r="O276" s="563"/>
      <c r="P276" s="562" t="str">
        <f t="shared" si="136"/>
        <v/>
      </c>
      <c r="Q276" s="560" t="str">
        <f t="shared" si="139"/>
        <v/>
      </c>
      <c r="R276" s="16"/>
      <c r="T276" s="124" t="s">
        <v>136</v>
      </c>
      <c r="U276" s="1"/>
      <c r="V276" s="1"/>
      <c r="W276" s="26"/>
      <c r="X276" s="113" t="s">
        <v>378</v>
      </c>
      <c r="Y276" s="113">
        <f t="shared" si="137"/>
        <v>2050</v>
      </c>
      <c r="Z276" s="113">
        <f t="shared" si="138"/>
        <v>0.95</v>
      </c>
      <c r="AA276" s="121" t="str">
        <f t="shared" si="140"/>
        <v/>
      </c>
      <c r="AB276" s="121" t="str">
        <f t="shared" si="141"/>
        <v/>
      </c>
      <c r="AC276" s="107" t="s">
        <v>224</v>
      </c>
    </row>
    <row r="277" spans="1:29" ht="47" hidden="1" customHeight="1" outlineLevel="3">
      <c r="A277" s="865"/>
      <c r="B277" s="886"/>
      <c r="C277" s="333" t="s">
        <v>372</v>
      </c>
      <c r="D277" s="333" t="str">
        <f t="shared" ref="D277" si="189">D276</f>
        <v>No target type selected</v>
      </c>
      <c r="E277" s="866"/>
      <c r="F277" s="5"/>
      <c r="G277" s="5"/>
      <c r="H277" s="5"/>
      <c r="I277" s="5"/>
      <c r="J277" s="5"/>
      <c r="K277" s="557" t="str">
        <f t="shared" si="143"/>
        <v/>
      </c>
      <c r="L277" s="713"/>
      <c r="M277" s="562">
        <f t="shared" si="149"/>
        <v>0</v>
      </c>
      <c r="N277" s="915"/>
      <c r="O277" s="563"/>
      <c r="P277" s="562" t="str">
        <f t="shared" si="136"/>
        <v/>
      </c>
      <c r="Q277" s="560" t="str">
        <f t="shared" si="139"/>
        <v/>
      </c>
      <c r="R277" s="16"/>
      <c r="T277" s="124" t="s">
        <v>136</v>
      </c>
      <c r="U277" s="1"/>
      <c r="V277" s="1"/>
      <c r="W277" s="26"/>
      <c r="X277" s="113" t="s">
        <v>379</v>
      </c>
      <c r="Y277" s="113">
        <f t="shared" si="137"/>
        <v>2050</v>
      </c>
      <c r="Z277" s="113">
        <f t="shared" si="138"/>
        <v>0.85</v>
      </c>
      <c r="AA277" s="121" t="str">
        <f t="shared" si="140"/>
        <v/>
      </c>
      <c r="AB277" s="121" t="str">
        <f t="shared" si="141"/>
        <v/>
      </c>
      <c r="AC277" s="107"/>
    </row>
    <row r="278" spans="1:29" ht="47" hidden="1" customHeight="1" outlineLevel="3">
      <c r="A278" s="863" t="s">
        <v>121</v>
      </c>
      <c r="B278" s="886" t="s">
        <v>400</v>
      </c>
      <c r="C278" s="333" t="s">
        <v>369</v>
      </c>
      <c r="D278" s="333" t="str">
        <f t="shared" ref="D278" si="190">_xlfn.XLOOKUP(AC278,$AD$202:$AD$224,$D$202:$D$224,"No target",0)</f>
        <v>No target type selected</v>
      </c>
      <c r="E278" s="866" cm="1">
        <f t="array" ref="E278">SUMPRODUCT(('AOI Segmentation'!$M$89:$M$223=TRUE)*($AC278='AOI Segmentation'!$AK$89:$AK$223)*('Climate-Alignment Target'!E$242='AOI Segmentation'!$Q$88:$V$88)*('AOI Segmentation'!$Q$89:$V$223))</f>
        <v>0</v>
      </c>
      <c r="F278" s="5"/>
      <c r="G278" s="5"/>
      <c r="H278" s="5"/>
      <c r="I278" s="5"/>
      <c r="J278" s="5"/>
      <c r="K278" s="557" t="str">
        <f t="shared" si="143"/>
        <v/>
      </c>
      <c r="L278" s="712" t="str">
        <f t="shared" ref="L278" si="191">IF(K278="","",IF(E278=(K278+K279),"OK",IF(D278="Sector target","OK - covered by sector target",IF(AND(E278=0,D278="No target type selected"),"OK","Review financial exposure"))))</f>
        <v/>
      </c>
      <c r="M278" s="562">
        <f t="shared" si="149"/>
        <v>0</v>
      </c>
      <c r="N278" s="915"/>
      <c r="O278" s="563"/>
      <c r="P278" s="562" t="str">
        <f t="shared" si="136"/>
        <v/>
      </c>
      <c r="Q278" s="560" t="str">
        <f t="shared" si="139"/>
        <v/>
      </c>
      <c r="R278" s="16"/>
      <c r="T278" s="124" t="s">
        <v>121</v>
      </c>
      <c r="U278" s="1"/>
      <c r="V278" s="1"/>
      <c r="W278" s="26"/>
      <c r="X278" s="113" t="s">
        <v>373</v>
      </c>
      <c r="Y278" s="113">
        <f t="shared" si="137"/>
        <v>2040</v>
      </c>
      <c r="Z278" s="113">
        <f t="shared" si="138"/>
        <v>0.95</v>
      </c>
      <c r="AA278" s="121" t="str">
        <f t="shared" si="140"/>
        <v/>
      </c>
      <c r="AB278" s="121" t="str">
        <f t="shared" si="141"/>
        <v/>
      </c>
      <c r="AC278" s="107" t="s">
        <v>211</v>
      </c>
    </row>
    <row r="279" spans="1:29" ht="47" hidden="1" customHeight="1" outlineLevel="3">
      <c r="A279" s="865"/>
      <c r="B279" s="886"/>
      <c r="C279" s="333" t="s">
        <v>372</v>
      </c>
      <c r="D279" s="333" t="str">
        <f t="shared" ref="D279" si="192">D278</f>
        <v>No target type selected</v>
      </c>
      <c r="E279" s="866"/>
      <c r="F279" s="5"/>
      <c r="G279" s="5"/>
      <c r="H279" s="5"/>
      <c r="I279" s="5"/>
      <c r="J279" s="5"/>
      <c r="K279" s="557" t="str">
        <f t="shared" si="143"/>
        <v/>
      </c>
      <c r="L279" s="713"/>
      <c r="M279" s="562">
        <f t="shared" si="149"/>
        <v>0</v>
      </c>
      <c r="N279" s="915"/>
      <c r="O279" s="563"/>
      <c r="P279" s="562" t="str">
        <f t="shared" si="136"/>
        <v/>
      </c>
      <c r="Q279" s="560" t="str">
        <f t="shared" si="139"/>
        <v/>
      </c>
      <c r="R279" s="16"/>
      <c r="T279" s="124" t="s">
        <v>121</v>
      </c>
      <c r="U279" s="1"/>
      <c r="V279" s="1"/>
      <c r="W279" s="26"/>
      <c r="X279" s="113" t="s">
        <v>374</v>
      </c>
      <c r="Y279" s="113">
        <f t="shared" si="137"/>
        <v>2040</v>
      </c>
      <c r="Z279" s="113">
        <f t="shared" si="138"/>
        <v>0.85</v>
      </c>
      <c r="AA279" s="121" t="str">
        <f t="shared" si="140"/>
        <v/>
      </c>
      <c r="AB279" s="121" t="str">
        <f t="shared" si="141"/>
        <v/>
      </c>
      <c r="AC279" s="107"/>
    </row>
    <row r="280" spans="1:29" ht="47" hidden="1" customHeight="1" outlineLevel="3">
      <c r="A280" s="881" t="s">
        <v>136</v>
      </c>
      <c r="B280" s="886" t="s">
        <v>400</v>
      </c>
      <c r="C280" s="333" t="s">
        <v>369</v>
      </c>
      <c r="D280" s="333" t="str">
        <f t="shared" ref="D280" si="193">_xlfn.XLOOKUP(AC280,$AD$202:$AD$224,$D$202:$D$224,"No target",0)</f>
        <v>No target type selected</v>
      </c>
      <c r="E280" s="866" cm="1">
        <f t="array" ref="E280">SUMPRODUCT(('AOI Segmentation'!$M$89:$M$223=TRUE)*($AC280='AOI Segmentation'!$AK$89:$AK$223)*('Climate-Alignment Target'!E$242='AOI Segmentation'!$Q$88:$V$88)*('AOI Segmentation'!$Q$89:$V$223))</f>
        <v>0</v>
      </c>
      <c r="F280" s="5"/>
      <c r="G280" s="5"/>
      <c r="H280" s="5"/>
      <c r="I280" s="5"/>
      <c r="J280" s="5"/>
      <c r="K280" s="557" t="str">
        <f t="shared" si="143"/>
        <v/>
      </c>
      <c r="L280" s="712" t="str">
        <f t="shared" ref="L280" si="194">IF(K280="","",IF(E280=(K280+K281),"OK",IF(D280="Sector target","OK - covered by sector target",IF(AND(E280=0,D280="No target type selected"),"OK","Review financial exposure"))))</f>
        <v/>
      </c>
      <c r="M280" s="562">
        <f t="shared" si="149"/>
        <v>0</v>
      </c>
      <c r="N280" s="915"/>
      <c r="O280" s="563"/>
      <c r="P280" s="562" t="str">
        <f t="shared" si="136"/>
        <v/>
      </c>
      <c r="Q280" s="560" t="str">
        <f t="shared" si="139"/>
        <v/>
      </c>
      <c r="R280" s="16"/>
      <c r="T280" s="124" t="s">
        <v>136</v>
      </c>
      <c r="U280" s="1"/>
      <c r="V280" s="1"/>
      <c r="W280" s="26"/>
      <c r="X280" s="113" t="s">
        <v>378</v>
      </c>
      <c r="Y280" s="113">
        <f t="shared" si="137"/>
        <v>2050</v>
      </c>
      <c r="Z280" s="113">
        <f t="shared" si="138"/>
        <v>0.95</v>
      </c>
      <c r="AA280" s="121" t="str">
        <f t="shared" si="140"/>
        <v/>
      </c>
      <c r="AB280" s="121" t="str">
        <f t="shared" si="141"/>
        <v/>
      </c>
      <c r="AC280" s="107" t="s">
        <v>226</v>
      </c>
    </row>
    <row r="281" spans="1:29" ht="47" hidden="1" customHeight="1" outlineLevel="3">
      <c r="A281" s="882"/>
      <c r="B281" s="886"/>
      <c r="C281" s="333" t="s">
        <v>372</v>
      </c>
      <c r="D281" s="333" t="str">
        <f t="shared" ref="D281" si="195">D280</f>
        <v>No target type selected</v>
      </c>
      <c r="E281" s="866"/>
      <c r="F281" s="5"/>
      <c r="G281" s="5"/>
      <c r="H281" s="5"/>
      <c r="I281" s="5"/>
      <c r="J281" s="5"/>
      <c r="K281" s="557" t="str">
        <f t="shared" si="143"/>
        <v/>
      </c>
      <c r="L281" s="713"/>
      <c r="M281" s="562">
        <f t="shared" si="149"/>
        <v>0</v>
      </c>
      <c r="N281" s="915"/>
      <c r="O281" s="563"/>
      <c r="P281" s="562" t="str">
        <f t="shared" si="136"/>
        <v/>
      </c>
      <c r="Q281" s="560" t="str">
        <f t="shared" si="139"/>
        <v/>
      </c>
      <c r="R281" s="16"/>
      <c r="T281" s="124" t="s">
        <v>136</v>
      </c>
      <c r="U281" s="1"/>
      <c r="V281" s="1"/>
      <c r="W281" s="26"/>
      <c r="X281" s="113" t="s">
        <v>379</v>
      </c>
      <c r="Y281" s="113">
        <f t="shared" si="137"/>
        <v>2050</v>
      </c>
      <c r="Z281" s="113">
        <f t="shared" si="138"/>
        <v>0.85</v>
      </c>
      <c r="AA281" s="121" t="str">
        <f t="shared" si="140"/>
        <v/>
      </c>
      <c r="AB281" s="121" t="str">
        <f t="shared" si="141"/>
        <v/>
      </c>
      <c r="AC281" s="108"/>
    </row>
    <row r="282" spans="1:29" ht="47" hidden="1" customHeight="1" outlineLevel="3">
      <c r="A282" s="882"/>
      <c r="B282" s="863" t="s">
        <v>416</v>
      </c>
      <c r="C282" s="333" t="s">
        <v>369</v>
      </c>
      <c r="D282" s="333" t="str">
        <f t="shared" ref="D282" si="196">_xlfn.XLOOKUP(AC282,$AD$202:$AD$224,$D$202:$D$224,"No target",0)</f>
        <v>No target type selected</v>
      </c>
      <c r="E282" s="866" cm="1">
        <f t="array" ref="E282">SUMPRODUCT(('AOI Segmentation'!$M$89:$M$223=TRUE)*($AC282='AOI Segmentation'!$AK$89:$AK$223)*('Climate-Alignment Target'!E$242='AOI Segmentation'!$Q$88:$V$88)*('AOI Segmentation'!$Q$89:$V$223))</f>
        <v>0</v>
      </c>
      <c r="F282" s="5"/>
      <c r="G282" s="5"/>
      <c r="H282" s="5"/>
      <c r="I282" s="5"/>
      <c r="J282" s="5"/>
      <c r="K282" s="557" t="str">
        <f t="shared" si="143"/>
        <v/>
      </c>
      <c r="L282" s="712" t="str">
        <f t="shared" ref="L282" si="197">IF(K282="","",IF(E282=(K282+K283),"OK",IF(D282="Sector target","OK - covered by sector target",IF(AND(E282=0,D282="No target type selected"),"OK","Review financial exposure"))))</f>
        <v/>
      </c>
      <c r="M282" s="562">
        <f t="shared" si="149"/>
        <v>0</v>
      </c>
      <c r="N282" s="915"/>
      <c r="O282" s="563"/>
      <c r="P282" s="562" t="str">
        <f t="shared" si="136"/>
        <v/>
      </c>
      <c r="Q282" s="560" t="str">
        <f t="shared" si="139"/>
        <v/>
      </c>
      <c r="R282" s="16"/>
      <c r="T282" s="124" t="s">
        <v>136</v>
      </c>
      <c r="U282" s="1"/>
      <c r="V282" s="1"/>
      <c r="W282" s="26"/>
      <c r="X282" s="113" t="s">
        <v>378</v>
      </c>
      <c r="Y282" s="113">
        <f t="shared" si="137"/>
        <v>2050</v>
      </c>
      <c r="Z282" s="113">
        <f t="shared" si="138"/>
        <v>0.95</v>
      </c>
      <c r="AA282" s="121" t="str">
        <f t="shared" si="140"/>
        <v/>
      </c>
      <c r="AB282" s="121" t="str">
        <f t="shared" si="141"/>
        <v/>
      </c>
      <c r="AC282" s="108" t="s">
        <v>265</v>
      </c>
    </row>
    <row r="283" spans="1:29" ht="47" hidden="1" customHeight="1" outlineLevel="3">
      <c r="A283" s="882"/>
      <c r="B283" s="865"/>
      <c r="C283" s="333" t="s">
        <v>372</v>
      </c>
      <c r="D283" s="333" t="str">
        <f t="shared" ref="D283" si="198">D282</f>
        <v>No target type selected</v>
      </c>
      <c r="E283" s="866"/>
      <c r="F283" s="5"/>
      <c r="G283" s="5"/>
      <c r="H283" s="5"/>
      <c r="I283" s="5"/>
      <c r="J283" s="5"/>
      <c r="K283" s="557" t="str">
        <f t="shared" si="143"/>
        <v/>
      </c>
      <c r="L283" s="713"/>
      <c r="M283" s="562">
        <f t="shared" si="149"/>
        <v>0</v>
      </c>
      <c r="N283" s="915"/>
      <c r="O283" s="563"/>
      <c r="P283" s="562" t="str">
        <f t="shared" si="136"/>
        <v/>
      </c>
      <c r="Q283" s="560" t="str">
        <f t="shared" si="139"/>
        <v/>
      </c>
      <c r="R283" s="16"/>
      <c r="T283" s="124" t="s">
        <v>136</v>
      </c>
      <c r="U283" s="1"/>
      <c r="V283" s="1"/>
      <c r="W283" s="26"/>
      <c r="X283" s="113" t="s">
        <v>379</v>
      </c>
      <c r="Y283" s="113">
        <f t="shared" si="137"/>
        <v>2050</v>
      </c>
      <c r="Z283" s="113">
        <f t="shared" si="138"/>
        <v>0.85</v>
      </c>
      <c r="AA283" s="121" t="str">
        <f t="shared" si="140"/>
        <v/>
      </c>
      <c r="AB283" s="121" t="str">
        <f t="shared" si="141"/>
        <v/>
      </c>
      <c r="AC283" s="108"/>
    </row>
    <row r="284" spans="1:29" ht="47" hidden="1" customHeight="1" outlineLevel="3">
      <c r="A284" s="882"/>
      <c r="B284" s="863" t="s">
        <v>69</v>
      </c>
      <c r="C284" s="333" t="s">
        <v>369</v>
      </c>
      <c r="D284" s="333" t="str">
        <f t="shared" ref="D284:D286" si="199">_xlfn.XLOOKUP(AC284,$AD$202:$AD$224,$D$202:$D$224,"No target",0)</f>
        <v>No target type selected</v>
      </c>
      <c r="E284" s="866" cm="1">
        <f t="array" ref="E284">SUMPRODUCT(('AOI Segmentation'!$M$89:$M$223=TRUE)*($AC284='AOI Segmentation'!$AK$89:$AK$223)*('Climate-Alignment Target'!E$242='AOI Segmentation'!$Q$88:$V$88)*('AOI Segmentation'!$Q$89:$V$223))</f>
        <v>0</v>
      </c>
      <c r="F284" s="5"/>
      <c r="G284" s="5"/>
      <c r="H284" s="5"/>
      <c r="I284" s="5"/>
      <c r="J284" s="5"/>
      <c r="K284" s="557" t="str">
        <f t="shared" si="143"/>
        <v/>
      </c>
      <c r="L284" s="712" t="str">
        <f t="shared" ref="L284:L286" si="200">IF(K284="","",IF(E284=(K284+K285),"OK",IF(D284="Sector target","OK - covered by sector target",IF(AND(E284=0,D284="No target type selected"),"OK","Review financial exposure"))))</f>
        <v/>
      </c>
      <c r="M284" s="562">
        <f t="shared" si="149"/>
        <v>0</v>
      </c>
      <c r="N284" s="915"/>
      <c r="O284" s="563"/>
      <c r="P284" s="562" t="str">
        <f t="shared" si="136"/>
        <v/>
      </c>
      <c r="Q284" s="560" t="str">
        <f t="shared" si="139"/>
        <v/>
      </c>
      <c r="R284" s="16"/>
      <c r="T284" s="124" t="s">
        <v>136</v>
      </c>
      <c r="U284" s="1"/>
      <c r="V284" s="1"/>
      <c r="W284" s="26"/>
      <c r="X284" s="113" t="s">
        <v>378</v>
      </c>
      <c r="Y284" s="113">
        <f t="shared" si="137"/>
        <v>2050</v>
      </c>
      <c r="Z284" s="113">
        <f t="shared" si="138"/>
        <v>0.95</v>
      </c>
      <c r="AA284" s="121" t="str">
        <f t="shared" si="140"/>
        <v/>
      </c>
      <c r="AB284" s="121" t="str">
        <f t="shared" si="141"/>
        <v/>
      </c>
      <c r="AC284" s="108" t="s">
        <v>228</v>
      </c>
    </row>
    <row r="285" spans="1:29" ht="47" hidden="1" customHeight="1" outlineLevel="3">
      <c r="A285" s="882"/>
      <c r="B285" s="865"/>
      <c r="C285" s="333" t="s">
        <v>372</v>
      </c>
      <c r="D285" s="333" t="str">
        <f t="shared" ref="D285:D287" si="201">D284</f>
        <v>No target type selected</v>
      </c>
      <c r="E285" s="866"/>
      <c r="F285" s="5"/>
      <c r="G285" s="5"/>
      <c r="H285" s="5"/>
      <c r="I285" s="5"/>
      <c r="J285" s="5"/>
      <c r="K285" s="557" t="str">
        <f t="shared" si="143"/>
        <v/>
      </c>
      <c r="L285" s="713"/>
      <c r="M285" s="562">
        <f t="shared" si="149"/>
        <v>0</v>
      </c>
      <c r="N285" s="915"/>
      <c r="O285" s="563"/>
      <c r="P285" s="562" t="str">
        <f t="shared" si="136"/>
        <v/>
      </c>
      <c r="Q285" s="560" t="str">
        <f t="shared" si="139"/>
        <v/>
      </c>
      <c r="R285" s="16"/>
      <c r="T285" s="124" t="s">
        <v>136</v>
      </c>
      <c r="W285" s="65"/>
      <c r="X285" s="113" t="s">
        <v>379</v>
      </c>
      <c r="Y285" s="113">
        <f t="shared" si="137"/>
        <v>2050</v>
      </c>
      <c r="Z285" s="113">
        <f t="shared" si="138"/>
        <v>0.85</v>
      </c>
      <c r="AA285" s="121" t="str">
        <f t="shared" si="140"/>
        <v/>
      </c>
      <c r="AB285" s="121" t="str">
        <f t="shared" si="141"/>
        <v/>
      </c>
      <c r="AC285" s="107"/>
    </row>
    <row r="286" spans="1:29" ht="47" hidden="1" customHeight="1" outlineLevel="3">
      <c r="A286" s="882"/>
      <c r="B286" s="863" t="s">
        <v>135</v>
      </c>
      <c r="C286" s="333" t="s">
        <v>369</v>
      </c>
      <c r="D286" s="333" t="str">
        <f t="shared" si="199"/>
        <v>No target type selected</v>
      </c>
      <c r="E286" s="866" cm="1">
        <f t="array" ref="E286">SUMPRODUCT(('AOI Segmentation'!$M$89:$M$223=TRUE)*($AC286='AOI Segmentation'!$AK$89:$AK$223)*('Climate-Alignment Target'!E$242='AOI Segmentation'!$Q$88:$V$88)*('AOI Segmentation'!$Q$89:$V$223))</f>
        <v>0</v>
      </c>
      <c r="F286" s="5"/>
      <c r="G286" s="5"/>
      <c r="H286" s="5"/>
      <c r="I286" s="5"/>
      <c r="J286" s="5"/>
      <c r="K286" s="557" t="str">
        <f t="shared" si="143"/>
        <v/>
      </c>
      <c r="L286" s="712" t="str">
        <f t="shared" si="200"/>
        <v/>
      </c>
      <c r="M286" s="562">
        <f t="shared" si="149"/>
        <v>0</v>
      </c>
      <c r="N286" s="915"/>
      <c r="O286" s="563"/>
      <c r="P286" s="562" t="str">
        <f t="shared" ref="P286:P287" si="202">IF(AND($D286="Climate-alignment target",$N$244&lt;&gt;""),IF(M286&gt;$Z286,M286,(M286+($Z286-M286)/($Y286-$I$9)*($N$92-$I$9))),"")</f>
        <v/>
      </c>
      <c r="Q286" s="560" t="str">
        <f t="shared" si="139"/>
        <v/>
      </c>
      <c r="R286" s="16"/>
      <c r="T286" s="124" t="s">
        <v>136</v>
      </c>
      <c r="W286" s="65"/>
      <c r="X286" s="113" t="s">
        <v>378</v>
      </c>
      <c r="Y286" s="113">
        <f t="shared" ref="Y286:Y287" si="203">_xlfn.XLOOKUP($X286,$AB$17:$AB$24,AE$17:AE$24,0,0)</f>
        <v>2050</v>
      </c>
      <c r="Z286" s="113">
        <f t="shared" ref="Z286:Z287" si="204">_xlfn.XLOOKUP($X286,$AB$17:$AB$24,AF$17:AF$24,0,0)</f>
        <v>0.95</v>
      </c>
      <c r="AA286" s="121" t="str">
        <f t="shared" ref="AA286:AA287" si="205">IF($D286&lt;&gt;"Climate-alignment target","",O286*K286)</f>
        <v/>
      </c>
      <c r="AB286" s="121" t="str">
        <f t="shared" ref="AB286:AB287" si="206">IF($D286&lt;&gt;"Climate-alignment target","",K286)</f>
        <v/>
      </c>
      <c r="AC286" s="107" t="s">
        <v>214</v>
      </c>
    </row>
    <row r="287" spans="1:29" ht="47" hidden="1" customHeight="1" outlineLevel="3">
      <c r="A287" s="883"/>
      <c r="B287" s="865"/>
      <c r="C287" s="333" t="s">
        <v>372</v>
      </c>
      <c r="D287" s="333" t="str">
        <f t="shared" si="201"/>
        <v>No target type selected</v>
      </c>
      <c r="E287" s="866"/>
      <c r="F287" s="5"/>
      <c r="G287" s="5"/>
      <c r="H287" s="5"/>
      <c r="I287" s="5"/>
      <c r="J287" s="5"/>
      <c r="K287" s="557" t="str">
        <f t="shared" si="143"/>
        <v/>
      </c>
      <c r="L287" s="713"/>
      <c r="M287" s="562">
        <f t="shared" si="149"/>
        <v>0</v>
      </c>
      <c r="N287" s="915"/>
      <c r="O287" s="563"/>
      <c r="P287" s="562" t="str">
        <f t="shared" si="202"/>
        <v/>
      </c>
      <c r="Q287" s="560" t="str">
        <f t="shared" si="139"/>
        <v/>
      </c>
      <c r="R287" s="16"/>
      <c r="T287" s="124" t="s">
        <v>136</v>
      </c>
      <c r="W287" s="65"/>
      <c r="X287" s="113" t="s">
        <v>379</v>
      </c>
      <c r="Y287" s="113">
        <f t="shared" si="203"/>
        <v>2050</v>
      </c>
      <c r="Z287" s="113">
        <f t="shared" si="204"/>
        <v>0.85</v>
      </c>
      <c r="AA287" s="121" t="str">
        <f t="shared" si="205"/>
        <v/>
      </c>
      <c r="AB287" s="121" t="str">
        <f t="shared" si="206"/>
        <v/>
      </c>
      <c r="AC287" s="107"/>
    </row>
    <row r="288" spans="1:29" ht="47" hidden="1" customHeight="1" outlineLevel="3">
      <c r="A288" s="881" t="s">
        <v>130</v>
      </c>
      <c r="B288" s="910"/>
      <c r="C288" s="333" t="s">
        <v>369</v>
      </c>
      <c r="D288" s="333" t="str">
        <f t="shared" ref="D288" si="207">_xlfn.XLOOKUP(AC288,$AD$202:$AD$224,$D$202:$D$224,"No target",0)</f>
        <v>No target type selected</v>
      </c>
      <c r="E288" s="866" cm="1">
        <f t="array" ref="E288">SUMPRODUCT(('AOI Segmentation'!$M$89:$M$223=TRUE)*($AC288='AOI Segmentation'!$AK$89:$AK$223)*('Climate-Alignment Target'!E$242='AOI Segmentation'!$Q$88:$V$88)*('AOI Segmentation'!$Q$89:$V$223))</f>
        <v>0</v>
      </c>
      <c r="F288" s="5"/>
      <c r="G288" s="5"/>
      <c r="H288" s="5"/>
      <c r="I288" s="5"/>
      <c r="J288" s="5"/>
      <c r="K288" s="557" t="str">
        <f t="shared" ref="K288:K289" si="208">IF(D288&lt;&gt;"Climate-alignment target","",SUM(F288:J288))</f>
        <v/>
      </c>
      <c r="L288" s="712" t="str">
        <f t="shared" ref="L288" si="209">IF(K288="","",IF(E288=(K288+K289),"OK",IF(D288="Sector target","OK - covered by sector target",IF(AND(E288=0,D288="No target type selected"),"OK","Review financial exposure"))))</f>
        <v/>
      </c>
      <c r="M288" s="562">
        <f t="shared" si="149"/>
        <v>0</v>
      </c>
      <c r="N288" s="915"/>
      <c r="O288" s="563"/>
      <c r="P288" s="562" t="str">
        <f>IF(AND($D288="Climate-alignment target",$N$244&lt;&gt;""),IF(M288&gt;$Z288,M288,(M288+($Z288-M288)/($Y288-$I$9)*($N$92-$I$9))),"")</f>
        <v/>
      </c>
      <c r="Q288" s="560" t="str">
        <f t="shared" si="139"/>
        <v/>
      </c>
      <c r="R288" s="16"/>
      <c r="T288" s="124" t="s">
        <v>130</v>
      </c>
      <c r="W288" s="65"/>
      <c r="X288" s="113" t="s">
        <v>376</v>
      </c>
      <c r="Y288" s="113">
        <f t="shared" si="137"/>
        <v>2040</v>
      </c>
      <c r="Z288" s="113">
        <f t="shared" si="138"/>
        <v>0.95</v>
      </c>
      <c r="AA288" s="121" t="str">
        <f t="shared" si="140"/>
        <v/>
      </c>
      <c r="AB288" s="121" t="str">
        <f t="shared" si="141"/>
        <v/>
      </c>
      <c r="AC288" s="107" t="s">
        <v>213</v>
      </c>
    </row>
    <row r="289" spans="1:36" ht="47" hidden="1" customHeight="1" outlineLevel="3">
      <c r="A289" s="883"/>
      <c r="B289" s="911"/>
      <c r="C289" s="333" t="s">
        <v>372</v>
      </c>
      <c r="D289" s="333" t="str">
        <f t="shared" ref="D289" si="210">D288</f>
        <v>No target type selected</v>
      </c>
      <c r="E289" s="866"/>
      <c r="F289" s="5"/>
      <c r="G289" s="5"/>
      <c r="H289" s="5"/>
      <c r="I289" s="5"/>
      <c r="J289" s="5"/>
      <c r="K289" s="557" t="str">
        <f t="shared" si="208"/>
        <v/>
      </c>
      <c r="L289" s="713"/>
      <c r="M289" s="562">
        <f t="shared" si="149"/>
        <v>0</v>
      </c>
      <c r="N289" s="915"/>
      <c r="O289" s="563"/>
      <c r="P289" s="562" t="str">
        <f>IF(AND($D289="Climate-alignment target",$N$244&lt;&gt;""),IF(M289&gt;$Z289,M289,(M289+($Z289-M289)/($Y289-$I$9)*($N$92-$I$9))),"")</f>
        <v/>
      </c>
      <c r="Q289" s="560" t="str">
        <f t="shared" si="139"/>
        <v/>
      </c>
      <c r="R289" s="16"/>
      <c r="T289" s="124" t="s">
        <v>130</v>
      </c>
      <c r="W289" s="65"/>
      <c r="X289" s="113" t="s">
        <v>377</v>
      </c>
      <c r="Y289" s="113">
        <f t="shared" si="137"/>
        <v>2040</v>
      </c>
      <c r="Z289" s="113">
        <f t="shared" si="138"/>
        <v>0.85</v>
      </c>
      <c r="AA289" s="121" t="str">
        <f t="shared" si="140"/>
        <v/>
      </c>
      <c r="AB289" s="121" t="str">
        <f t="shared" si="141"/>
        <v/>
      </c>
    </row>
    <row r="290" spans="1:36" ht="15.75" hidden="1" customHeight="1" outlineLevel="3">
      <c r="B290" s="1"/>
      <c r="C290" s="1"/>
      <c r="D290" s="1"/>
      <c r="E290" s="1"/>
    </row>
    <row r="291" spans="1:36" ht="15.75" hidden="1" customHeight="1" outlineLevel="3">
      <c r="A291" s="858" t="s">
        <v>407</v>
      </c>
      <c r="B291" s="858"/>
      <c r="C291" s="858"/>
      <c r="D291" s="858"/>
      <c r="E291" s="858"/>
      <c r="F291" s="858"/>
      <c r="G291" s="858"/>
      <c r="H291" s="858"/>
      <c r="I291" s="858"/>
      <c r="J291" s="858"/>
      <c r="K291" s="858"/>
      <c r="L291" s="858"/>
      <c r="M291" s="858"/>
      <c r="N291" s="858"/>
      <c r="O291" s="858"/>
      <c r="P291" s="858"/>
      <c r="Q291" s="858"/>
      <c r="R291" s="858"/>
      <c r="S291" s="858"/>
      <c r="T291" s="858"/>
      <c r="U291" s="69"/>
    </row>
    <row r="292" spans="1:36" ht="15.75" hidden="1" customHeight="1" outlineLevel="3">
      <c r="B292" s="1"/>
      <c r="C292" s="1"/>
      <c r="D292" s="1"/>
      <c r="E292" s="1"/>
    </row>
    <row r="293" spans="1:36" ht="30" hidden="1" customHeight="1" outlineLevel="3">
      <c r="A293" s="885" t="s">
        <v>99</v>
      </c>
      <c r="B293" s="885"/>
      <c r="C293" s="912" t="s">
        <v>364</v>
      </c>
      <c r="D293" s="798" t="s">
        <v>403</v>
      </c>
      <c r="E293" s="885" t="s">
        <v>365</v>
      </c>
      <c r="F293" s="885"/>
      <c r="G293" s="885"/>
      <c r="H293" s="885"/>
      <c r="I293" s="885"/>
      <c r="J293" s="885"/>
      <c r="K293" s="885"/>
      <c r="L293" s="885"/>
      <c r="M293" s="798" t="s">
        <v>809</v>
      </c>
      <c r="N293" s="834" t="s">
        <v>366</v>
      </c>
      <c r="O293" s="868"/>
      <c r="P293" s="868"/>
      <c r="Q293" s="835"/>
      <c r="R293" s="834" t="s">
        <v>367</v>
      </c>
      <c r="S293" s="868"/>
      <c r="T293" s="868"/>
      <c r="U293" s="835"/>
      <c r="W293" s="1"/>
      <c r="X293" s="121"/>
    </row>
    <row r="294" spans="1:36" ht="87.75" hidden="1" customHeight="1" outlineLevel="3">
      <c r="A294" s="885"/>
      <c r="B294" s="885"/>
      <c r="C294" s="912"/>
      <c r="D294" s="798"/>
      <c r="E294" s="36" t="s">
        <v>106</v>
      </c>
      <c r="F294" s="554" t="s">
        <v>101</v>
      </c>
      <c r="G294" s="554" t="s">
        <v>102</v>
      </c>
      <c r="H294" s="558" t="s">
        <v>103</v>
      </c>
      <c r="I294" s="558" t="s">
        <v>104</v>
      </c>
      <c r="J294" s="554" t="s">
        <v>105</v>
      </c>
      <c r="K294" s="798" t="s">
        <v>807</v>
      </c>
      <c r="L294" s="798" t="s">
        <v>808</v>
      </c>
      <c r="M294" s="798"/>
      <c r="N294" s="885" t="s">
        <v>822</v>
      </c>
      <c r="O294" s="885" t="s">
        <v>826</v>
      </c>
      <c r="P294" s="913" t="s">
        <v>816</v>
      </c>
      <c r="Q294" s="914"/>
      <c r="R294" s="885" t="s">
        <v>810</v>
      </c>
      <c r="S294" s="885" t="s">
        <v>811</v>
      </c>
      <c r="T294" s="885" t="s">
        <v>812</v>
      </c>
      <c r="U294" s="798" t="s">
        <v>813</v>
      </c>
      <c r="W294" s="1"/>
    </row>
    <row r="295" spans="1:36" ht="30" hidden="1" customHeight="1" outlineLevel="3">
      <c r="A295" s="885"/>
      <c r="B295" s="885"/>
      <c r="C295" s="912"/>
      <c r="D295" s="798"/>
      <c r="E295" s="987" t="s">
        <v>819</v>
      </c>
      <c r="F295" s="988"/>
      <c r="G295" s="988"/>
      <c r="H295" s="988"/>
      <c r="I295" s="988"/>
      <c r="J295" s="989"/>
      <c r="K295" s="798"/>
      <c r="L295" s="798"/>
      <c r="M295" s="798"/>
      <c r="N295" s="885"/>
      <c r="O295" s="885"/>
      <c r="P295" s="38" t="s">
        <v>369</v>
      </c>
      <c r="Q295" s="559" t="s">
        <v>372</v>
      </c>
      <c r="R295" s="885"/>
      <c r="S295" s="885"/>
      <c r="T295" s="885"/>
      <c r="U295" s="798"/>
      <c r="W295" s="1"/>
    </row>
    <row r="296" spans="1:36" ht="31.25" hidden="1" customHeight="1" outlineLevel="3">
      <c r="A296" s="899" t="s">
        <v>113</v>
      </c>
      <c r="B296" s="900"/>
      <c r="C296" s="333" t="s">
        <v>369</v>
      </c>
      <c r="D296" s="901" t="s">
        <v>408</v>
      </c>
      <c r="E296" s="557" t="str">
        <f t="shared" ref="E296:E303" si="211">IF(SUMIFS(K$244:K$289,$T$244:$T$289,$A296,$C$244:$C$289,$C296)=0,"",SUMIFS(K$244:K$289,$T$244:$T$289,$A296,$C$244:$C$289,$C296))</f>
        <v/>
      </c>
      <c r="F296" s="557" t="str">
        <f t="shared" ref="F296:J303" si="212">IF($E296="","",SUMIFS(F$244:F$289,$T$244:$T$289,$A296,$C$244:$C$289,$C296))</f>
        <v/>
      </c>
      <c r="G296" s="557" t="str">
        <f t="shared" si="212"/>
        <v/>
      </c>
      <c r="H296" s="557" t="str">
        <f t="shared" si="212"/>
        <v/>
      </c>
      <c r="I296" s="557" t="str">
        <f t="shared" si="212"/>
        <v/>
      </c>
      <c r="J296" s="557" t="str">
        <f t="shared" si="212"/>
        <v/>
      </c>
      <c r="K296" s="557" t="str">
        <f t="shared" ref="K296:K303" si="213">IF(E296="","",SUM(F296:J296))</f>
        <v/>
      </c>
      <c r="L296" s="557" t="str">
        <f t="shared" ref="L296:L303" si="214">IF(K296="","",IF(E296-K296=0,"OK","Review financial exposure"))</f>
        <v/>
      </c>
      <c r="M296" s="562" t="str">
        <f t="shared" ref="M296:M303" si="215">IF(SUM(F296:J296)=0,"",(H296+I296+J296)/(SUM(F296:J296)))</f>
        <v/>
      </c>
      <c r="N296" s="902">
        <f>N244</f>
        <v>0</v>
      </c>
      <c r="O296" s="562" t="str">
        <f t="shared" ref="O296:O303" si="216">IFERROR(SUMIFS($AA$244:$AA$289,$T$244:$T$289,$A296,$C$244:$C$289,$C296,$D$244:$D$289,"Climate-alignment target")/SUMIFS($AB$244:$AB$289,$T$244:$T$289,$A296,$C$244:$C$289,$C296,$D$244:$D$289,"Climate-alignment target"),"")</f>
        <v/>
      </c>
      <c r="P296" s="905" t="str">
        <f>IFERROR(IF($N296="","",SUMPRODUCT(K296:K299,O296:O299)/SUM(K296:K299)),"")</f>
        <v/>
      </c>
      <c r="Q296" s="973" t="str">
        <f>IFERROR(IF($N296="","",SUMPRODUCT(K300:K303,O300:O303)/SUM(K300:K303)),"")</f>
        <v/>
      </c>
      <c r="R296" s="908"/>
      <c r="S296" s="909"/>
      <c r="T296" s="897" t="str">
        <f>IF(R296="","",95%)</f>
        <v/>
      </c>
      <c r="U296" s="898" t="str">
        <f>IF(S296="","",IF(S296-T296&gt;=0,"OK","Minimum ambition not met, please increase ambition"))</f>
        <v/>
      </c>
      <c r="W296" s="1"/>
      <c r="Y296" s="107"/>
      <c r="AI296" s="120" t="s">
        <v>418</v>
      </c>
      <c r="AJ296" s="120" t="s">
        <v>419</v>
      </c>
    </row>
    <row r="297" spans="1:36" ht="31.25" hidden="1" customHeight="1" outlineLevel="3">
      <c r="A297" s="899" t="s">
        <v>121</v>
      </c>
      <c r="B297" s="900"/>
      <c r="C297" s="333" t="s">
        <v>369</v>
      </c>
      <c r="D297" s="901"/>
      <c r="E297" s="557" t="str">
        <f t="shared" si="211"/>
        <v/>
      </c>
      <c r="F297" s="557" t="str">
        <f t="shared" si="212"/>
        <v/>
      </c>
      <c r="G297" s="557" t="str">
        <f t="shared" si="212"/>
        <v/>
      </c>
      <c r="H297" s="557" t="str">
        <f t="shared" si="212"/>
        <v/>
      </c>
      <c r="I297" s="557" t="str">
        <f t="shared" si="212"/>
        <v/>
      </c>
      <c r="J297" s="557" t="str">
        <f t="shared" si="212"/>
        <v/>
      </c>
      <c r="K297" s="557" t="str">
        <f t="shared" si="213"/>
        <v/>
      </c>
      <c r="L297" s="557" t="str">
        <f t="shared" si="214"/>
        <v/>
      </c>
      <c r="M297" s="562" t="str">
        <f t="shared" si="215"/>
        <v/>
      </c>
      <c r="N297" s="903"/>
      <c r="O297" s="562" t="str">
        <f t="shared" si="216"/>
        <v/>
      </c>
      <c r="P297" s="906"/>
      <c r="Q297" s="974"/>
      <c r="R297" s="908"/>
      <c r="S297" s="909"/>
      <c r="T297" s="897"/>
      <c r="U297" s="898"/>
      <c r="W297" s="1"/>
      <c r="Y297" s="107"/>
    </row>
    <row r="298" spans="1:36" ht="31.25" hidden="1" customHeight="1" outlineLevel="3">
      <c r="A298" s="899" t="s">
        <v>130</v>
      </c>
      <c r="B298" s="900"/>
      <c r="C298" s="333" t="s">
        <v>369</v>
      </c>
      <c r="D298" s="901"/>
      <c r="E298" s="557" t="str">
        <f t="shared" si="211"/>
        <v/>
      </c>
      <c r="F298" s="557" t="str">
        <f t="shared" si="212"/>
        <v/>
      </c>
      <c r="G298" s="557" t="str">
        <f t="shared" si="212"/>
        <v/>
      </c>
      <c r="H298" s="557" t="str">
        <f t="shared" si="212"/>
        <v/>
      </c>
      <c r="I298" s="557" t="str">
        <f t="shared" si="212"/>
        <v/>
      </c>
      <c r="J298" s="557" t="str">
        <f t="shared" si="212"/>
        <v/>
      </c>
      <c r="K298" s="557" t="str">
        <f t="shared" si="213"/>
        <v/>
      </c>
      <c r="L298" s="557" t="str">
        <f t="shared" si="214"/>
        <v/>
      </c>
      <c r="M298" s="562" t="str">
        <f t="shared" si="215"/>
        <v/>
      </c>
      <c r="N298" s="903"/>
      <c r="O298" s="562" t="str">
        <f t="shared" si="216"/>
        <v/>
      </c>
      <c r="P298" s="906"/>
      <c r="Q298" s="974"/>
      <c r="R298" s="908"/>
      <c r="S298" s="909"/>
      <c r="T298" s="897"/>
      <c r="U298" s="898"/>
      <c r="W298" s="1"/>
      <c r="X298" s="107"/>
      <c r="Y298" s="108"/>
    </row>
    <row r="299" spans="1:36" ht="31.25" hidden="1" customHeight="1" outlineLevel="3">
      <c r="A299" s="899" t="s">
        <v>136</v>
      </c>
      <c r="B299" s="900"/>
      <c r="C299" s="333" t="s">
        <v>369</v>
      </c>
      <c r="D299" s="901"/>
      <c r="E299" s="557" t="str">
        <f t="shared" si="211"/>
        <v/>
      </c>
      <c r="F299" s="557" t="str">
        <f t="shared" si="212"/>
        <v/>
      </c>
      <c r="G299" s="557" t="str">
        <f t="shared" si="212"/>
        <v/>
      </c>
      <c r="H299" s="557" t="str">
        <f t="shared" si="212"/>
        <v/>
      </c>
      <c r="I299" s="557" t="str">
        <f t="shared" si="212"/>
        <v/>
      </c>
      <c r="J299" s="557" t="str">
        <f t="shared" si="212"/>
        <v/>
      </c>
      <c r="K299" s="557" t="str">
        <f t="shared" si="213"/>
        <v/>
      </c>
      <c r="L299" s="557" t="str">
        <f t="shared" si="214"/>
        <v/>
      </c>
      <c r="M299" s="562" t="str">
        <f t="shared" si="215"/>
        <v/>
      </c>
      <c r="N299" s="903"/>
      <c r="O299" s="562" t="str">
        <f t="shared" si="216"/>
        <v/>
      </c>
      <c r="P299" s="906"/>
      <c r="Q299" s="974"/>
      <c r="R299" s="908"/>
      <c r="S299" s="909"/>
      <c r="T299" s="897"/>
      <c r="U299" s="898"/>
      <c r="W299" s="1"/>
      <c r="X299" s="107"/>
      <c r="Y299" s="107"/>
    </row>
    <row r="300" spans="1:36" ht="31.25" hidden="1" customHeight="1" outlineLevel="3">
      <c r="A300" s="899" t="s">
        <v>113</v>
      </c>
      <c r="B300" s="900"/>
      <c r="C300" s="333" t="s">
        <v>372</v>
      </c>
      <c r="D300" s="901"/>
      <c r="E300" s="557" t="str">
        <f t="shared" si="211"/>
        <v/>
      </c>
      <c r="F300" s="557" t="str">
        <f t="shared" si="212"/>
        <v/>
      </c>
      <c r="G300" s="557" t="str">
        <f t="shared" si="212"/>
        <v/>
      </c>
      <c r="H300" s="557" t="str">
        <f t="shared" si="212"/>
        <v/>
      </c>
      <c r="I300" s="557" t="str">
        <f t="shared" si="212"/>
        <v/>
      </c>
      <c r="J300" s="557" t="str">
        <f t="shared" si="212"/>
        <v/>
      </c>
      <c r="K300" s="557" t="str">
        <f t="shared" si="213"/>
        <v/>
      </c>
      <c r="L300" s="557" t="str">
        <f t="shared" si="214"/>
        <v/>
      </c>
      <c r="M300" s="562" t="str">
        <f t="shared" si="215"/>
        <v/>
      </c>
      <c r="N300" s="903"/>
      <c r="O300" s="562" t="str">
        <f t="shared" si="216"/>
        <v/>
      </c>
      <c r="P300" s="906"/>
      <c r="Q300" s="974"/>
      <c r="R300" s="908"/>
      <c r="S300" s="909"/>
      <c r="T300" s="897"/>
      <c r="U300" s="898"/>
    </row>
    <row r="301" spans="1:36" ht="31.25" hidden="1" customHeight="1" outlineLevel="3">
      <c r="A301" s="899" t="s">
        <v>121</v>
      </c>
      <c r="B301" s="900"/>
      <c r="C301" s="333" t="s">
        <v>372</v>
      </c>
      <c r="D301" s="901"/>
      <c r="E301" s="557" t="str">
        <f t="shared" si="211"/>
        <v/>
      </c>
      <c r="F301" s="557" t="str">
        <f t="shared" si="212"/>
        <v/>
      </c>
      <c r="G301" s="557" t="str">
        <f t="shared" si="212"/>
        <v/>
      </c>
      <c r="H301" s="557" t="str">
        <f t="shared" si="212"/>
        <v/>
      </c>
      <c r="I301" s="557" t="str">
        <f t="shared" si="212"/>
        <v/>
      </c>
      <c r="J301" s="557" t="str">
        <f t="shared" si="212"/>
        <v/>
      </c>
      <c r="K301" s="557" t="str">
        <f t="shared" si="213"/>
        <v/>
      </c>
      <c r="L301" s="557" t="str">
        <f t="shared" si="214"/>
        <v/>
      </c>
      <c r="M301" s="562" t="str">
        <f t="shared" si="215"/>
        <v/>
      </c>
      <c r="N301" s="903"/>
      <c r="O301" s="562" t="str">
        <f t="shared" si="216"/>
        <v/>
      </c>
      <c r="P301" s="906"/>
      <c r="Q301" s="974"/>
      <c r="R301" s="908"/>
      <c r="S301" s="909"/>
      <c r="T301" s="897"/>
      <c r="U301" s="898"/>
    </row>
    <row r="302" spans="1:36" ht="31.25" hidden="1" customHeight="1" outlineLevel="3">
      <c r="A302" s="899" t="s">
        <v>130</v>
      </c>
      <c r="B302" s="900"/>
      <c r="C302" s="333" t="s">
        <v>372</v>
      </c>
      <c r="D302" s="901"/>
      <c r="E302" s="557" t="str">
        <f t="shared" si="211"/>
        <v/>
      </c>
      <c r="F302" s="557" t="str">
        <f t="shared" si="212"/>
        <v/>
      </c>
      <c r="G302" s="557" t="str">
        <f t="shared" si="212"/>
        <v/>
      </c>
      <c r="H302" s="557" t="str">
        <f t="shared" si="212"/>
        <v/>
      </c>
      <c r="I302" s="557" t="str">
        <f t="shared" si="212"/>
        <v/>
      </c>
      <c r="J302" s="557" t="str">
        <f t="shared" si="212"/>
        <v/>
      </c>
      <c r="K302" s="557" t="str">
        <f t="shared" si="213"/>
        <v/>
      </c>
      <c r="L302" s="557" t="str">
        <f t="shared" si="214"/>
        <v/>
      </c>
      <c r="M302" s="562" t="str">
        <f t="shared" si="215"/>
        <v/>
      </c>
      <c r="N302" s="903"/>
      <c r="O302" s="562" t="str">
        <f t="shared" si="216"/>
        <v/>
      </c>
      <c r="P302" s="906"/>
      <c r="Q302" s="974"/>
      <c r="R302" s="908"/>
      <c r="S302" s="909"/>
      <c r="T302" s="897"/>
      <c r="U302" s="898"/>
    </row>
    <row r="303" spans="1:36" ht="31.25" hidden="1" customHeight="1" outlineLevel="3">
      <c r="A303" s="899" t="s">
        <v>136</v>
      </c>
      <c r="B303" s="900"/>
      <c r="C303" s="333" t="s">
        <v>372</v>
      </c>
      <c r="D303" s="901"/>
      <c r="E303" s="557" t="str">
        <f t="shared" si="211"/>
        <v/>
      </c>
      <c r="F303" s="557" t="str">
        <f t="shared" si="212"/>
        <v/>
      </c>
      <c r="G303" s="557" t="str">
        <f t="shared" si="212"/>
        <v/>
      </c>
      <c r="H303" s="557" t="str">
        <f t="shared" si="212"/>
        <v/>
      </c>
      <c r="I303" s="557" t="str">
        <f t="shared" si="212"/>
        <v/>
      </c>
      <c r="J303" s="557" t="str">
        <f t="shared" si="212"/>
        <v/>
      </c>
      <c r="K303" s="557" t="str">
        <f t="shared" si="213"/>
        <v/>
      </c>
      <c r="L303" s="557" t="str">
        <f t="shared" si="214"/>
        <v/>
      </c>
      <c r="M303" s="562" t="str">
        <f t="shared" si="215"/>
        <v/>
      </c>
      <c r="N303" s="904"/>
      <c r="O303" s="562" t="str">
        <f t="shared" si="216"/>
        <v/>
      </c>
      <c r="P303" s="907"/>
      <c r="Q303" s="975"/>
      <c r="R303" s="908"/>
      <c r="S303" s="909"/>
      <c r="T303" s="897"/>
      <c r="U303" s="898"/>
    </row>
    <row r="304" spans="1:36" ht="15" customHeight="1"/>
    <row r="305" spans="1:35" ht="15" customHeight="1"/>
    <row r="306" spans="1:35" ht="15" customHeight="1"/>
    <row r="307" spans="1:35" ht="15" customHeight="1"/>
    <row r="308" spans="1:35" ht="22.25" customHeight="1" collapsed="1">
      <c r="A308" s="862" t="s">
        <v>420</v>
      </c>
      <c r="B308" s="862"/>
      <c r="C308" s="862"/>
      <c r="D308" s="862"/>
      <c r="E308" s="862"/>
      <c r="F308" s="862"/>
      <c r="G308" s="862"/>
      <c r="H308" s="862"/>
      <c r="I308" s="862"/>
      <c r="J308" s="862"/>
      <c r="K308" s="862"/>
      <c r="L308" s="862"/>
      <c r="M308" s="862"/>
      <c r="N308" s="862"/>
      <c r="O308" s="862"/>
      <c r="P308" s="862"/>
      <c r="Q308" s="862"/>
      <c r="R308" s="862"/>
      <c r="S308" s="862"/>
      <c r="T308" s="862"/>
      <c r="U308" s="862"/>
      <c r="V308" s="862"/>
      <c r="W308" s="71"/>
      <c r="X308" s="112"/>
      <c r="Y308" s="112"/>
      <c r="Z308" s="112"/>
      <c r="AA308" s="112"/>
    </row>
    <row r="309" spans="1:35" ht="14.25" hidden="1" customHeight="1" outlineLevel="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14"/>
      <c r="Y309" s="114"/>
      <c r="Z309" s="114"/>
      <c r="AA309" s="114"/>
    </row>
    <row r="310" spans="1:35" ht="84" hidden="1" customHeight="1" outlineLevel="1">
      <c r="A310" s="19"/>
      <c r="B310" s="891" t="s">
        <v>421</v>
      </c>
      <c r="C310" s="891"/>
      <c r="D310" s="891"/>
      <c r="E310" s="891"/>
      <c r="F310" s="17"/>
      <c r="G310" s="891" t="s">
        <v>354</v>
      </c>
      <c r="H310" s="891"/>
      <c r="I310" s="891"/>
      <c r="J310" s="17"/>
      <c r="K310" s="17"/>
      <c r="L310" s="17"/>
      <c r="M310" s="17"/>
      <c r="N310" s="17"/>
      <c r="O310" s="17"/>
      <c r="P310" s="17"/>
      <c r="Q310" s="17"/>
      <c r="R310" s="17"/>
      <c r="S310" s="17"/>
      <c r="T310" s="17"/>
      <c r="U310" s="17"/>
      <c r="V310" s="17"/>
      <c r="W310" s="17"/>
      <c r="X310" s="110"/>
      <c r="Y310" s="110"/>
      <c r="Z310" s="110"/>
      <c r="AA310" s="110"/>
    </row>
    <row r="311" spans="1:35" ht="6" hidden="1" customHeight="1" outlineLevel="1">
      <c r="A311" s="19"/>
      <c r="B311" s="555"/>
      <c r="C311" s="555"/>
      <c r="D311" s="555"/>
      <c r="E311" s="17"/>
      <c r="F311" s="17"/>
      <c r="G311" s="17"/>
      <c r="H311" s="17"/>
      <c r="I311" s="17"/>
      <c r="J311" s="17"/>
      <c r="K311" s="17"/>
      <c r="L311" s="17"/>
      <c r="M311" s="17"/>
      <c r="N311" s="17"/>
      <c r="O311" s="17"/>
      <c r="P311" s="17"/>
      <c r="Q311" s="17"/>
      <c r="R311" s="17"/>
      <c r="S311" s="17"/>
      <c r="T311" s="17"/>
      <c r="U311" s="17"/>
      <c r="V311" s="17"/>
      <c r="W311" s="17"/>
      <c r="X311" s="110"/>
      <c r="Y311" s="110"/>
      <c r="Z311" s="110"/>
      <c r="AA311" s="110"/>
    </row>
    <row r="312" spans="1:35" ht="37.5" hidden="1" customHeight="1" outlineLevel="1">
      <c r="A312" s="15"/>
      <c r="B312" s="887" t="s">
        <v>801</v>
      </c>
      <c r="C312" s="887"/>
      <c r="D312" s="314"/>
      <c r="E312" s="888" t="str">
        <f>IF(AND($D$312="Climate-Alignment Target Only",$D$313="No regional differentiation"),"Note: Start in row 317",IF(AND($D$312="Climate-Alignment Target Only",$D$313="Regional differentiation"),"Note: Start in row 329",IF(AND($D$312="Mix of Climate-Alignment and Sector Targets",$D$313="No regional differentiation"),"Note: Start in row 348",IF(AND($D$312="Mix of Climate-Alignment and Sector Targets",$D$313="Regional differentiation"),"Note: Start in row 390",""))))</f>
        <v/>
      </c>
      <c r="F312" s="3"/>
      <c r="G312" s="23" t="s">
        <v>803</v>
      </c>
      <c r="H312" s="23" t="s">
        <v>804</v>
      </c>
      <c r="I312" s="34" t="s">
        <v>805</v>
      </c>
      <c r="J312" s="15"/>
      <c r="K312" s="15"/>
      <c r="L312" s="15"/>
      <c r="M312" s="15"/>
      <c r="N312" s="15"/>
      <c r="O312" s="15"/>
      <c r="P312" s="15"/>
      <c r="Q312" s="15"/>
      <c r="R312" s="15"/>
      <c r="S312" s="15"/>
      <c r="T312" s="2"/>
      <c r="U312" s="2"/>
      <c r="V312" s="2"/>
      <c r="W312" s="2"/>
      <c r="X312" s="115"/>
      <c r="Y312" s="115"/>
      <c r="Z312" s="116"/>
      <c r="AA312" s="116"/>
    </row>
    <row r="313" spans="1:35" ht="42" hidden="1" customHeight="1" outlineLevel="1">
      <c r="A313" s="15"/>
      <c r="B313" s="887" t="s">
        <v>802</v>
      </c>
      <c r="C313" s="887"/>
      <c r="D313" s="314"/>
      <c r="E313" s="888"/>
      <c r="F313" s="15"/>
      <c r="G313" s="128" t="str">
        <f>IF($D312="","",'Financial activity types '!$E$11)</f>
        <v/>
      </c>
      <c r="H313" s="128" t="str">
        <f>IF($D312="","",'Financial activity types '!$C$13)</f>
        <v/>
      </c>
      <c r="I313" s="128" t="str">
        <f>IF($D312="","",'Financial activity types '!$C$7)</f>
        <v/>
      </c>
      <c r="J313" s="15"/>
      <c r="K313" s="15"/>
      <c r="L313" s="15"/>
      <c r="M313" s="15"/>
      <c r="N313" s="15"/>
      <c r="O313" s="15"/>
      <c r="P313" s="15"/>
      <c r="Q313" s="15"/>
      <c r="R313" s="15"/>
      <c r="S313" s="15"/>
      <c r="T313" s="2"/>
      <c r="U313" s="2"/>
      <c r="V313" s="2"/>
      <c r="W313" s="2"/>
      <c r="X313" s="115"/>
      <c r="Y313" s="115"/>
      <c r="Z313" s="116"/>
      <c r="AA313" s="116"/>
    </row>
    <row r="314" spans="1:35" ht="15" hidden="1" customHeight="1" outlineLevel="1"/>
    <row r="315" spans="1:35" ht="22.25" hidden="1" customHeight="1" outlineLevel="1" collapsed="1">
      <c r="A315" s="852" t="s">
        <v>355</v>
      </c>
      <c r="B315" s="852"/>
      <c r="C315" s="852"/>
      <c r="D315" s="852"/>
      <c r="E315" s="852"/>
      <c r="F315" s="852"/>
      <c r="G315" s="852"/>
      <c r="H315" s="852"/>
      <c r="I315" s="852"/>
      <c r="J315" s="852"/>
      <c r="K315" s="852"/>
      <c r="L315" s="852"/>
      <c r="M315" s="852"/>
      <c r="N315" s="852"/>
      <c r="O315" s="852"/>
      <c r="P315" s="852"/>
      <c r="Q315" s="852"/>
      <c r="R315" s="852"/>
      <c r="S315" s="852"/>
      <c r="T315" s="852"/>
      <c r="U315" s="852"/>
      <c r="V315" s="852"/>
      <c r="W315" s="71"/>
      <c r="X315" s="112"/>
      <c r="Y315" s="112"/>
      <c r="Z315" s="112"/>
      <c r="AA315" s="112"/>
    </row>
    <row r="316" spans="1:35" s="117" customFormat="1" ht="6.75" hidden="1" customHeight="1" outlineLevel="2">
      <c r="A316" s="63"/>
      <c r="B316" s="63"/>
      <c r="C316" s="63"/>
      <c r="D316" s="561"/>
      <c r="E316" s="889"/>
      <c r="F316" s="889"/>
      <c r="G316" s="561"/>
      <c r="H316" s="561"/>
      <c r="I316" s="561"/>
      <c r="J316" s="561"/>
      <c r="K316" s="561"/>
      <c r="L316" s="561"/>
      <c r="M316" s="561"/>
      <c r="N316" s="561"/>
      <c r="O316" s="561"/>
      <c r="P316" s="561"/>
      <c r="Q316" s="561"/>
      <c r="R316" s="561"/>
      <c r="S316" s="561"/>
      <c r="T316" s="561"/>
      <c r="U316" s="561"/>
      <c r="V316" s="561"/>
      <c r="W316" s="63"/>
    </row>
    <row r="317" spans="1:35" ht="15.75" hidden="1" customHeight="1" outlineLevel="2">
      <c r="A317" s="867" t="s">
        <v>356</v>
      </c>
      <c r="B317" s="867"/>
      <c r="C317" s="867"/>
      <c r="D317" s="867"/>
      <c r="E317" s="556"/>
      <c r="F317" s="556"/>
      <c r="G317" s="556"/>
      <c r="H317" s="556"/>
      <c r="I317" s="556"/>
      <c r="J317" s="556"/>
      <c r="K317" s="556"/>
      <c r="L317" s="556"/>
      <c r="M317" s="556"/>
      <c r="N317" s="556"/>
      <c r="O317" s="556"/>
      <c r="P317" s="556"/>
      <c r="Q317" s="556"/>
      <c r="R317" s="556"/>
      <c r="S317" s="556"/>
      <c r="T317" s="556"/>
      <c r="U317" s="556"/>
      <c r="V317" s="556"/>
      <c r="W317" s="19"/>
      <c r="X317" s="114"/>
      <c r="Y317" s="114"/>
      <c r="Z317" s="114"/>
      <c r="AA317" s="114"/>
    </row>
    <row r="318" spans="1:35" ht="32.75" hidden="1" customHeight="1" outlineLevel="2" collapsed="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14"/>
      <c r="Y318" s="114"/>
      <c r="Z318" s="114"/>
      <c r="AA318" s="114"/>
    </row>
    <row r="319" spans="1:35" ht="67.5" hidden="1" customHeight="1" outlineLevel="3">
      <c r="A319" s="126"/>
      <c r="B319" s="127"/>
      <c r="C319" s="15"/>
      <c r="D319" s="15"/>
      <c r="E319" s="15"/>
      <c r="F319" s="25"/>
      <c r="G319" s="15"/>
      <c r="H319" s="15"/>
      <c r="I319" s="15"/>
      <c r="J319" s="15"/>
      <c r="K319" s="15"/>
      <c r="L319" s="15"/>
      <c r="M319" s="859" t="s">
        <v>357</v>
      </c>
      <c r="N319" s="859"/>
      <c r="O319" s="859"/>
      <c r="P319" s="859"/>
      <c r="Q319" s="859"/>
      <c r="R319" s="859"/>
      <c r="S319" s="859"/>
      <c r="T319" s="859"/>
      <c r="U319" s="859"/>
      <c r="V319" s="859"/>
      <c r="W319" s="17"/>
      <c r="X319" s="110"/>
      <c r="Y319" s="110"/>
      <c r="AF319" s="972"/>
      <c r="AG319" s="972"/>
      <c r="AH319" s="972"/>
      <c r="AI319" s="972"/>
    </row>
    <row r="320" spans="1:35" ht="12.75" hidden="1" customHeight="1" outlineLevel="3">
      <c r="AF320" s="118"/>
      <c r="AG320" s="118"/>
      <c r="AH320" s="118"/>
      <c r="AI320" s="118"/>
    </row>
    <row r="321" spans="1:36" ht="34.5" hidden="1" customHeight="1" outlineLevel="3">
      <c r="A321" s="885" t="s">
        <v>99</v>
      </c>
      <c r="B321" s="885"/>
      <c r="C321" s="912" t="s">
        <v>364</v>
      </c>
      <c r="D321" s="885" t="s">
        <v>365</v>
      </c>
      <c r="E321" s="885"/>
      <c r="F321" s="885"/>
      <c r="G321" s="885"/>
      <c r="H321" s="885"/>
      <c r="I321" s="885"/>
      <c r="J321" s="885"/>
      <c r="K321" s="885"/>
      <c r="L321" s="798" t="s">
        <v>809</v>
      </c>
      <c r="M321" s="834" t="s">
        <v>366</v>
      </c>
      <c r="N321" s="868"/>
      <c r="O321" s="868"/>
      <c r="P321" s="868"/>
      <c r="Q321" s="868"/>
      <c r="R321" s="835"/>
      <c r="S321" s="885" t="s">
        <v>367</v>
      </c>
      <c r="T321" s="885"/>
      <c r="U321" s="885"/>
      <c r="V321" s="885"/>
      <c r="AD321" s="119"/>
    </row>
    <row r="322" spans="1:36" ht="52.5" hidden="1" customHeight="1" outlineLevel="3">
      <c r="A322" s="885"/>
      <c r="B322" s="885"/>
      <c r="C322" s="912"/>
      <c r="D322" s="36" t="s">
        <v>106</v>
      </c>
      <c r="E322" s="554" t="s">
        <v>101</v>
      </c>
      <c r="F322" s="554" t="s">
        <v>102</v>
      </c>
      <c r="G322" s="558" t="s">
        <v>103</v>
      </c>
      <c r="H322" s="558" t="s">
        <v>104</v>
      </c>
      <c r="I322" s="554" t="s">
        <v>105</v>
      </c>
      <c r="J322" s="798" t="s">
        <v>807</v>
      </c>
      <c r="K322" s="798" t="s">
        <v>808</v>
      </c>
      <c r="L322" s="798"/>
      <c r="M322" s="885" t="s">
        <v>810</v>
      </c>
      <c r="N322" s="798" t="s">
        <v>811</v>
      </c>
      <c r="O322" s="798" t="s">
        <v>812</v>
      </c>
      <c r="P322" s="798" t="s">
        <v>813</v>
      </c>
      <c r="Q322" s="869" t="s">
        <v>814</v>
      </c>
      <c r="R322" s="870"/>
      <c r="S322" s="885" t="s">
        <v>810</v>
      </c>
      <c r="T322" s="885" t="s">
        <v>811</v>
      </c>
      <c r="U322" s="885" t="s">
        <v>812</v>
      </c>
      <c r="V322" s="798" t="s">
        <v>813</v>
      </c>
      <c r="AD322" s="119"/>
    </row>
    <row r="323" spans="1:36" ht="47.25" hidden="1" customHeight="1" outlineLevel="3">
      <c r="A323" s="885"/>
      <c r="B323" s="885"/>
      <c r="C323" s="912"/>
      <c r="D323" s="40" t="s">
        <v>819</v>
      </c>
      <c r="E323" s="928" t="s">
        <v>806</v>
      </c>
      <c r="F323" s="929"/>
      <c r="G323" s="929"/>
      <c r="H323" s="929"/>
      <c r="I323" s="929"/>
      <c r="J323" s="798"/>
      <c r="K323" s="798"/>
      <c r="L323" s="798"/>
      <c r="M323" s="885"/>
      <c r="N323" s="798"/>
      <c r="O323" s="798"/>
      <c r="P323" s="798"/>
      <c r="Q323" s="871"/>
      <c r="R323" s="872"/>
      <c r="S323" s="885"/>
      <c r="T323" s="885"/>
      <c r="U323" s="885"/>
      <c r="V323" s="798"/>
      <c r="AD323" s="119"/>
    </row>
    <row r="324" spans="1:36" ht="47" hidden="1" customHeight="1" outlineLevel="3">
      <c r="A324" s="954" t="s">
        <v>113</v>
      </c>
      <c r="B324" s="954"/>
      <c r="C324" s="901" t="s">
        <v>356</v>
      </c>
      <c r="D324" s="557" t="str" cm="1">
        <f t="array" ref="D324">IF($G$313="","",SUMPRODUCT(('AMI Segmentation'!$M$20:$M$52=TRUE)*($A324='AMI Segmentation'!$AK$20:$AK$52)*('Climate-Alignment Target'!D$322='AMI Segmentation'!$Q$19:$V$19)*('AMI Segmentation'!$Q$20:$V$52)))</f>
        <v/>
      </c>
      <c r="E324" s="557" t="str" cm="1">
        <f t="array" ref="E324">IF($G$313="","",SUMPRODUCT(('AMI Segmentation'!$M$20:$M$52=TRUE)*($A324='AMI Segmentation'!$AK$20:$AK$52)*('Climate-Alignment Target'!E$322='AMI Segmentation'!$Q$19:$V$19)*('AMI Segmentation'!$Q$20:$V$52)))</f>
        <v/>
      </c>
      <c r="F324" s="557" t="str" cm="1">
        <f t="array" ref="F324">IF($G$313="","",SUMPRODUCT(('AMI Segmentation'!$M$20:$M$52=TRUE)*($A324='AMI Segmentation'!$AK$20:$AK$52)*('Climate-Alignment Target'!F$322='AMI Segmentation'!$Q$19:$V$19)*('AMI Segmentation'!$Q$20:$V$52)))</f>
        <v/>
      </c>
      <c r="G324" s="557" t="str" cm="1">
        <f t="array" ref="G324">IF($G$313="","",SUMPRODUCT(('AMI Segmentation'!$M$20:$M$52=TRUE)*($A324='AMI Segmentation'!$AK$20:$AK$52)*('Climate-Alignment Target'!G$322='AMI Segmentation'!$Q$19:$V$19)*('AMI Segmentation'!$Q$20:$V$52)))</f>
        <v/>
      </c>
      <c r="H324" s="557" t="str" cm="1">
        <f t="array" ref="H324">IF($G$313="","",SUMPRODUCT(('AMI Segmentation'!$M$20:$M$52=TRUE)*($A324='AMI Segmentation'!$AK$20:$AK$52)*('Climate-Alignment Target'!H$322='AMI Segmentation'!$Q$19:$V$19)*('AMI Segmentation'!$Q$20:$V$52)))</f>
        <v/>
      </c>
      <c r="I324" s="557" t="str" cm="1">
        <f t="array" ref="I324">IF($G$313="","",SUMPRODUCT(('AMI Segmentation'!$M$20:$M$52=TRUE)*($A324='AMI Segmentation'!$AK$20:$AK$52)*('Climate-Alignment Target'!I$322='AMI Segmentation'!$Q$19:$V$19)*('AMI Segmentation'!$Q$20:$V$52)))</f>
        <v/>
      </c>
      <c r="J324" s="557">
        <f t="shared" ref="J324:J327" si="217">IF(D324=0,"",SUM(E324:I324))</f>
        <v>0</v>
      </c>
      <c r="K324" s="557" t="e">
        <f>IF(D324=0,"",IF(D324-J324=0,"OK","Review financial exposure"))</f>
        <v>#VALUE!</v>
      </c>
      <c r="L324" s="562">
        <f>IF(SUM(E324:I324)=0,0,(G324+H324+I324)/(SUM(E324:I324)))</f>
        <v>0</v>
      </c>
      <c r="M324" s="915"/>
      <c r="N324" s="563"/>
      <c r="O324" s="562" t="str">
        <f>IF($M$324="","",IF(D324=0,"",IF(L324&gt;=$Z324,L324,(L324+($Z324-L324)/($Y324-$I$313)*($M$324-$I$313)))))</f>
        <v/>
      </c>
      <c r="P324" s="560" t="str">
        <f>IF(N324="","",IF(N324-O324&gt;=0,"OK","Minimum ambition not met, please increase ambition"))</f>
        <v/>
      </c>
      <c r="Q324" s="873" t="str">
        <f>IFERROR(IF(M324="","",SUMPRODUCT(J324:J327,N324:N327)/SUM(J324:J327)),"")</f>
        <v/>
      </c>
      <c r="R324" s="874"/>
      <c r="S324" s="955"/>
      <c r="T324" s="986"/>
      <c r="U324" s="897" t="str">
        <f>IF(S324="","",95%)</f>
        <v/>
      </c>
      <c r="V324" s="898" t="str">
        <f>IF(T324="","",IF(T324-U324&gt;=0,"OK","Minimum ambition not met, please increase ambition"))</f>
        <v/>
      </c>
      <c r="X324" s="113" t="s">
        <v>368</v>
      </c>
      <c r="Y324" s="113">
        <f t="shared" ref="Y324:Y327" si="218">_xlfn.XLOOKUP($X324,$AB$17:$AB$24,AE$17:AE$24,0,0)</f>
        <v>2035</v>
      </c>
      <c r="Z324" s="113">
        <f t="shared" ref="Z324:Z327" si="219">_xlfn.XLOOKUP($X324,$AB$17:$AB$24,AF$17:AF$24,0,0)</f>
        <v>0.95</v>
      </c>
      <c r="AD324" s="119"/>
      <c r="AI324" s="120" t="s">
        <v>422</v>
      </c>
    </row>
    <row r="325" spans="1:36" ht="47" hidden="1" customHeight="1" outlineLevel="3">
      <c r="A325" s="954" t="s">
        <v>121</v>
      </c>
      <c r="B325" s="954"/>
      <c r="C325" s="901"/>
      <c r="D325" s="557" t="str" cm="1">
        <f t="array" ref="D325">IF($G$313="","",SUMPRODUCT(('AMI Segmentation'!$M$20:$M$52=TRUE)*($A325='AMI Segmentation'!$AK$20:$AK$52)*('Climate-Alignment Target'!D$322='AMI Segmentation'!$Q$19:$V$19)*('AMI Segmentation'!$Q$20:$V$52)))</f>
        <v/>
      </c>
      <c r="E325" s="557" t="str" cm="1">
        <f t="array" ref="E325">IF($G$313="","",SUMPRODUCT(('AMI Segmentation'!$M$20:$M$52=TRUE)*($A325='AMI Segmentation'!$AK$20:$AK$52)*('Climate-Alignment Target'!E$322='AMI Segmentation'!$Q$19:$V$19)*('AMI Segmentation'!$Q$20:$V$52)))</f>
        <v/>
      </c>
      <c r="F325" s="557" t="str" cm="1">
        <f t="array" ref="F325">IF($G$313="","",SUMPRODUCT(('AMI Segmentation'!$M$20:$M$52=TRUE)*($A325='AMI Segmentation'!$AK$20:$AK$52)*('Climate-Alignment Target'!F$322='AMI Segmentation'!$Q$19:$V$19)*('AMI Segmentation'!$Q$20:$V$52)))</f>
        <v/>
      </c>
      <c r="G325" s="557" t="str" cm="1">
        <f t="array" ref="G325">IF($G$313="","",SUMPRODUCT(('AMI Segmentation'!$M$20:$M$52=TRUE)*($A325='AMI Segmentation'!$AK$20:$AK$52)*('Climate-Alignment Target'!G$322='AMI Segmentation'!$Q$19:$V$19)*('AMI Segmentation'!$Q$20:$V$52)))</f>
        <v/>
      </c>
      <c r="H325" s="557" t="str" cm="1">
        <f t="array" ref="H325">IF($G$313="","",SUMPRODUCT(('AMI Segmentation'!$M$20:$M$52=TRUE)*($A325='AMI Segmentation'!$AK$20:$AK$52)*('Climate-Alignment Target'!H$322='AMI Segmentation'!$Q$19:$V$19)*('AMI Segmentation'!$Q$20:$V$52)))</f>
        <v/>
      </c>
      <c r="I325" s="557" t="str" cm="1">
        <f t="array" ref="I325">IF($G$313="","",SUMPRODUCT(('AMI Segmentation'!$M$20:$M$52=TRUE)*($A325='AMI Segmentation'!$AK$20:$AK$52)*('Climate-Alignment Target'!I$322='AMI Segmentation'!$Q$19:$V$19)*('AMI Segmentation'!$Q$20:$V$52)))</f>
        <v/>
      </c>
      <c r="J325" s="557">
        <f t="shared" si="217"/>
        <v>0</v>
      </c>
      <c r="K325" s="557" t="e">
        <f t="shared" ref="K325:K327" si="220">IF(D325=0,"",IF(D325-J325=0,"OK","Review financial exposure"))</f>
        <v>#VALUE!</v>
      </c>
      <c r="L325" s="562">
        <f>IF(SUM(E325:I325)=0,0,(G325+H325+I325)/(SUM(E325:I325)))</f>
        <v>0</v>
      </c>
      <c r="M325" s="915"/>
      <c r="N325" s="563"/>
      <c r="O325" s="562" t="str">
        <f t="shared" ref="O325:O327" si="221">IF($M$324="","",IF(D325=0,"",IF(L325&gt;=$Z325,L325,(L325+($Z325-L325)/($Y325-$I$313)*($M$324-$I$313)))))</f>
        <v/>
      </c>
      <c r="P325" s="560" t="str">
        <f>IF(N325="","",IF(N325-O325&gt;=0,"OK","Minimum ambition not met, please increase ambition"))</f>
        <v/>
      </c>
      <c r="Q325" s="875"/>
      <c r="R325" s="876"/>
      <c r="S325" s="956"/>
      <c r="T325" s="986"/>
      <c r="U325" s="897"/>
      <c r="V325" s="898"/>
      <c r="X325" s="113" t="s">
        <v>373</v>
      </c>
      <c r="Y325" s="113">
        <f t="shared" si="218"/>
        <v>2040</v>
      </c>
      <c r="Z325" s="113">
        <f t="shared" si="219"/>
        <v>0.95</v>
      </c>
      <c r="AD325" s="119"/>
      <c r="AI325" s="120"/>
    </row>
    <row r="326" spans="1:36" ht="47" hidden="1" customHeight="1" outlineLevel="3">
      <c r="A326" s="954" t="s">
        <v>130</v>
      </c>
      <c r="B326" s="954"/>
      <c r="C326" s="901"/>
      <c r="D326" s="557" t="str" cm="1">
        <f t="array" ref="D326">IF($G$313="","",SUMPRODUCT(('AMI Segmentation'!$M$20:$M$52=TRUE)*($A326='AMI Segmentation'!$AK$20:$AK$52)*('Climate-Alignment Target'!D$322='AMI Segmentation'!$Q$19:$V$19)*('AMI Segmentation'!$Q$20:$V$52)))</f>
        <v/>
      </c>
      <c r="E326" s="557" t="str" cm="1">
        <f t="array" ref="E326">IF($G$313="","",SUMPRODUCT(('AMI Segmentation'!$M$20:$M$52=TRUE)*($A326='AMI Segmentation'!$AK$20:$AK$52)*('Climate-Alignment Target'!E$322='AMI Segmentation'!$Q$19:$V$19)*('AMI Segmentation'!$Q$20:$V$52)))</f>
        <v/>
      </c>
      <c r="F326" s="557" t="str" cm="1">
        <f t="array" ref="F326">IF($G$313="","",SUMPRODUCT(('AMI Segmentation'!$M$20:$M$52=TRUE)*($A326='AMI Segmentation'!$AK$20:$AK$52)*('Climate-Alignment Target'!F$322='AMI Segmentation'!$Q$19:$V$19)*('AMI Segmentation'!$Q$20:$V$52)))</f>
        <v/>
      </c>
      <c r="G326" s="557" t="str" cm="1">
        <f t="array" ref="G326">IF($G$313="","",SUMPRODUCT(('AMI Segmentation'!$M$20:$M$52=TRUE)*($A326='AMI Segmentation'!$AK$20:$AK$52)*('Climate-Alignment Target'!G$322='AMI Segmentation'!$Q$19:$V$19)*('AMI Segmentation'!$Q$20:$V$52)))</f>
        <v/>
      </c>
      <c r="H326" s="557" t="str" cm="1">
        <f t="array" ref="H326">IF($G$313="","",SUMPRODUCT(('AMI Segmentation'!$M$20:$M$52=TRUE)*($A326='AMI Segmentation'!$AK$20:$AK$52)*('Climate-Alignment Target'!H$322='AMI Segmentation'!$Q$19:$V$19)*('AMI Segmentation'!$Q$20:$V$52)))</f>
        <v/>
      </c>
      <c r="I326" s="557" t="str" cm="1">
        <f t="array" ref="I326">IF($G$313="","",SUMPRODUCT(('AMI Segmentation'!$M$20:$M$52=TRUE)*($A326='AMI Segmentation'!$AK$20:$AK$52)*('Climate-Alignment Target'!I$322='AMI Segmentation'!$Q$19:$V$19)*('AMI Segmentation'!$Q$20:$V$52)))</f>
        <v/>
      </c>
      <c r="J326" s="557">
        <f t="shared" si="217"/>
        <v>0</v>
      </c>
      <c r="K326" s="557" t="e">
        <f t="shared" si="220"/>
        <v>#VALUE!</v>
      </c>
      <c r="L326" s="562">
        <f>IF(SUM(E326:I326)=0,0,(G326+H326+I326)/(SUM(E326:I326)))</f>
        <v>0</v>
      </c>
      <c r="M326" s="915"/>
      <c r="N326" s="563"/>
      <c r="O326" s="562" t="str">
        <f t="shared" si="221"/>
        <v/>
      </c>
      <c r="P326" s="560" t="str">
        <f>IF(N326="","",IF(N326-O326&gt;=0,"OK","Minimum ambition not met, please increase ambition"))</f>
        <v/>
      </c>
      <c r="Q326" s="875"/>
      <c r="R326" s="876"/>
      <c r="S326" s="956"/>
      <c r="T326" s="986"/>
      <c r="U326" s="897"/>
      <c r="V326" s="898"/>
      <c r="X326" s="113" t="s">
        <v>376</v>
      </c>
      <c r="Y326" s="113">
        <f t="shared" si="218"/>
        <v>2040</v>
      </c>
      <c r="Z326" s="113">
        <f t="shared" si="219"/>
        <v>0.95</v>
      </c>
      <c r="AD326" s="119"/>
      <c r="AI326" s="120"/>
    </row>
    <row r="327" spans="1:36" ht="47" hidden="1" customHeight="1" outlineLevel="3">
      <c r="A327" s="954" t="s">
        <v>136</v>
      </c>
      <c r="B327" s="954"/>
      <c r="C327" s="901"/>
      <c r="D327" s="557" t="str" cm="1">
        <f t="array" ref="D327">IF($G$313="","",SUMPRODUCT(('AMI Segmentation'!$M$20:$M$52=TRUE)*($A327='AMI Segmentation'!$AK$20:$AK$52)*('Climate-Alignment Target'!D$322='AMI Segmentation'!$Q$19:$V$19)*('AMI Segmentation'!$Q$20:$V$52)))</f>
        <v/>
      </c>
      <c r="E327" s="557" t="str" cm="1">
        <f t="array" ref="E327">IF($G$313="","",SUMPRODUCT(('AMI Segmentation'!$M$20:$M$52=TRUE)*($A327='AMI Segmentation'!$AK$20:$AK$52)*('Climate-Alignment Target'!E$322='AMI Segmentation'!$Q$19:$V$19)*('AMI Segmentation'!$Q$20:$V$52)))</f>
        <v/>
      </c>
      <c r="F327" s="557" t="str" cm="1">
        <f t="array" ref="F327">IF($G$313="","",SUMPRODUCT(('AMI Segmentation'!$M$20:$M$52=TRUE)*($A327='AMI Segmentation'!$AK$20:$AK$52)*('Climate-Alignment Target'!F$322='AMI Segmentation'!$Q$19:$V$19)*('AMI Segmentation'!$Q$20:$V$52)))</f>
        <v/>
      </c>
      <c r="G327" s="557" t="str" cm="1">
        <f t="array" ref="G327">IF($G$313="","",SUMPRODUCT(('AMI Segmentation'!$M$20:$M$52=TRUE)*($A327='AMI Segmentation'!$AK$20:$AK$52)*('Climate-Alignment Target'!G$322='AMI Segmentation'!$Q$19:$V$19)*('AMI Segmentation'!$Q$20:$V$52)))</f>
        <v/>
      </c>
      <c r="H327" s="557" t="str" cm="1">
        <f t="array" ref="H327">IF($G$313="","",SUMPRODUCT(('AMI Segmentation'!$M$20:$M$52=TRUE)*($A327='AMI Segmentation'!$AK$20:$AK$52)*('Climate-Alignment Target'!H$322='AMI Segmentation'!$Q$19:$V$19)*('AMI Segmentation'!$Q$20:$V$52)))</f>
        <v/>
      </c>
      <c r="I327" s="557" t="str" cm="1">
        <f t="array" ref="I327">IF($G$313="","",SUMPRODUCT(('AMI Segmentation'!$M$20:$M$52=TRUE)*($A327='AMI Segmentation'!$AK$20:$AK$52)*('Climate-Alignment Target'!I$322='AMI Segmentation'!$Q$19:$V$19)*('AMI Segmentation'!$Q$20:$V$52)))</f>
        <v/>
      </c>
      <c r="J327" s="557">
        <f t="shared" si="217"/>
        <v>0</v>
      </c>
      <c r="K327" s="557" t="e">
        <f t="shared" si="220"/>
        <v>#VALUE!</v>
      </c>
      <c r="L327" s="562">
        <f>IF(SUM(E327:I327)=0,0,(G327+H327+I327)/(SUM(E327:I327)))</f>
        <v>0</v>
      </c>
      <c r="M327" s="915"/>
      <c r="N327" s="563"/>
      <c r="O327" s="562" t="str">
        <f t="shared" si="221"/>
        <v/>
      </c>
      <c r="P327" s="560" t="str">
        <f>IF(N327="","",IF(N327-O327&gt;=0,"OK","Minimum ambition not met, please increase ambition"))</f>
        <v/>
      </c>
      <c r="Q327" s="877"/>
      <c r="R327" s="878"/>
      <c r="S327" s="956"/>
      <c r="T327" s="986"/>
      <c r="U327" s="897"/>
      <c r="V327" s="898"/>
      <c r="X327" s="113" t="s">
        <v>378</v>
      </c>
      <c r="Y327" s="113">
        <f t="shared" si="218"/>
        <v>2050</v>
      </c>
      <c r="Z327" s="113">
        <f t="shared" si="219"/>
        <v>0.95</v>
      </c>
      <c r="AD327" s="119"/>
    </row>
    <row r="328" spans="1:36" ht="27.75" hidden="1" customHeight="1" outlineLevel="2">
      <c r="A328" s="315"/>
      <c r="B328" s="315"/>
      <c r="C328" s="316"/>
      <c r="D328" s="317"/>
      <c r="E328" s="318"/>
      <c r="F328" s="319"/>
      <c r="G328" s="319"/>
      <c r="H328" s="319"/>
      <c r="I328" s="319"/>
      <c r="J328" s="319"/>
      <c r="K328" s="319"/>
      <c r="L328" s="319"/>
      <c r="M328" s="319"/>
      <c r="N328" s="320"/>
      <c r="O328" s="318"/>
      <c r="P328" s="320"/>
      <c r="Q328" s="320"/>
      <c r="R328" s="320"/>
      <c r="S328" s="16"/>
      <c r="T328" s="321"/>
      <c r="U328" s="322"/>
      <c r="V328" s="320"/>
      <c r="W328" s="320"/>
      <c r="X328" s="323"/>
      <c r="AG328" s="119"/>
    </row>
    <row r="329" spans="1:36" ht="15.75" hidden="1" customHeight="1" outlineLevel="2">
      <c r="A329" s="867" t="s">
        <v>380</v>
      </c>
      <c r="B329" s="867"/>
      <c r="C329" s="867"/>
      <c r="D329" s="867"/>
      <c r="E329" s="556"/>
      <c r="F329" s="556"/>
      <c r="G329" s="556"/>
      <c r="H329" s="556"/>
      <c r="I329" s="556"/>
      <c r="J329" s="556"/>
      <c r="K329" s="556"/>
      <c r="L329" s="556"/>
      <c r="M329" s="556"/>
      <c r="N329" s="556"/>
      <c r="O329" s="556"/>
      <c r="P329" s="556"/>
      <c r="Q329" s="556"/>
      <c r="R329" s="556"/>
      <c r="S329" s="556"/>
      <c r="T329" s="556"/>
      <c r="U329" s="556"/>
      <c r="V329" s="556"/>
      <c r="W329" s="19"/>
      <c r="X329" s="114"/>
      <c r="Y329" s="114"/>
    </row>
    <row r="330" spans="1:36" ht="6" hidden="1" customHeight="1" outlineLevel="2">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14"/>
      <c r="Y330" s="114"/>
    </row>
    <row r="331" spans="1:36" ht="34.5" hidden="1" customHeight="1" outlineLevel="2" collapsed="1">
      <c r="A331" s="19"/>
      <c r="B331" s="19"/>
      <c r="C331" s="19"/>
      <c r="D331" s="19"/>
      <c r="E331" s="19"/>
      <c r="F331" s="859" t="s">
        <v>381</v>
      </c>
      <c r="G331" s="859"/>
      <c r="H331" s="859"/>
      <c r="I331" s="859"/>
      <c r="J331" s="859"/>
      <c r="K331" s="19"/>
      <c r="L331" s="19"/>
      <c r="M331" s="859" t="s">
        <v>357</v>
      </c>
      <c r="N331" s="859"/>
      <c r="O331" s="859"/>
      <c r="P331" s="859"/>
      <c r="Q331" s="859"/>
      <c r="R331" s="859"/>
      <c r="S331" s="859"/>
      <c r="T331" s="859"/>
      <c r="U331" s="859"/>
      <c r="V331" s="859"/>
      <c r="W331" s="70"/>
    </row>
    <row r="332" spans="1:36" ht="15.75" hidden="1" customHeight="1" outlineLevel="3">
      <c r="A332" s="324"/>
      <c r="B332" s="324"/>
      <c r="C332" s="325"/>
      <c r="D332" s="325"/>
      <c r="E332" s="326"/>
      <c r="F332" s="326"/>
      <c r="G332" s="326"/>
      <c r="H332" s="326"/>
      <c r="I332" s="326"/>
      <c r="J332" s="326"/>
      <c r="K332" s="326"/>
      <c r="L332" s="326"/>
      <c r="M332" s="328"/>
      <c r="N332" s="328"/>
      <c r="O332" s="328"/>
      <c r="P332" s="327"/>
      <c r="Q332" s="327"/>
      <c r="R332" s="327"/>
      <c r="S332" s="341"/>
      <c r="T332" s="326"/>
      <c r="U332" s="326"/>
      <c r="V332" s="16"/>
      <c r="W332" s="327"/>
      <c r="X332" s="323"/>
    </row>
    <row r="333" spans="1:36" ht="36" hidden="1" customHeight="1" outlineLevel="3">
      <c r="A333" s="960" t="s">
        <v>99</v>
      </c>
      <c r="B333" s="961"/>
      <c r="C333" s="964" t="s">
        <v>364</v>
      </c>
      <c r="D333" s="879" t="s">
        <v>365</v>
      </c>
      <c r="E333" s="868"/>
      <c r="F333" s="868"/>
      <c r="G333" s="868"/>
      <c r="H333" s="868"/>
      <c r="I333" s="868"/>
      <c r="J333" s="868"/>
      <c r="K333" s="880"/>
      <c r="L333" s="714" t="s">
        <v>809</v>
      </c>
      <c r="M333" s="885" t="s">
        <v>366</v>
      </c>
      <c r="N333" s="885"/>
      <c r="O333" s="885"/>
      <c r="P333" s="885"/>
      <c r="Q333" s="885"/>
      <c r="R333" s="885"/>
      <c r="S333" s="885" t="s">
        <v>367</v>
      </c>
      <c r="T333" s="885"/>
      <c r="U333" s="885"/>
      <c r="V333" s="885"/>
    </row>
    <row r="334" spans="1:36" ht="54" hidden="1" customHeight="1" outlineLevel="3">
      <c r="A334" s="962"/>
      <c r="B334" s="963"/>
      <c r="C334" s="965"/>
      <c r="D334" s="36" t="s">
        <v>106</v>
      </c>
      <c r="E334" s="330" t="s">
        <v>101</v>
      </c>
      <c r="F334" s="330" t="s">
        <v>102</v>
      </c>
      <c r="G334" s="331" t="s">
        <v>103</v>
      </c>
      <c r="H334" s="331" t="s">
        <v>104</v>
      </c>
      <c r="I334" s="330" t="s">
        <v>105</v>
      </c>
      <c r="J334" s="798" t="s">
        <v>807</v>
      </c>
      <c r="K334" s="798" t="s">
        <v>808</v>
      </c>
      <c r="L334" s="798"/>
      <c r="M334" s="885" t="s">
        <v>810</v>
      </c>
      <c r="N334" s="798" t="s">
        <v>811</v>
      </c>
      <c r="O334" s="967" t="s">
        <v>828</v>
      </c>
      <c r="P334" s="798" t="s">
        <v>813</v>
      </c>
      <c r="Q334" s="879" t="s">
        <v>816</v>
      </c>
      <c r="R334" s="880"/>
      <c r="S334" s="885" t="s">
        <v>810</v>
      </c>
      <c r="T334" s="885" t="s">
        <v>811</v>
      </c>
      <c r="U334" s="885" t="s">
        <v>812</v>
      </c>
      <c r="V334" s="798" t="s">
        <v>813</v>
      </c>
    </row>
    <row r="335" spans="1:36" ht="36" hidden="1" customHeight="1" outlineLevel="3">
      <c r="A335" s="962"/>
      <c r="B335" s="963"/>
      <c r="C335" s="966"/>
      <c r="D335" s="40" t="s">
        <v>819</v>
      </c>
      <c r="E335" s="969" t="s">
        <v>817</v>
      </c>
      <c r="F335" s="970"/>
      <c r="G335" s="970"/>
      <c r="H335" s="970"/>
      <c r="I335" s="971"/>
      <c r="J335" s="798"/>
      <c r="K335" s="798"/>
      <c r="L335" s="798"/>
      <c r="M335" s="885"/>
      <c r="N335" s="798"/>
      <c r="O335" s="968"/>
      <c r="P335" s="798"/>
      <c r="Q335" s="38" t="s">
        <v>369</v>
      </c>
      <c r="R335" s="35" t="s">
        <v>372</v>
      </c>
      <c r="S335" s="885"/>
      <c r="T335" s="885"/>
      <c r="U335" s="885"/>
      <c r="V335" s="798"/>
    </row>
    <row r="336" spans="1:36" ht="48" hidden="1" customHeight="1" outlineLevel="3">
      <c r="A336" s="936" t="s">
        <v>113</v>
      </c>
      <c r="B336" s="936"/>
      <c r="C336" s="332" t="s">
        <v>369</v>
      </c>
      <c r="D336" s="937" t="str">
        <f>IF($D$313="Regional differentiation",D324,"")</f>
        <v/>
      </c>
      <c r="E336" s="4"/>
      <c r="F336" s="4"/>
      <c r="G336" s="4"/>
      <c r="H336" s="4"/>
      <c r="I336" s="4"/>
      <c r="J336" s="557">
        <f>SUM(E336:I336)</f>
        <v>0</v>
      </c>
      <c r="K336" s="939" t="str">
        <f>IF(D336="","",IF(D336-J336-J337=0,"OK","Review financial exposure"))</f>
        <v/>
      </c>
      <c r="L336" s="562">
        <f t="shared" ref="L336:L342" si="222">IF(SUM(E336:I336)=0,0,(G336+H336+I336)/(SUM(E336:I336)))</f>
        <v>0</v>
      </c>
      <c r="M336" s="941"/>
      <c r="N336" s="563"/>
      <c r="O336" s="562" t="str">
        <f>IF($M$336="","",IF(D336=0,"",IF(L336&gt;=$Z336,L336,(L336+($Z336-L336)/($Y336-$I$313)*($M$336-$I$313)))))</f>
        <v/>
      </c>
      <c r="P336" s="338" t="str">
        <f>IF(N336="","",IF(N336-O336&gt;=0,"OK","Minimum ambition not met, please increase ambition"))</f>
        <v/>
      </c>
      <c r="Q336" s="906" t="str">
        <f>IFERROR(IF($M336="","",($N336*$J336+$N338*$J338+$N340*$J340+$N342*$J342)/SUMIF($C336:$C343,"Developed economies",$J336:$J343)),"")</f>
        <v/>
      </c>
      <c r="R336" s="905" t="str">
        <f>IFERROR(IF($M336="","",($N337*$J337+$N339*$J339+$N341*$J341+$N343*$J343)/SUMIF($C336:$C343,"Developing economies",$J336:$J343)),"")</f>
        <v/>
      </c>
      <c r="S336" s="944"/>
      <c r="T336" s="947"/>
      <c r="U336" s="897" t="str">
        <f>IF(S336="","",95%)</f>
        <v/>
      </c>
      <c r="V336" s="950" t="str">
        <f>IF(T336="","",IF(T336-U336&gt;=0,"OK","Minimum ambition not met, please increase ambition"))</f>
        <v/>
      </c>
      <c r="X336" s="113" t="s">
        <v>368</v>
      </c>
      <c r="Y336" s="113">
        <f t="shared" ref="Y336:Y343" si="223">_xlfn.XLOOKUP($X336,$AB$17:$AB$24,AE$17:AE$24,0,0)</f>
        <v>2035</v>
      </c>
      <c r="Z336" s="113">
        <f t="shared" ref="Z336:Z343" si="224">_xlfn.XLOOKUP($X336,$AB$17:$AB$24,AF$17:AF$24,0,0)</f>
        <v>0.95</v>
      </c>
      <c r="AI336" s="120" t="s">
        <v>423</v>
      </c>
      <c r="AJ336" s="120" t="s">
        <v>424</v>
      </c>
    </row>
    <row r="337" spans="1:27" ht="48" hidden="1" customHeight="1" outlineLevel="3">
      <c r="A337" s="936"/>
      <c r="B337" s="936"/>
      <c r="C337" s="332" t="s">
        <v>372</v>
      </c>
      <c r="D337" s="938"/>
      <c r="E337" s="334"/>
      <c r="F337" s="334"/>
      <c r="G337" s="334"/>
      <c r="H337" s="334"/>
      <c r="I337" s="334"/>
      <c r="J337" s="335">
        <f>SUM(E337:I337)</f>
        <v>0</v>
      </c>
      <c r="K337" s="940"/>
      <c r="L337" s="336">
        <f t="shared" si="222"/>
        <v>0</v>
      </c>
      <c r="M337" s="942"/>
      <c r="N337" s="337"/>
      <c r="O337" s="562" t="str">
        <f>IF($M$336="","",IF(D336=0,"",IF(L337&gt;=$Z337,L337,(L337+($Z337-L337)/($Y337-$I$313)*($M$336-$I$313)))))</f>
        <v/>
      </c>
      <c r="P337" s="338" t="str">
        <f t="shared" ref="P337:P343" si="225">IF(N337="","",IF(N337-O337&gt;=0,"OK","Minimum ambition not met, please increase ambition"))</f>
        <v/>
      </c>
      <c r="Q337" s="906"/>
      <c r="R337" s="906"/>
      <c r="S337" s="945"/>
      <c r="T337" s="948"/>
      <c r="U337" s="897"/>
      <c r="V337" s="951"/>
      <c r="X337" s="113" t="s">
        <v>371</v>
      </c>
      <c r="Y337" s="113">
        <f t="shared" si="223"/>
        <v>2035</v>
      </c>
      <c r="Z337" s="113">
        <f t="shared" si="224"/>
        <v>0.85</v>
      </c>
    </row>
    <row r="338" spans="1:27" ht="48" hidden="1" customHeight="1" outlineLevel="3">
      <c r="A338" s="936" t="s">
        <v>121</v>
      </c>
      <c r="B338" s="936"/>
      <c r="C338" s="332" t="s">
        <v>369</v>
      </c>
      <c r="D338" s="937" t="str">
        <f>IF($D$313="Regional differentiation",D325,"")</f>
        <v/>
      </c>
      <c r="E338" s="4"/>
      <c r="F338" s="4"/>
      <c r="G338" s="4"/>
      <c r="H338" s="4"/>
      <c r="I338" s="4"/>
      <c r="J338" s="557">
        <f t="shared" ref="J338:J343" si="226">SUM(E338:I338)</f>
        <v>0</v>
      </c>
      <c r="K338" s="939" t="str">
        <f>IF(D338="","",IF(D338-J338-J339=0,"OK","Review financial exposure"))</f>
        <v/>
      </c>
      <c r="L338" s="562">
        <f t="shared" si="222"/>
        <v>0</v>
      </c>
      <c r="M338" s="942"/>
      <c r="N338" s="563"/>
      <c r="O338" s="562" t="str">
        <f>IF($M$336="","",IF(D338=0,"",IF(L338&gt;=$Z338,L338,(L338+($Z338-L338)/($Y338-$I$313)*($M$336-$I$313)))))</f>
        <v/>
      </c>
      <c r="P338" s="338" t="str">
        <f t="shared" si="225"/>
        <v/>
      </c>
      <c r="Q338" s="906"/>
      <c r="R338" s="906"/>
      <c r="S338" s="945"/>
      <c r="T338" s="948"/>
      <c r="U338" s="897"/>
      <c r="V338" s="951"/>
      <c r="X338" s="113" t="s">
        <v>373</v>
      </c>
      <c r="Y338" s="113">
        <f t="shared" si="223"/>
        <v>2040</v>
      </c>
      <c r="Z338" s="113">
        <f t="shared" si="224"/>
        <v>0.95</v>
      </c>
    </row>
    <row r="339" spans="1:27" ht="48" hidden="1" customHeight="1" outlineLevel="3">
      <c r="A339" s="936"/>
      <c r="B339" s="936"/>
      <c r="C339" s="332" t="s">
        <v>372</v>
      </c>
      <c r="D339" s="938"/>
      <c r="E339" s="334"/>
      <c r="F339" s="334"/>
      <c r="G339" s="334"/>
      <c r="H339" s="334"/>
      <c r="I339" s="334"/>
      <c r="J339" s="335">
        <f t="shared" si="226"/>
        <v>0</v>
      </c>
      <c r="K339" s="940"/>
      <c r="L339" s="336">
        <f t="shared" si="222"/>
        <v>0</v>
      </c>
      <c r="M339" s="942"/>
      <c r="N339" s="337"/>
      <c r="O339" s="562" t="str">
        <f>IF($M$336="","",IF(D338=0,"",IF(L339&gt;=$Z339,L339,(L339+($Z339-L339)/($Y339-$I$313)*($M$336-$I$313)))))</f>
        <v/>
      </c>
      <c r="P339" s="338" t="str">
        <f t="shared" si="225"/>
        <v/>
      </c>
      <c r="Q339" s="906"/>
      <c r="R339" s="906"/>
      <c r="S339" s="945"/>
      <c r="T339" s="948"/>
      <c r="U339" s="897"/>
      <c r="V339" s="951"/>
      <c r="X339" s="113" t="s">
        <v>374</v>
      </c>
      <c r="Y339" s="113">
        <f t="shared" si="223"/>
        <v>2040</v>
      </c>
      <c r="Z339" s="113">
        <f t="shared" si="224"/>
        <v>0.85</v>
      </c>
    </row>
    <row r="340" spans="1:27" ht="48" hidden="1" customHeight="1" outlineLevel="3">
      <c r="A340" s="936" t="s">
        <v>130</v>
      </c>
      <c r="B340" s="936"/>
      <c r="C340" s="332" t="s">
        <v>369</v>
      </c>
      <c r="D340" s="937" t="str">
        <f>IF($D$313="Regional differentiation",D326,"")</f>
        <v/>
      </c>
      <c r="E340" s="4"/>
      <c r="F340" s="4"/>
      <c r="G340" s="4"/>
      <c r="H340" s="4"/>
      <c r="I340" s="4"/>
      <c r="J340" s="557">
        <f t="shared" si="226"/>
        <v>0</v>
      </c>
      <c r="K340" s="939" t="str">
        <f>IF(D340="","",IF(D340-J340-J341=0,"OK","Review financial exposure"))</f>
        <v/>
      </c>
      <c r="L340" s="562">
        <f t="shared" si="222"/>
        <v>0</v>
      </c>
      <c r="M340" s="942"/>
      <c r="N340" s="563"/>
      <c r="O340" s="562" t="str">
        <f>IF($M$336="","",IF(D340=0,"",IF(L340&gt;=$Z340,L340,(L340+($Z340-L340)/($Y340-$I$313)*($M$336-$I$313)))))</f>
        <v/>
      </c>
      <c r="P340" s="338" t="str">
        <f t="shared" si="225"/>
        <v/>
      </c>
      <c r="Q340" s="906" t="str">
        <f t="shared" ref="Q340" si="227">IF(M340="","",IF(AND(N340="",N341="",N342="",N343=""),SUMPRODUCT(J340:J343,O340:O343)/SUM(J340:J343),SUMPRODUCT(J340:J343,N340:N343)/SUM(J340:J343)))</f>
        <v/>
      </c>
      <c r="R340" s="906"/>
      <c r="S340" s="945"/>
      <c r="T340" s="948"/>
      <c r="U340" s="897"/>
      <c r="V340" s="951"/>
      <c r="X340" s="113" t="s">
        <v>376</v>
      </c>
      <c r="Y340" s="113">
        <f t="shared" si="223"/>
        <v>2040</v>
      </c>
      <c r="Z340" s="113">
        <f t="shared" si="224"/>
        <v>0.95</v>
      </c>
    </row>
    <row r="341" spans="1:27" ht="48" hidden="1" customHeight="1" outlineLevel="3">
      <c r="A341" s="936"/>
      <c r="B341" s="936"/>
      <c r="C341" s="332" t="s">
        <v>372</v>
      </c>
      <c r="D341" s="938"/>
      <c r="E341" s="334"/>
      <c r="F341" s="334"/>
      <c r="G341" s="334"/>
      <c r="H341" s="334"/>
      <c r="I341" s="334"/>
      <c r="J341" s="335">
        <f t="shared" si="226"/>
        <v>0</v>
      </c>
      <c r="K341" s="940"/>
      <c r="L341" s="336">
        <f t="shared" si="222"/>
        <v>0</v>
      </c>
      <c r="M341" s="942"/>
      <c r="N341" s="337"/>
      <c r="O341" s="562" t="str">
        <f>IF($M$336="","",IF(D340=0,"",IF(L341&gt;=$Z341,L341,(L341+($Z341-L341)/($Y341-$I$313)*($M$336-$I$313)))))</f>
        <v/>
      </c>
      <c r="P341" s="338" t="str">
        <f t="shared" si="225"/>
        <v/>
      </c>
      <c r="Q341" s="906"/>
      <c r="R341" s="906"/>
      <c r="S341" s="945"/>
      <c r="T341" s="948"/>
      <c r="U341" s="897"/>
      <c r="V341" s="951"/>
      <c r="X341" s="113" t="s">
        <v>377</v>
      </c>
      <c r="Y341" s="113">
        <f t="shared" si="223"/>
        <v>2040</v>
      </c>
      <c r="Z341" s="113">
        <f t="shared" si="224"/>
        <v>0.85</v>
      </c>
    </row>
    <row r="342" spans="1:27" ht="48" hidden="1" customHeight="1" outlineLevel="3">
      <c r="A342" s="936" t="s">
        <v>136</v>
      </c>
      <c r="B342" s="936"/>
      <c r="C342" s="332" t="s">
        <v>369</v>
      </c>
      <c r="D342" s="937" t="str">
        <f>IF($D$313="Regional differentiation",D327,"")</f>
        <v/>
      </c>
      <c r="E342" s="4"/>
      <c r="F342" s="4"/>
      <c r="G342" s="4"/>
      <c r="H342" s="4"/>
      <c r="I342" s="4"/>
      <c r="J342" s="557">
        <f t="shared" si="226"/>
        <v>0</v>
      </c>
      <c r="K342" s="939" t="str">
        <f>IF(D342="","",IF(D342-J342-J343=0,"OK","Review financial exposure"))</f>
        <v/>
      </c>
      <c r="L342" s="562">
        <f t="shared" si="222"/>
        <v>0</v>
      </c>
      <c r="M342" s="942"/>
      <c r="N342" s="563"/>
      <c r="O342" s="562" t="str">
        <f>IF($M$336="","",IF(D342=0,"",IF(L342&gt;=$Z342,L342,(L342+($Z342-L342)/($Y342-$I$313)*($M$336-$I$313)))))</f>
        <v/>
      </c>
      <c r="P342" s="338" t="str">
        <f t="shared" si="225"/>
        <v/>
      </c>
      <c r="Q342" s="906"/>
      <c r="R342" s="906"/>
      <c r="S342" s="945"/>
      <c r="T342" s="948"/>
      <c r="U342" s="897"/>
      <c r="V342" s="951"/>
      <c r="X342" s="113" t="s">
        <v>378</v>
      </c>
      <c r="Y342" s="113">
        <f t="shared" si="223"/>
        <v>2050</v>
      </c>
      <c r="Z342" s="113">
        <f t="shared" si="224"/>
        <v>0.95</v>
      </c>
    </row>
    <row r="343" spans="1:27" ht="48" hidden="1" customHeight="1" outlineLevel="3">
      <c r="A343" s="936"/>
      <c r="B343" s="953"/>
      <c r="C343" s="333" t="s">
        <v>372</v>
      </c>
      <c r="D343" s="938"/>
      <c r="E343" s="334"/>
      <c r="F343" s="334"/>
      <c r="G343" s="334"/>
      <c r="H343" s="334"/>
      <c r="I343" s="334"/>
      <c r="J343" s="335">
        <f t="shared" si="226"/>
        <v>0</v>
      </c>
      <c r="K343" s="940"/>
      <c r="L343" s="336">
        <f>IF(SUM(E343:I343)=0,0,(G343+H343+I343)/(SUM(E343:I343)))</f>
        <v>0</v>
      </c>
      <c r="M343" s="943"/>
      <c r="N343" s="337"/>
      <c r="O343" s="562" t="str">
        <f>IF($M$336="","",IF(D342=0,"",IF(L343&gt;=$Z343,L343,(L343+($Z343-L343)/($Y343-$I$313)*($M$336-$I$313)))))</f>
        <v/>
      </c>
      <c r="P343" s="338" t="str">
        <f t="shared" si="225"/>
        <v/>
      </c>
      <c r="Q343" s="907"/>
      <c r="R343" s="907"/>
      <c r="S343" s="946"/>
      <c r="T343" s="949"/>
      <c r="U343" s="897"/>
      <c r="V343" s="952"/>
      <c r="X343" s="113" t="s">
        <v>379</v>
      </c>
      <c r="Y343" s="113">
        <f t="shared" si="223"/>
        <v>2050</v>
      </c>
      <c r="Z343" s="113">
        <f t="shared" si="224"/>
        <v>0.85</v>
      </c>
    </row>
    <row r="344" spans="1:27" ht="15.75" hidden="1" customHeight="1" outlineLevel="1">
      <c r="A344" s="1"/>
      <c r="B344" s="1"/>
      <c r="C344" s="1"/>
      <c r="D344" s="1"/>
      <c r="E344" s="1"/>
      <c r="F344" s="1"/>
      <c r="G344" s="1"/>
      <c r="H344" s="1"/>
      <c r="I344" s="1"/>
      <c r="J344" s="1"/>
      <c r="K344" s="1"/>
      <c r="L344" s="1"/>
      <c r="M344" s="1"/>
      <c r="N344" s="1"/>
      <c r="O344" s="1"/>
      <c r="P344" s="1"/>
      <c r="Q344" s="1"/>
      <c r="R344" s="1"/>
      <c r="S344" s="1"/>
      <c r="T344" s="1"/>
      <c r="U344" s="1"/>
      <c r="V344" s="1"/>
      <c r="W344" s="1"/>
      <c r="X344" s="121"/>
      <c r="Y344" s="121"/>
      <c r="Z344" s="121"/>
      <c r="AA344" s="121"/>
    </row>
    <row r="345" spans="1:27" ht="15.75" hidden="1" customHeight="1" outlineLevel="1">
      <c r="A345" s="1"/>
      <c r="B345" s="1"/>
      <c r="C345" s="1"/>
      <c r="D345" s="1"/>
      <c r="E345" s="1"/>
      <c r="F345" s="1"/>
      <c r="G345" s="1"/>
      <c r="H345" s="1"/>
      <c r="I345" s="1"/>
      <c r="J345" s="1"/>
      <c r="K345" s="1"/>
      <c r="L345" s="1"/>
      <c r="M345" s="1"/>
      <c r="N345" s="1"/>
      <c r="O345" s="1"/>
      <c r="P345" s="1"/>
      <c r="Q345" s="1"/>
      <c r="R345" s="1"/>
      <c r="S345" s="1"/>
      <c r="T345" s="1"/>
      <c r="U345" s="1"/>
      <c r="V345" s="1"/>
      <c r="W345" s="1"/>
      <c r="X345" s="121"/>
      <c r="Y345" s="121"/>
      <c r="Z345" s="121"/>
      <c r="AA345" s="121"/>
    </row>
    <row r="346" spans="1:27" ht="15.75" hidden="1" customHeight="1" outlineLevel="1" collapsed="1">
      <c r="A346" s="852" t="s">
        <v>385</v>
      </c>
      <c r="B346" s="852"/>
      <c r="C346" s="852"/>
      <c r="D346" s="852"/>
      <c r="E346" s="852"/>
      <c r="F346" s="852"/>
      <c r="G346" s="852"/>
      <c r="H346" s="852"/>
      <c r="I346" s="852"/>
      <c r="J346" s="852"/>
      <c r="K346" s="852"/>
      <c r="L346" s="852"/>
      <c r="M346" s="852"/>
      <c r="N346" s="852"/>
      <c r="O346" s="852"/>
      <c r="P346" s="852"/>
      <c r="Q346" s="852"/>
      <c r="R346" s="852"/>
      <c r="S346" s="852"/>
      <c r="T346" s="852"/>
      <c r="U346" s="852"/>
      <c r="V346" s="852"/>
      <c r="W346" s="71"/>
      <c r="X346" s="112"/>
      <c r="Y346" s="112"/>
      <c r="Z346" s="112"/>
      <c r="AA346" s="112"/>
    </row>
    <row r="347" spans="1:27" ht="15.75" hidden="1" customHeight="1" outlineLevel="2">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14"/>
      <c r="Y347" s="114"/>
      <c r="Z347" s="114"/>
      <c r="AA347" s="114"/>
    </row>
    <row r="348" spans="1:27" ht="15.75" hidden="1" customHeight="1" outlineLevel="2" collapsed="1">
      <c r="A348" s="867" t="s">
        <v>356</v>
      </c>
      <c r="B348" s="867"/>
      <c r="C348" s="867"/>
      <c r="D348" s="556"/>
      <c r="E348" s="556"/>
      <c r="F348" s="556"/>
      <c r="G348" s="556"/>
      <c r="H348" s="556"/>
      <c r="I348" s="556"/>
      <c r="J348" s="556"/>
      <c r="K348" s="556"/>
      <c r="L348" s="556"/>
      <c r="M348" s="556"/>
      <c r="N348" s="556"/>
      <c r="O348" s="556"/>
      <c r="P348" s="556"/>
      <c r="Q348" s="556"/>
      <c r="R348" s="556"/>
      <c r="S348" s="556"/>
      <c r="T348" s="556"/>
      <c r="U348" s="556"/>
      <c r="V348" s="556"/>
      <c r="W348" s="19"/>
      <c r="X348" s="114"/>
      <c r="Y348" s="114"/>
      <c r="Z348" s="114"/>
      <c r="AA348" s="114"/>
    </row>
    <row r="349" spans="1:27" ht="6" hidden="1" customHeight="1" outlineLevel="3">
      <c r="B349" s="19"/>
      <c r="C349" s="19"/>
      <c r="D349" s="19"/>
      <c r="E349" s="19"/>
      <c r="F349" s="19"/>
      <c r="G349" s="19"/>
      <c r="H349" s="19"/>
      <c r="I349" s="19"/>
      <c r="J349" s="19"/>
      <c r="K349" s="19"/>
      <c r="L349" s="19"/>
      <c r="M349" s="19"/>
      <c r="N349" s="19"/>
      <c r="O349" s="19"/>
      <c r="P349" s="19"/>
      <c r="Q349" s="19"/>
      <c r="R349" s="19"/>
      <c r="S349" s="19"/>
      <c r="T349" s="19"/>
      <c r="U349" s="19"/>
      <c r="V349" s="19"/>
      <c r="W349" s="19"/>
      <c r="X349" s="114"/>
      <c r="Y349" s="114"/>
      <c r="Z349" s="114"/>
      <c r="AA349" s="114"/>
    </row>
    <row r="350" spans="1:27" s="122" customFormat="1" ht="20.25" hidden="1" customHeight="1" outlineLevel="3">
      <c r="A350" s="858" t="s">
        <v>386</v>
      </c>
      <c r="B350" s="858"/>
      <c r="C350" s="858"/>
      <c r="D350" s="858"/>
      <c r="E350" s="858"/>
      <c r="F350" s="858"/>
      <c r="G350" s="858"/>
      <c r="H350" s="858"/>
      <c r="I350" s="858"/>
      <c r="J350" s="858"/>
      <c r="K350" s="858"/>
      <c r="L350" s="858"/>
      <c r="M350" s="858"/>
      <c r="N350" s="858"/>
      <c r="O350" s="858"/>
      <c r="P350" s="858"/>
      <c r="Q350" s="858"/>
      <c r="R350" s="70"/>
      <c r="S350" s="70"/>
      <c r="T350" s="70"/>
      <c r="U350" s="70"/>
      <c r="V350" s="12"/>
      <c r="W350" s="12"/>
    </row>
    <row r="351" spans="1:27" ht="6" hidden="1" customHeight="1" outlineLevel="3">
      <c r="A351" s="1"/>
      <c r="B351" s="917"/>
      <c r="C351" s="917"/>
      <c r="D351" s="917"/>
      <c r="E351" s="917"/>
      <c r="F351" s="917"/>
      <c r="G351" s="917"/>
      <c r="H351" s="17"/>
      <c r="I351" s="17"/>
      <c r="J351" s="17"/>
      <c r="K351" s="17"/>
      <c r="L351" s="17"/>
      <c r="M351" s="17"/>
      <c r="N351" s="17"/>
      <c r="O351" s="17"/>
      <c r="P351" s="17"/>
      <c r="Q351" s="17"/>
      <c r="R351" s="17"/>
      <c r="S351" s="17"/>
      <c r="T351" s="17"/>
      <c r="U351" s="17"/>
      <c r="V351" s="17"/>
      <c r="W351" s="17"/>
      <c r="X351" s="110"/>
      <c r="Y351" s="110"/>
      <c r="Z351" s="110"/>
      <c r="AA351" s="110"/>
    </row>
    <row r="352" spans="1:27" ht="15.75" hidden="1" customHeight="1" outlineLevel="3">
      <c r="A352" s="918" t="s">
        <v>99</v>
      </c>
      <c r="B352" s="918" t="s">
        <v>387</v>
      </c>
      <c r="C352" s="934" t="s">
        <v>364</v>
      </c>
      <c r="D352" s="798" t="s">
        <v>818</v>
      </c>
      <c r="E352" s="885" t="s">
        <v>365</v>
      </c>
      <c r="F352" s="885"/>
      <c r="G352" s="885"/>
      <c r="H352" s="885"/>
      <c r="I352" s="885"/>
      <c r="J352" s="885"/>
      <c r="K352" s="885"/>
      <c r="L352" s="554"/>
      <c r="M352" s="798" t="s">
        <v>809</v>
      </c>
      <c r="N352" s="885" t="s">
        <v>366</v>
      </c>
      <c r="O352" s="885"/>
      <c r="P352" s="885"/>
      <c r="Q352" s="885"/>
      <c r="R352" s="37"/>
      <c r="S352" s="17"/>
      <c r="T352" s="17"/>
      <c r="U352" s="17"/>
      <c r="V352" s="17"/>
      <c r="W352" s="17"/>
      <c r="X352" s="110"/>
    </row>
    <row r="353" spans="1:30" ht="80.25" hidden="1" customHeight="1" outlineLevel="3">
      <c r="A353" s="918"/>
      <c r="B353" s="918"/>
      <c r="C353" s="934"/>
      <c r="D353" s="798"/>
      <c r="E353" s="36" t="s">
        <v>106</v>
      </c>
      <c r="F353" s="554" t="s">
        <v>101</v>
      </c>
      <c r="G353" s="554" t="s">
        <v>102</v>
      </c>
      <c r="H353" s="558" t="s">
        <v>103</v>
      </c>
      <c r="I353" s="558" t="s">
        <v>104</v>
      </c>
      <c r="J353" s="554" t="s">
        <v>105</v>
      </c>
      <c r="K353" s="798" t="s">
        <v>807</v>
      </c>
      <c r="L353" s="798" t="s">
        <v>808</v>
      </c>
      <c r="M353" s="798"/>
      <c r="N353" s="885" t="s">
        <v>810</v>
      </c>
      <c r="O353" s="885" t="s">
        <v>811</v>
      </c>
      <c r="P353" s="885" t="s">
        <v>821</v>
      </c>
      <c r="Q353" s="798" t="s">
        <v>813</v>
      </c>
      <c r="R353" s="13"/>
      <c r="S353" s="17"/>
      <c r="T353" s="66"/>
      <c r="U353" s="67"/>
      <c r="V353" s="1"/>
      <c r="W353" s="17"/>
      <c r="X353" s="110"/>
      <c r="Y353" s="110"/>
      <c r="Z353" s="110"/>
    </row>
    <row r="354" spans="1:30" ht="27" hidden="1" customHeight="1" outlineLevel="3">
      <c r="A354" s="919"/>
      <c r="B354" s="919"/>
      <c r="C354" s="935"/>
      <c r="D354" s="798"/>
      <c r="E354" s="40" t="s">
        <v>819</v>
      </c>
      <c r="F354" s="928" t="s">
        <v>829</v>
      </c>
      <c r="G354" s="929"/>
      <c r="H354" s="929"/>
      <c r="I354" s="929"/>
      <c r="J354" s="929"/>
      <c r="K354" s="798"/>
      <c r="L354" s="798"/>
      <c r="M354" s="798"/>
      <c r="N354" s="885"/>
      <c r="O354" s="885"/>
      <c r="P354" s="885"/>
      <c r="Q354" s="798"/>
      <c r="R354" s="13"/>
      <c r="U354" s="1"/>
      <c r="V354" s="1"/>
      <c r="W354" s="26"/>
      <c r="X354" s="121"/>
      <c r="Y354" s="121"/>
      <c r="Z354" s="121"/>
      <c r="AA354" s="110"/>
      <c r="AB354" s="110" t="s">
        <v>388</v>
      </c>
      <c r="AC354" s="110" t="s">
        <v>389</v>
      </c>
      <c r="AD354" s="110" t="s">
        <v>390</v>
      </c>
    </row>
    <row r="355" spans="1:30" ht="45" hidden="1" customHeight="1" outlineLevel="3">
      <c r="A355" s="339" t="s">
        <v>113</v>
      </c>
      <c r="B355" s="340" t="s">
        <v>391</v>
      </c>
      <c r="C355" s="927" t="s">
        <v>356</v>
      </c>
      <c r="D355" s="333" t="str">
        <f>IF(SUMIF('AMI Segmentation'!$AK$89:$AK$238,'Climate-Alignment Target'!AD355,'AMI Segmentation'!$AL$89:$AL$238)&gt;0,"Climate-alignment target",IF(SUMIF('AMI Segmentation'!$AK$89:$AK$238,'Climate-Alignment Target'!AD355,'AMI Segmentation'!$AM$89:$AM$238)&gt;0,"Sector target","No target type selected"))</f>
        <v>No target type selected</v>
      </c>
      <c r="E355" s="557" cm="1">
        <f t="array" ref="E355">SUMPRODUCT(('AMI Segmentation'!$M$89:$M$238=TRUE)*($AD355='AMI Segmentation'!$AK$89:$AK$238)*('Climate-Alignment Target'!E$353='AMI Segmentation'!$Q$88:$V$88)*('AMI Segmentation'!$Q$89:$V$238))</f>
        <v>0</v>
      </c>
      <c r="F355" s="557" t="str" cm="1">
        <f t="array" ref="F355">IF($D355="Climate-alignment target",SUMPRODUCT(('AMI Segmentation'!$M$89:$M$238=TRUE)*($AD355='AMI Segmentation'!$AK$89:$AK$238)*('Climate-Alignment Target'!F$353='AMI Segmentation'!$Q$88:$V$88)*('AMI Segmentation'!$Q$89:$V$238)),"")</f>
        <v/>
      </c>
      <c r="G355" s="557" t="str" cm="1">
        <f t="array" ref="G355">IF($D355="Climate-alignment target",SUMPRODUCT(('AMI Segmentation'!$M$89:$M$238=TRUE)*($AD355='AMI Segmentation'!$AK$89:$AK$238)*('Climate-Alignment Target'!G$353='AMI Segmentation'!$Q$88:$V$88)*('AMI Segmentation'!$Q$89:$V$238)),"")</f>
        <v/>
      </c>
      <c r="H355" s="557" t="str" cm="1">
        <f t="array" ref="H355">IF($D355="Climate-alignment target",SUMPRODUCT(('AMI Segmentation'!$M$89:$M$238=TRUE)*($AD355='AMI Segmentation'!$AK$89:$AK$238)*('Climate-Alignment Target'!H$353='AMI Segmentation'!$Q$88:$V$88)*('AMI Segmentation'!$Q$89:$V$238)),"")</f>
        <v/>
      </c>
      <c r="I355" s="557" t="str" cm="1">
        <f t="array" ref="I355">IF($D355="Climate-alignment target",SUMPRODUCT(('AMI Segmentation'!$M$89:$M$238=TRUE)*($AD355='AMI Segmentation'!$AK$89:$AK$238)*('Climate-Alignment Target'!I$353='AMI Segmentation'!$Q$88:$V$88)*('AMI Segmentation'!$Q$89:$V$238)),"")</f>
        <v/>
      </c>
      <c r="J355" s="557" t="str" cm="1">
        <f t="array" ref="J355">IF($D355="Climate-alignment target",SUMPRODUCT(('AMI Segmentation'!$M$89:$M$238=TRUE)*($AD355='AMI Segmentation'!$AK$89:$AK$238)*('Climate-Alignment Target'!J$353='AMI Segmentation'!$Q$88:$V$88)*('AMI Segmentation'!$Q$89:$V$238)),"")</f>
        <v/>
      </c>
      <c r="K355" s="557" t="str">
        <f>IF(D355&lt;&gt;"Climate-alignment target","",SUM(F355:J355))</f>
        <v/>
      </c>
      <c r="L355" s="557" t="str">
        <f>IF(AND(E355=K355,D355="Climate-alignment target"),"OK",IF(D355="Sector target","OK - covered by sector target",IF(AND(E355=0,D355="No target type selected"),"","Select a target type")))</f>
        <v/>
      </c>
      <c r="M355" s="562">
        <f t="shared" ref="M355:M372" si="228">IF(SUM(F355:J355)=0,0,SUM(H355:J355)/(SUM(F355:J355)))</f>
        <v>0</v>
      </c>
      <c r="N355" s="915"/>
      <c r="O355" s="563"/>
      <c r="P355" s="562" t="str">
        <f>IF(AND($D355="Climate-alignment target",$N$355&lt;&gt;""),IF(M355&gt;$Z355,M355,(M355+($Z355-M355)/($Y355-$I$313)*($N$355-$I$313))),"")</f>
        <v/>
      </c>
      <c r="Q355" s="560" t="str">
        <f>IF(O355="","",IF(O355-P355&gt;=0,"OK","Minimum ambition not met, please increase ambition"))</f>
        <v/>
      </c>
      <c r="R355" s="16"/>
      <c r="U355" s="1"/>
      <c r="V355" s="1"/>
      <c r="W355" s="26"/>
      <c r="X355" s="113" t="s">
        <v>368</v>
      </c>
      <c r="Y355" s="113">
        <f>_xlfn.XLOOKUP($X355,$AB$17:$AB$24,AE$17:AE$24,0,0)</f>
        <v>2035</v>
      </c>
      <c r="Z355" s="113">
        <f>_xlfn.XLOOKUP($X355,$AB$17:$AB$24,AF$17:AF$24,0,0)</f>
        <v>0.95</v>
      </c>
      <c r="AA355" s="121"/>
      <c r="AB355" s="121" t="str">
        <f>IF($D355&lt;&gt;"Climate-alignment target","",O355*K355)</f>
        <v/>
      </c>
      <c r="AC355" s="121" t="str">
        <f>IF($D355&lt;&gt;"Climate-alignment target","",K355)</f>
        <v/>
      </c>
      <c r="AD355" s="107" t="s">
        <v>171</v>
      </c>
    </row>
    <row r="356" spans="1:30" ht="45" hidden="1" customHeight="1" outlineLevel="3">
      <c r="A356" s="339" t="s">
        <v>113</v>
      </c>
      <c r="B356" s="340" t="s">
        <v>392</v>
      </c>
      <c r="C356" s="927"/>
      <c r="D356" s="333" t="str">
        <f>IF(SUMIF('AMI Segmentation'!$AK$89:$AK$238,'Climate-Alignment Target'!AD356,'AMI Segmentation'!$AL$89:$AL$238)&gt;0,"Climate-alignment target",IF(SUMIF('AMI Segmentation'!$AK$89:$AK$238,'Climate-Alignment Target'!AD356,'AMI Segmentation'!$AM$89:$AM$238)&gt;0,"Sector target","No target type selected"))</f>
        <v>No target type selected</v>
      </c>
      <c r="E356" s="557" cm="1">
        <f t="array" ref="E356">SUMPRODUCT(('AMI Segmentation'!$M$89:$M$238=TRUE)*($AD356='AMI Segmentation'!$AK$89:$AK$238)*('Climate-Alignment Target'!E$353='AMI Segmentation'!$Q$88:$V$88)*('AMI Segmentation'!$Q$89:$V$238))</f>
        <v>0</v>
      </c>
      <c r="F356" s="557" t="str" cm="1">
        <f t="array" ref="F356">IF($D356="Climate-alignment target",SUMPRODUCT(('AMI Segmentation'!$M$89:$M$238=TRUE)*($AD356='AMI Segmentation'!$AK$89:$AK$238)*('Climate-Alignment Target'!F$353='AMI Segmentation'!$Q$88:$V$88)*('AMI Segmentation'!$Q$89:$V$238)),"")</f>
        <v/>
      </c>
      <c r="G356" s="557" t="str" cm="1">
        <f t="array" ref="G356">IF($D356="Climate-alignment target",SUMPRODUCT(('AMI Segmentation'!$M$89:$M$238=TRUE)*($AD356='AMI Segmentation'!$AK$89:$AK$238)*('Climate-Alignment Target'!G$353='AMI Segmentation'!$Q$88:$V$88)*('AMI Segmentation'!$Q$89:$V$238)),"")</f>
        <v/>
      </c>
      <c r="H356" s="557" t="str" cm="1">
        <f t="array" ref="H356">IF($D356="Climate-alignment target",SUMPRODUCT(('AMI Segmentation'!$M$89:$M$238=TRUE)*($AD356='AMI Segmentation'!$AK$89:$AK$238)*('Climate-Alignment Target'!H$353='AMI Segmentation'!$Q$88:$V$88)*('AMI Segmentation'!$Q$89:$V$238)),"")</f>
        <v/>
      </c>
      <c r="I356" s="557" t="str" cm="1">
        <f t="array" ref="I356">IF($D356="Climate-alignment target",SUMPRODUCT(('AMI Segmentation'!$M$89:$M$238=TRUE)*($AD356='AMI Segmentation'!$AK$89:$AK$238)*('Climate-Alignment Target'!I$353='AMI Segmentation'!$Q$88:$V$88)*('AMI Segmentation'!$Q$89:$V$238)),"")</f>
        <v/>
      </c>
      <c r="J356" s="557" t="str" cm="1">
        <f t="array" ref="J356">IF($D356="Climate-alignment target",SUMPRODUCT(('AMI Segmentation'!$M$89:$M$238=TRUE)*($AD356='AMI Segmentation'!$AK$89:$AK$238)*('Climate-Alignment Target'!J$353='AMI Segmentation'!$Q$88:$V$88)*('AMI Segmentation'!$Q$89:$V$238)),"")</f>
        <v/>
      </c>
      <c r="K356" s="557" t="str">
        <f>IF(D356&lt;&gt;"Climate-alignment target","",SUM(F356:J356))</f>
        <v/>
      </c>
      <c r="L356" s="557" t="str">
        <f t="shared" ref="L356:L377" si="229">IF(AND(E356=K356,D356="Climate-alignment target"),"OK",IF(D356="Sector target","OK - covered by sector target",IF(AND(E356=0,D356="No target type selected"),"","Select a target type")))</f>
        <v/>
      </c>
      <c r="M356" s="562">
        <f t="shared" si="228"/>
        <v>0</v>
      </c>
      <c r="N356" s="915"/>
      <c r="O356" s="563"/>
      <c r="P356" s="562" t="str">
        <f t="shared" ref="P356:P377" si="230">IF(AND($D356="Climate-alignment target",$N$355&lt;&gt;""),IF(M356&gt;$Z356,M356,(M356+($Z356-M356)/($Y356-$I$313)*($N$355-$I$313))),"")</f>
        <v/>
      </c>
      <c r="Q356" s="560" t="str">
        <f t="shared" ref="Q356:Q377" si="231">IF(O356="","",IF(O356-P356&gt;=0,"OK","Minimum ambition not met, please increase ambition"))</f>
        <v/>
      </c>
      <c r="R356" s="16"/>
      <c r="U356" s="1"/>
      <c r="V356" s="1"/>
      <c r="W356" s="26"/>
      <c r="X356" s="113" t="s">
        <v>368</v>
      </c>
      <c r="Y356" s="113">
        <f t="shared" ref="Y356:Y377" si="232">_xlfn.XLOOKUP($X356,$AB$17:$AB$24,AE$17:AE$24,0,0)</f>
        <v>2035</v>
      </c>
      <c r="Z356" s="113">
        <f t="shared" ref="Z356:Z377" si="233">_xlfn.XLOOKUP($X356,$AB$17:$AB$24,AF$17:AF$24,0,0)</f>
        <v>0.95</v>
      </c>
      <c r="AA356" s="121"/>
      <c r="AB356" s="121" t="str">
        <f t="shared" ref="AB356:AB377" si="234">IF($D356&lt;&gt;"Climate-alignment target","",O356*K356)</f>
        <v/>
      </c>
      <c r="AC356" s="121" t="str">
        <f t="shared" ref="AC356:AC377" si="235">IF($D356&lt;&gt;"Climate-alignment target","",K356)</f>
        <v/>
      </c>
      <c r="AD356" s="107" t="s">
        <v>172</v>
      </c>
    </row>
    <row r="357" spans="1:30" ht="45" hidden="1" customHeight="1" outlineLevel="3">
      <c r="A357" s="339" t="s">
        <v>121</v>
      </c>
      <c r="B357" s="340" t="s">
        <v>120</v>
      </c>
      <c r="C357" s="927"/>
      <c r="D357" s="333" t="str">
        <f>IF(SUMIF('AMI Segmentation'!$AK$89:$AK$238,'Climate-Alignment Target'!AD357,'AMI Segmentation'!$AL$89:$AL$238)&gt;0,"Climate-alignment target",IF(SUMIF('AMI Segmentation'!$AK$89:$AK$238,'Climate-Alignment Target'!AD357,'AMI Segmentation'!$AM$89:$AM$238)&gt;0,"Sector target","No target type selected"))</f>
        <v>No target type selected</v>
      </c>
      <c r="E357" s="557" cm="1">
        <f t="array" ref="E357">SUMPRODUCT(('AMI Segmentation'!$M$89:$M$238=TRUE)*($AD357='AMI Segmentation'!$AK$89:$AK$238)*('Climate-Alignment Target'!E$353='AMI Segmentation'!$Q$88:$V$88)*('AMI Segmentation'!$Q$89:$V$238))</f>
        <v>0</v>
      </c>
      <c r="F357" s="557" t="str" cm="1">
        <f t="array" ref="F357">IF($D357="Climate-alignment target",SUMPRODUCT(('AMI Segmentation'!$M$89:$M$238=TRUE)*($AD357='AMI Segmentation'!$AK$89:$AK$238)*('Climate-Alignment Target'!F$353='AMI Segmentation'!$Q$88:$V$88)*('AMI Segmentation'!$Q$89:$V$238)),"")</f>
        <v/>
      </c>
      <c r="G357" s="557" t="str" cm="1">
        <f t="array" ref="G357">IF($D357="Climate-alignment target",SUMPRODUCT(('AMI Segmentation'!$M$89:$M$238=TRUE)*($AD357='AMI Segmentation'!$AK$89:$AK$238)*('Climate-Alignment Target'!G$353='AMI Segmentation'!$Q$88:$V$88)*('AMI Segmentation'!$Q$89:$V$238)),"")</f>
        <v/>
      </c>
      <c r="H357" s="557" t="str" cm="1">
        <f t="array" ref="H357">IF($D357="Climate-alignment target",SUMPRODUCT(('AMI Segmentation'!$M$89:$M$238=TRUE)*($AD357='AMI Segmentation'!$AK$89:$AK$238)*('Climate-Alignment Target'!H$353='AMI Segmentation'!$Q$88:$V$88)*('AMI Segmentation'!$Q$89:$V$238)),"")</f>
        <v/>
      </c>
      <c r="I357" s="557" t="str" cm="1">
        <f t="array" ref="I357">IF($D357="Climate-alignment target",SUMPRODUCT(('AMI Segmentation'!$M$89:$M$238=TRUE)*($AD357='AMI Segmentation'!$AK$89:$AK$238)*('Climate-Alignment Target'!I$353='AMI Segmentation'!$Q$88:$V$88)*('AMI Segmentation'!$Q$89:$V$238)),"")</f>
        <v/>
      </c>
      <c r="J357" s="557" t="str" cm="1">
        <f t="array" ref="J357">IF($D357="Climate-alignment target",SUMPRODUCT(('AMI Segmentation'!$M$89:$M$238=TRUE)*($AD357='AMI Segmentation'!$AK$89:$AK$238)*('Climate-Alignment Target'!J$353='AMI Segmentation'!$Q$88:$V$88)*('AMI Segmentation'!$Q$89:$V$238)),"")</f>
        <v/>
      </c>
      <c r="K357" s="557" t="str">
        <f t="shared" ref="K357:K377" si="236">IF(D357&lt;&gt;"Climate-alignment target","",SUM(F357:J357))</f>
        <v/>
      </c>
      <c r="L357" s="557" t="str">
        <f t="shared" si="229"/>
        <v/>
      </c>
      <c r="M357" s="562">
        <f t="shared" si="228"/>
        <v>0</v>
      </c>
      <c r="N357" s="915"/>
      <c r="O357" s="563"/>
      <c r="P357" s="562" t="str">
        <f t="shared" si="230"/>
        <v/>
      </c>
      <c r="Q357" s="560" t="str">
        <f>IF(O357="","",IF(O357-P357&gt;=0,"OK","Minimum ambition not met, please increase ambition"))</f>
        <v/>
      </c>
      <c r="R357" s="16"/>
      <c r="U357" s="1"/>
      <c r="V357" s="1"/>
      <c r="W357" s="26"/>
      <c r="X357" s="113" t="s">
        <v>373</v>
      </c>
      <c r="Y357" s="113">
        <f t="shared" si="232"/>
        <v>2040</v>
      </c>
      <c r="Z357" s="113">
        <f t="shared" si="233"/>
        <v>0.95</v>
      </c>
      <c r="AA357" s="121"/>
      <c r="AB357" s="121" t="str">
        <f t="shared" si="234"/>
        <v/>
      </c>
      <c r="AC357" s="121" t="str">
        <f t="shared" si="235"/>
        <v/>
      </c>
      <c r="AD357" s="107" t="s">
        <v>173</v>
      </c>
    </row>
    <row r="358" spans="1:30" ht="45" hidden="1" customHeight="1" outlineLevel="3">
      <c r="A358" s="340" t="s">
        <v>121</v>
      </c>
      <c r="B358" s="340" t="s">
        <v>393</v>
      </c>
      <c r="C358" s="927"/>
      <c r="D358" s="333" t="str">
        <f>IF(SUMIF('AMI Segmentation'!$AK$89:$AK$238,'Climate-Alignment Target'!AD358,'AMI Segmentation'!$AL$89:$AL$238)&gt;0,"Climate-alignment target",IF(SUMIF('AMI Segmentation'!$AK$89:$AK$238,'Climate-Alignment Target'!AD358,'AMI Segmentation'!$AM$89:$AM$238)&gt;0,"Sector target","No target type selected"))</f>
        <v>No target type selected</v>
      </c>
      <c r="E358" s="557" cm="1">
        <f t="array" ref="E358">SUMPRODUCT(('AMI Segmentation'!$M$89:$M$238=TRUE)*($AD358='AMI Segmentation'!$AK$89:$AK$238)*('Climate-Alignment Target'!E$353='AMI Segmentation'!$Q$88:$V$88)*('AMI Segmentation'!$Q$89:$V$238))</f>
        <v>0</v>
      </c>
      <c r="F358" s="557" t="str" cm="1">
        <f t="array" ref="F358">IF($D358="Climate-alignment target",SUMPRODUCT(('AMI Segmentation'!$M$89:$M$238=TRUE)*($AD358='AMI Segmentation'!$AK$89:$AK$238)*('Climate-Alignment Target'!F$353='AMI Segmentation'!$Q$88:$V$88)*('AMI Segmentation'!$Q$89:$V$238)),"")</f>
        <v/>
      </c>
      <c r="G358" s="557" t="str" cm="1">
        <f t="array" ref="G358">IF($D358="Climate-alignment target",SUMPRODUCT(('AMI Segmentation'!$M$89:$M$238=TRUE)*($AD358='AMI Segmentation'!$AK$89:$AK$238)*('Climate-Alignment Target'!G$353='AMI Segmentation'!$Q$88:$V$88)*('AMI Segmentation'!$Q$89:$V$238)),"")</f>
        <v/>
      </c>
      <c r="H358" s="557" t="str" cm="1">
        <f t="array" ref="H358">IF($D358="Climate-alignment target",SUMPRODUCT(('AMI Segmentation'!$M$89:$M$238=TRUE)*($AD358='AMI Segmentation'!$AK$89:$AK$238)*('Climate-Alignment Target'!H$353='AMI Segmentation'!$Q$88:$V$88)*('AMI Segmentation'!$Q$89:$V$238)),"")</f>
        <v/>
      </c>
      <c r="I358" s="557" t="str" cm="1">
        <f t="array" ref="I358">IF($D358="Climate-alignment target",SUMPRODUCT(('AMI Segmentation'!$M$89:$M$238=TRUE)*($AD358='AMI Segmentation'!$AK$89:$AK$238)*('Climate-Alignment Target'!I$353='AMI Segmentation'!$Q$88:$V$88)*('AMI Segmentation'!$Q$89:$V$238)),"")</f>
        <v/>
      </c>
      <c r="J358" s="557" t="str" cm="1">
        <f t="array" ref="J358">IF($D358="Climate-alignment target",SUMPRODUCT(('AMI Segmentation'!$M$89:$M$238=TRUE)*($AD358='AMI Segmentation'!$AK$89:$AK$238)*('Climate-Alignment Target'!J$353='AMI Segmentation'!$Q$88:$V$88)*('AMI Segmentation'!$Q$89:$V$238)),"")</f>
        <v/>
      </c>
      <c r="K358" s="557" t="str">
        <f t="shared" si="236"/>
        <v/>
      </c>
      <c r="L358" s="557" t="str">
        <f t="shared" si="229"/>
        <v/>
      </c>
      <c r="M358" s="562">
        <f t="shared" si="228"/>
        <v>0</v>
      </c>
      <c r="N358" s="915"/>
      <c r="O358" s="563"/>
      <c r="P358" s="562" t="str">
        <f t="shared" si="230"/>
        <v/>
      </c>
      <c r="Q358" s="560" t="str">
        <f t="shared" si="231"/>
        <v/>
      </c>
      <c r="R358" s="16"/>
      <c r="U358" s="1"/>
      <c r="V358" s="1"/>
      <c r="W358" s="26"/>
      <c r="X358" s="113" t="s">
        <v>373</v>
      </c>
      <c r="Y358" s="113">
        <f t="shared" si="232"/>
        <v>2040</v>
      </c>
      <c r="Z358" s="113">
        <f t="shared" si="233"/>
        <v>0.95</v>
      </c>
      <c r="AA358" s="121"/>
      <c r="AB358" s="121" t="str">
        <f t="shared" si="234"/>
        <v/>
      </c>
      <c r="AC358" s="121" t="str">
        <f t="shared" si="235"/>
        <v/>
      </c>
      <c r="AD358" s="107" t="s">
        <v>178</v>
      </c>
    </row>
    <row r="359" spans="1:30" ht="45" hidden="1" customHeight="1" outlineLevel="3">
      <c r="A359" s="340" t="s">
        <v>136</v>
      </c>
      <c r="B359" s="340" t="s">
        <v>393</v>
      </c>
      <c r="C359" s="927"/>
      <c r="D359" s="333" t="str">
        <f>IF(SUMIF('AMI Segmentation'!$AK$89:$AK$238,'Climate-Alignment Target'!AD359,'AMI Segmentation'!$AL$89:$AL$238)&gt;0,"Climate-alignment target",IF(SUMIF('AMI Segmentation'!$AK$89:$AK$238,'Climate-Alignment Target'!AD359,'AMI Segmentation'!$AM$89:$AM$238)&gt;0,"Sector target","No target type selected"))</f>
        <v>No target type selected</v>
      </c>
      <c r="E359" s="557" cm="1">
        <f t="array" ref="E359">SUMPRODUCT(('AMI Segmentation'!$M$89:$M$238=TRUE)*($AD359='AMI Segmentation'!$AK$89:$AK$238)*('Climate-Alignment Target'!E$353='AMI Segmentation'!$Q$88:$V$88)*('AMI Segmentation'!$Q$89:$V$238))</f>
        <v>0</v>
      </c>
      <c r="F359" s="557" t="str" cm="1">
        <f t="array" ref="F359">IF($D359="Climate-alignment target",SUMPRODUCT(('AMI Segmentation'!$M$89:$M$238=TRUE)*($AD359='AMI Segmentation'!$AK$89:$AK$238)*('Climate-Alignment Target'!F$353='AMI Segmentation'!$Q$88:$V$88)*('AMI Segmentation'!$Q$89:$V$238)),"")</f>
        <v/>
      </c>
      <c r="G359" s="557" t="str" cm="1">
        <f t="array" ref="G359">IF($D359="Climate-alignment target",SUMPRODUCT(('AMI Segmentation'!$M$89:$M$238=TRUE)*($AD359='AMI Segmentation'!$AK$89:$AK$238)*('Climate-Alignment Target'!G$353='AMI Segmentation'!$Q$88:$V$88)*('AMI Segmentation'!$Q$89:$V$238)),"")</f>
        <v/>
      </c>
      <c r="H359" s="557" t="str" cm="1">
        <f t="array" ref="H359">IF($D359="Climate-alignment target",SUMPRODUCT(('AMI Segmentation'!$M$89:$M$238=TRUE)*($AD359='AMI Segmentation'!$AK$89:$AK$238)*('Climate-Alignment Target'!H$353='AMI Segmentation'!$Q$88:$V$88)*('AMI Segmentation'!$Q$89:$V$238)),"")</f>
        <v/>
      </c>
      <c r="I359" s="557" t="str" cm="1">
        <f t="array" ref="I359">IF($D359="Climate-alignment target",SUMPRODUCT(('AMI Segmentation'!$M$89:$M$238=TRUE)*($AD359='AMI Segmentation'!$AK$89:$AK$238)*('Climate-Alignment Target'!I$353='AMI Segmentation'!$Q$88:$V$88)*('AMI Segmentation'!$Q$89:$V$238)),"")</f>
        <v/>
      </c>
      <c r="J359" s="557" t="str" cm="1">
        <f t="array" ref="J359">IF($D359="Climate-alignment target",SUMPRODUCT(('AMI Segmentation'!$M$89:$M$238=TRUE)*($AD359='AMI Segmentation'!$AK$89:$AK$238)*('Climate-Alignment Target'!J$353='AMI Segmentation'!$Q$88:$V$88)*('AMI Segmentation'!$Q$89:$V$238)),"")</f>
        <v/>
      </c>
      <c r="K359" s="557" t="str">
        <f t="shared" si="236"/>
        <v/>
      </c>
      <c r="L359" s="557" t="str">
        <f t="shared" si="229"/>
        <v/>
      </c>
      <c r="M359" s="562">
        <f t="shared" si="228"/>
        <v>0</v>
      </c>
      <c r="N359" s="915"/>
      <c r="O359" s="563"/>
      <c r="P359" s="562" t="str">
        <f t="shared" si="230"/>
        <v/>
      </c>
      <c r="Q359" s="560" t="str">
        <f t="shared" si="231"/>
        <v/>
      </c>
      <c r="R359" s="16"/>
      <c r="U359" s="1"/>
      <c r="V359" s="1"/>
      <c r="W359" s="26"/>
      <c r="X359" s="113" t="s">
        <v>378</v>
      </c>
      <c r="Y359" s="113">
        <f t="shared" si="232"/>
        <v>2050</v>
      </c>
      <c r="Z359" s="113">
        <f t="shared" si="233"/>
        <v>0.95</v>
      </c>
      <c r="AA359" s="121"/>
      <c r="AB359" s="121" t="str">
        <f t="shared" si="234"/>
        <v/>
      </c>
      <c r="AC359" s="121" t="str">
        <f t="shared" si="235"/>
        <v/>
      </c>
      <c r="AD359" s="107" t="s">
        <v>216</v>
      </c>
    </row>
    <row r="360" spans="1:30" ht="45" hidden="1" customHeight="1" outlineLevel="3">
      <c r="A360" s="340" t="s">
        <v>121</v>
      </c>
      <c r="B360" s="340" t="s">
        <v>394</v>
      </c>
      <c r="C360" s="927"/>
      <c r="D360" s="333" t="str">
        <f>IF(SUMIF('AMI Segmentation'!$AK$89:$AK$238,'Climate-Alignment Target'!AD360,'AMI Segmentation'!$AL$89:$AL$238)&gt;0,"Climate-alignment target",IF(SUMIF('AMI Segmentation'!$AK$89:$AK$238,'Climate-Alignment Target'!AD360,'AMI Segmentation'!$AM$89:$AM$238)&gt;0,"Sector target","No target type selected"))</f>
        <v>No target type selected</v>
      </c>
      <c r="E360" s="557" cm="1">
        <f t="array" ref="E360">SUMPRODUCT(('AMI Segmentation'!$M$89:$M$238=TRUE)*($AD360='AMI Segmentation'!$AK$89:$AK$238)*('Climate-Alignment Target'!E$353='AMI Segmentation'!$Q$88:$V$88)*('AMI Segmentation'!$Q$89:$V$238))</f>
        <v>0</v>
      </c>
      <c r="F360" s="557" t="str" cm="1">
        <f t="array" ref="F360">IF($D360="Climate-alignment target",SUMPRODUCT(('AMI Segmentation'!$M$89:$M$238=TRUE)*($AD360='AMI Segmentation'!$AK$89:$AK$238)*('Climate-Alignment Target'!F$353='AMI Segmentation'!$Q$88:$V$88)*('AMI Segmentation'!$Q$89:$V$238)),"")</f>
        <v/>
      </c>
      <c r="G360" s="557" t="str" cm="1">
        <f t="array" ref="G360">IF($D360="Climate-alignment target",SUMPRODUCT(('AMI Segmentation'!$M$89:$M$238=TRUE)*($AD360='AMI Segmentation'!$AK$89:$AK$238)*('Climate-Alignment Target'!G$353='AMI Segmentation'!$Q$88:$V$88)*('AMI Segmentation'!$Q$89:$V$238)),"")</f>
        <v/>
      </c>
      <c r="H360" s="557" t="str" cm="1">
        <f t="array" ref="H360">IF($D360="Climate-alignment target",SUMPRODUCT(('AMI Segmentation'!$M$89:$M$238=TRUE)*($AD360='AMI Segmentation'!$AK$89:$AK$238)*('Climate-Alignment Target'!H$353='AMI Segmentation'!$Q$88:$V$88)*('AMI Segmentation'!$Q$89:$V$238)),"")</f>
        <v/>
      </c>
      <c r="I360" s="557" t="str" cm="1">
        <f t="array" ref="I360">IF($D360="Climate-alignment target",SUMPRODUCT(('AMI Segmentation'!$M$89:$M$238=TRUE)*($AD360='AMI Segmentation'!$AK$89:$AK$238)*('Climate-Alignment Target'!I$353='AMI Segmentation'!$Q$88:$V$88)*('AMI Segmentation'!$Q$89:$V$238)),"")</f>
        <v/>
      </c>
      <c r="J360" s="557" t="str" cm="1">
        <f t="array" ref="J360">IF($D360="Climate-alignment target",SUMPRODUCT(('AMI Segmentation'!$M$89:$M$238=TRUE)*($AD360='AMI Segmentation'!$AK$89:$AK$238)*('Climate-Alignment Target'!J$353='AMI Segmentation'!$Q$88:$V$88)*('AMI Segmentation'!$Q$89:$V$238)),"")</f>
        <v/>
      </c>
      <c r="K360" s="557" t="str">
        <f t="shared" si="236"/>
        <v/>
      </c>
      <c r="L360" s="557" t="str">
        <f t="shared" si="229"/>
        <v/>
      </c>
      <c r="M360" s="562">
        <f t="shared" si="228"/>
        <v>0</v>
      </c>
      <c r="N360" s="915"/>
      <c r="O360" s="563"/>
      <c r="P360" s="562" t="str">
        <f t="shared" si="230"/>
        <v/>
      </c>
      <c r="Q360" s="560" t="str">
        <f t="shared" si="231"/>
        <v/>
      </c>
      <c r="R360" s="16"/>
      <c r="U360" s="1"/>
      <c r="V360" s="1"/>
      <c r="W360" s="26"/>
      <c r="X360" s="113" t="s">
        <v>373</v>
      </c>
      <c r="Y360" s="113">
        <f t="shared" si="232"/>
        <v>2040</v>
      </c>
      <c r="Z360" s="113">
        <f t="shared" si="233"/>
        <v>0.95</v>
      </c>
      <c r="AA360" s="121"/>
      <c r="AB360" s="121" t="str">
        <f t="shared" si="234"/>
        <v/>
      </c>
      <c r="AC360" s="121" t="str">
        <f t="shared" si="235"/>
        <v/>
      </c>
      <c r="AD360" s="107" t="s">
        <v>182</v>
      </c>
    </row>
    <row r="361" spans="1:30" ht="45" hidden="1" customHeight="1" outlineLevel="3">
      <c r="A361" s="340" t="s">
        <v>136</v>
      </c>
      <c r="B361" s="340" t="s">
        <v>394</v>
      </c>
      <c r="C361" s="927"/>
      <c r="D361" s="333" t="str">
        <f>IF(SUMIF('AMI Segmentation'!$AK$89:$AK$238,'Climate-Alignment Target'!AD361,'AMI Segmentation'!$AL$89:$AL$238)&gt;0,"Climate-alignment target",IF(SUMIF('AMI Segmentation'!$AK$89:$AK$238,'Climate-Alignment Target'!AD361,'AMI Segmentation'!$AM$89:$AM$238)&gt;0,"Sector target","No target type selected"))</f>
        <v>No target type selected</v>
      </c>
      <c r="E361" s="557" cm="1">
        <f t="array" ref="E361">SUMPRODUCT(('AMI Segmentation'!$M$89:$M$238=TRUE)*($AD361='AMI Segmentation'!$AK$89:$AK$238)*('Climate-Alignment Target'!E$353='AMI Segmentation'!$Q$88:$V$88)*('AMI Segmentation'!$Q$89:$V$238))</f>
        <v>0</v>
      </c>
      <c r="F361" s="557" t="str" cm="1">
        <f t="array" ref="F361">IF($D361="Climate-alignment target",SUMPRODUCT(('AMI Segmentation'!$M$89:$M$238=TRUE)*($AD361='AMI Segmentation'!$AK$89:$AK$238)*('Climate-Alignment Target'!F$353='AMI Segmentation'!$Q$88:$V$88)*('AMI Segmentation'!$Q$89:$V$238)),"")</f>
        <v/>
      </c>
      <c r="G361" s="557" t="str" cm="1">
        <f t="array" ref="G361">IF($D361="Climate-alignment target",SUMPRODUCT(('AMI Segmentation'!$M$89:$M$238=TRUE)*($AD361='AMI Segmentation'!$AK$89:$AK$238)*('Climate-Alignment Target'!G$353='AMI Segmentation'!$Q$88:$V$88)*('AMI Segmentation'!$Q$89:$V$238)),"")</f>
        <v/>
      </c>
      <c r="H361" s="557" t="str" cm="1">
        <f t="array" ref="H361">IF($D361="Climate-alignment target",SUMPRODUCT(('AMI Segmentation'!$M$89:$M$238=TRUE)*($AD361='AMI Segmentation'!$AK$89:$AK$238)*('Climate-Alignment Target'!H$353='AMI Segmentation'!$Q$88:$V$88)*('AMI Segmentation'!$Q$89:$V$238)),"")</f>
        <v/>
      </c>
      <c r="I361" s="557" t="str" cm="1">
        <f t="array" ref="I361">IF($D361="Climate-alignment target",SUMPRODUCT(('AMI Segmentation'!$M$89:$M$238=TRUE)*($AD361='AMI Segmentation'!$AK$89:$AK$238)*('Climate-Alignment Target'!I$353='AMI Segmentation'!$Q$88:$V$88)*('AMI Segmentation'!$Q$89:$V$238)),"")</f>
        <v/>
      </c>
      <c r="J361" s="557" t="str" cm="1">
        <f t="array" ref="J361">IF($D361="Climate-alignment target",SUMPRODUCT(('AMI Segmentation'!$M$89:$M$238=TRUE)*($AD361='AMI Segmentation'!$AK$89:$AK$238)*('Climate-Alignment Target'!J$353='AMI Segmentation'!$Q$88:$V$88)*('AMI Segmentation'!$Q$89:$V$238)),"")</f>
        <v/>
      </c>
      <c r="K361" s="557" t="str">
        <f t="shared" si="236"/>
        <v/>
      </c>
      <c r="L361" s="557" t="str">
        <f t="shared" si="229"/>
        <v/>
      </c>
      <c r="M361" s="562">
        <f t="shared" si="228"/>
        <v>0</v>
      </c>
      <c r="N361" s="915"/>
      <c r="O361" s="563"/>
      <c r="P361" s="562" t="str">
        <f t="shared" si="230"/>
        <v/>
      </c>
      <c r="Q361" s="560" t="str">
        <f t="shared" si="231"/>
        <v/>
      </c>
      <c r="R361" s="16"/>
      <c r="U361" s="1"/>
      <c r="V361" s="1"/>
      <c r="W361" s="26"/>
      <c r="X361" s="113" t="s">
        <v>378</v>
      </c>
      <c r="Y361" s="113">
        <f t="shared" si="232"/>
        <v>2050</v>
      </c>
      <c r="Z361" s="113">
        <f t="shared" si="233"/>
        <v>0.95</v>
      </c>
      <c r="AA361" s="121"/>
      <c r="AB361" s="121" t="str">
        <f t="shared" si="234"/>
        <v/>
      </c>
      <c r="AC361" s="121" t="str">
        <f t="shared" si="235"/>
        <v/>
      </c>
      <c r="AD361" s="107" t="s">
        <v>218</v>
      </c>
    </row>
    <row r="362" spans="1:30" ht="45" hidden="1" customHeight="1" outlineLevel="3">
      <c r="A362" s="340" t="s">
        <v>121</v>
      </c>
      <c r="B362" s="340" t="s">
        <v>395</v>
      </c>
      <c r="C362" s="927"/>
      <c r="D362" s="333" t="str">
        <f>IF(SUMIF('AMI Segmentation'!$AK$89:$AK$238,'Climate-Alignment Target'!AD362,'AMI Segmentation'!$AL$89:$AL$238)&gt;0,"Climate-alignment target",IF(SUMIF('AMI Segmentation'!$AK$89:$AK$238,'Climate-Alignment Target'!AD362,'AMI Segmentation'!$AM$89:$AM$238)&gt;0,"Sector target","No target type selected"))</f>
        <v>No target type selected</v>
      </c>
      <c r="E362" s="557" cm="1">
        <f t="array" ref="E362">SUMPRODUCT(('AMI Segmentation'!$M$89:$M$238=TRUE)*($AD362='AMI Segmentation'!$AK$89:$AK$238)*('Climate-Alignment Target'!E$353='AMI Segmentation'!$Q$88:$V$88)*('AMI Segmentation'!$Q$89:$V$238))</f>
        <v>0</v>
      </c>
      <c r="F362" s="557" t="str" cm="1">
        <f t="array" ref="F362">IF($D362="Climate-alignment target",SUMPRODUCT(('AMI Segmentation'!$M$89:$M$238=TRUE)*($AD362='AMI Segmentation'!$AK$89:$AK$238)*('Climate-Alignment Target'!F$353='AMI Segmentation'!$Q$88:$V$88)*('AMI Segmentation'!$Q$89:$V$238)),"")</f>
        <v/>
      </c>
      <c r="G362" s="557" t="str" cm="1">
        <f t="array" ref="G362">IF($D362="Climate-alignment target",SUMPRODUCT(('AMI Segmentation'!$M$89:$M$238=TRUE)*($AD362='AMI Segmentation'!$AK$89:$AK$238)*('Climate-Alignment Target'!G$353='AMI Segmentation'!$Q$88:$V$88)*('AMI Segmentation'!$Q$89:$V$238)),"")</f>
        <v/>
      </c>
      <c r="H362" s="557" t="str" cm="1">
        <f t="array" ref="H362">IF($D362="Climate-alignment target",SUMPRODUCT(('AMI Segmentation'!$M$89:$M$238=TRUE)*($AD362='AMI Segmentation'!$AK$89:$AK$238)*('Climate-Alignment Target'!H$353='AMI Segmentation'!$Q$88:$V$88)*('AMI Segmentation'!$Q$89:$V$238)),"")</f>
        <v/>
      </c>
      <c r="I362" s="557" t="str" cm="1">
        <f t="array" ref="I362">IF($D362="Climate-alignment target",SUMPRODUCT(('AMI Segmentation'!$M$89:$M$238=TRUE)*($AD362='AMI Segmentation'!$AK$89:$AK$238)*('Climate-Alignment Target'!I$353='AMI Segmentation'!$Q$88:$V$88)*('AMI Segmentation'!$Q$89:$V$238)),"")</f>
        <v/>
      </c>
      <c r="J362" s="557" t="str" cm="1">
        <f t="array" ref="J362">IF($D362="Climate-alignment target",SUMPRODUCT(('AMI Segmentation'!$M$89:$M$238=TRUE)*($AD362='AMI Segmentation'!$AK$89:$AK$238)*('Climate-Alignment Target'!J$353='AMI Segmentation'!$Q$88:$V$88)*('AMI Segmentation'!$Q$89:$V$238)),"")</f>
        <v/>
      </c>
      <c r="K362" s="557" t="str">
        <f t="shared" si="236"/>
        <v/>
      </c>
      <c r="L362" s="557" t="str">
        <f t="shared" si="229"/>
        <v/>
      </c>
      <c r="M362" s="562">
        <f t="shared" si="228"/>
        <v>0</v>
      </c>
      <c r="N362" s="915"/>
      <c r="O362" s="563"/>
      <c r="P362" s="562" t="str">
        <f t="shared" si="230"/>
        <v/>
      </c>
      <c r="Q362" s="560" t="str">
        <f t="shared" si="231"/>
        <v/>
      </c>
      <c r="R362" s="16"/>
      <c r="U362" s="1"/>
      <c r="V362" s="1"/>
      <c r="W362" s="26"/>
      <c r="X362" s="113" t="s">
        <v>373</v>
      </c>
      <c r="Y362" s="113">
        <f t="shared" si="232"/>
        <v>2040</v>
      </c>
      <c r="Z362" s="113">
        <f t="shared" si="233"/>
        <v>0.95</v>
      </c>
      <c r="AA362" s="121"/>
      <c r="AB362" s="121" t="str">
        <f t="shared" si="234"/>
        <v/>
      </c>
      <c r="AC362" s="121" t="str">
        <f t="shared" si="235"/>
        <v/>
      </c>
      <c r="AD362" s="107" t="s">
        <v>187</v>
      </c>
    </row>
    <row r="363" spans="1:30" ht="45" hidden="1" customHeight="1" outlineLevel="3">
      <c r="A363" s="340" t="s">
        <v>136</v>
      </c>
      <c r="B363" s="340" t="s">
        <v>395</v>
      </c>
      <c r="C363" s="927"/>
      <c r="D363" s="333" t="str">
        <f>IF(SUMIF('AMI Segmentation'!$AK$89:$AK$238,'Climate-Alignment Target'!AD363,'AMI Segmentation'!$AL$89:$AL$238)&gt;0,"Climate-alignment target",IF(SUMIF('AMI Segmentation'!$AK$89:$AK$238,'Climate-Alignment Target'!AD363,'AMI Segmentation'!$AM$89:$AM$238)&gt;0,"Sector target","No target type selected"))</f>
        <v>No target type selected</v>
      </c>
      <c r="E363" s="557" cm="1">
        <f t="array" ref="E363">SUMPRODUCT(('AMI Segmentation'!$M$89:$M$238=TRUE)*($AD363='AMI Segmentation'!$AK$89:$AK$238)*('Climate-Alignment Target'!E$353='AMI Segmentation'!$Q$88:$V$88)*('AMI Segmentation'!$Q$89:$V$238))</f>
        <v>0</v>
      </c>
      <c r="F363" s="557" t="str" cm="1">
        <f t="array" ref="F363">IF($D363="Climate-alignment target",SUMPRODUCT(('AMI Segmentation'!$M$89:$M$238=TRUE)*($AD363='AMI Segmentation'!$AK$89:$AK$238)*('Climate-Alignment Target'!F$353='AMI Segmentation'!$Q$88:$V$88)*('AMI Segmentation'!$Q$89:$V$238)),"")</f>
        <v/>
      </c>
      <c r="G363" s="557" t="str" cm="1">
        <f t="array" ref="G363">IF($D363="Climate-alignment target",SUMPRODUCT(('AMI Segmentation'!$M$89:$M$238=TRUE)*($AD363='AMI Segmentation'!$AK$89:$AK$238)*('Climate-Alignment Target'!G$353='AMI Segmentation'!$Q$88:$V$88)*('AMI Segmentation'!$Q$89:$V$238)),"")</f>
        <v/>
      </c>
      <c r="H363" s="557" t="str" cm="1">
        <f t="array" ref="H363">IF($D363="Climate-alignment target",SUMPRODUCT(('AMI Segmentation'!$M$89:$M$238=TRUE)*($AD363='AMI Segmentation'!$AK$89:$AK$238)*('Climate-Alignment Target'!H$353='AMI Segmentation'!$Q$88:$V$88)*('AMI Segmentation'!$Q$89:$V$238)),"")</f>
        <v/>
      </c>
      <c r="I363" s="557" t="str" cm="1">
        <f t="array" ref="I363">IF($D363="Climate-alignment target",SUMPRODUCT(('AMI Segmentation'!$M$89:$M$238=TRUE)*($AD363='AMI Segmentation'!$AK$89:$AK$238)*('Climate-Alignment Target'!I$353='AMI Segmentation'!$Q$88:$V$88)*('AMI Segmentation'!$Q$89:$V$238)),"")</f>
        <v/>
      </c>
      <c r="J363" s="557" t="str" cm="1">
        <f t="array" ref="J363">IF($D363="Climate-alignment target",SUMPRODUCT(('AMI Segmentation'!$M$89:$M$238=TRUE)*($AD363='AMI Segmentation'!$AK$89:$AK$238)*('Climate-Alignment Target'!J$353='AMI Segmentation'!$Q$88:$V$88)*('AMI Segmentation'!$Q$89:$V$238)),"")</f>
        <v/>
      </c>
      <c r="K363" s="557" t="str">
        <f t="shared" si="236"/>
        <v/>
      </c>
      <c r="L363" s="557" t="str">
        <f t="shared" si="229"/>
        <v/>
      </c>
      <c r="M363" s="562">
        <f t="shared" si="228"/>
        <v>0</v>
      </c>
      <c r="N363" s="915"/>
      <c r="O363" s="563"/>
      <c r="P363" s="562" t="str">
        <f t="shared" si="230"/>
        <v/>
      </c>
      <c r="Q363" s="560" t="str">
        <f t="shared" si="231"/>
        <v/>
      </c>
      <c r="R363" s="16"/>
      <c r="U363" s="1"/>
      <c r="V363" s="1"/>
      <c r="W363" s="26"/>
      <c r="X363" s="113" t="s">
        <v>378</v>
      </c>
      <c r="Y363" s="113">
        <f t="shared" si="232"/>
        <v>2050</v>
      </c>
      <c r="Z363" s="113">
        <f t="shared" si="233"/>
        <v>0.95</v>
      </c>
      <c r="AA363" s="121"/>
      <c r="AB363" s="121" t="str">
        <f t="shared" si="234"/>
        <v/>
      </c>
      <c r="AC363" s="121" t="str">
        <f t="shared" si="235"/>
        <v/>
      </c>
      <c r="AD363" s="107" t="s">
        <v>220</v>
      </c>
    </row>
    <row r="364" spans="1:30" ht="45" hidden="1" customHeight="1" outlineLevel="3">
      <c r="A364" s="340" t="s">
        <v>121</v>
      </c>
      <c r="B364" s="340" t="s">
        <v>396</v>
      </c>
      <c r="C364" s="927"/>
      <c r="D364" s="333" t="str">
        <f>IF(SUMIF('AMI Segmentation'!$AK$89:$AK$238,'Climate-Alignment Target'!AD364,'AMI Segmentation'!$AL$89:$AL$238)&gt;0,"Climate-alignment target",IF(SUMIF('AMI Segmentation'!$AK$89:$AK$238,'Climate-Alignment Target'!AD364,'AMI Segmentation'!$AM$89:$AM$238)&gt;0,"Sector target","No target type selected"))</f>
        <v>No target type selected</v>
      </c>
      <c r="E364" s="557" cm="1">
        <f t="array" ref="E364">SUMPRODUCT(('AMI Segmentation'!$M$89:$M$238=TRUE)*($AD364='AMI Segmentation'!$AK$89:$AK$238)*('Climate-Alignment Target'!E$353='AMI Segmentation'!$Q$88:$V$88)*('AMI Segmentation'!$Q$89:$V$238))</f>
        <v>0</v>
      </c>
      <c r="F364" s="557" t="str" cm="1">
        <f t="array" ref="F364">IF($D364="Climate-alignment target",SUMPRODUCT(('AMI Segmentation'!$M$89:$M$238=TRUE)*($AD364='AMI Segmentation'!$AK$89:$AK$238)*('Climate-Alignment Target'!F$353='AMI Segmentation'!$Q$88:$V$88)*('AMI Segmentation'!$Q$89:$V$238)),"")</f>
        <v/>
      </c>
      <c r="G364" s="557" t="str" cm="1">
        <f t="array" ref="G364">IF($D364="Climate-alignment target",SUMPRODUCT(('AMI Segmentation'!$M$89:$M$238=TRUE)*($AD364='AMI Segmentation'!$AK$89:$AK$238)*('Climate-Alignment Target'!G$353='AMI Segmentation'!$Q$88:$V$88)*('AMI Segmentation'!$Q$89:$V$238)),"")</f>
        <v/>
      </c>
      <c r="H364" s="557" t="str" cm="1">
        <f t="array" ref="H364">IF($D364="Climate-alignment target",SUMPRODUCT(('AMI Segmentation'!$M$89:$M$238=TRUE)*($AD364='AMI Segmentation'!$AK$89:$AK$238)*('Climate-Alignment Target'!H$353='AMI Segmentation'!$Q$88:$V$88)*('AMI Segmentation'!$Q$89:$V$238)),"")</f>
        <v/>
      </c>
      <c r="I364" s="557" t="str" cm="1">
        <f t="array" ref="I364">IF($D364="Climate-alignment target",SUMPRODUCT(('AMI Segmentation'!$M$89:$M$238=TRUE)*($AD364='AMI Segmentation'!$AK$89:$AK$238)*('Climate-Alignment Target'!I$353='AMI Segmentation'!$Q$88:$V$88)*('AMI Segmentation'!$Q$89:$V$238)),"")</f>
        <v/>
      </c>
      <c r="J364" s="557" t="str" cm="1">
        <f t="array" ref="J364">IF($D364="Climate-alignment target",SUMPRODUCT(('AMI Segmentation'!$M$89:$M$238=TRUE)*($AD364='AMI Segmentation'!$AK$89:$AK$238)*('Climate-Alignment Target'!J$353='AMI Segmentation'!$Q$88:$V$88)*('AMI Segmentation'!$Q$89:$V$238)),"")</f>
        <v/>
      </c>
      <c r="K364" s="557" t="str">
        <f t="shared" si="236"/>
        <v/>
      </c>
      <c r="L364" s="557" t="str">
        <f t="shared" si="229"/>
        <v/>
      </c>
      <c r="M364" s="562">
        <f t="shared" si="228"/>
        <v>0</v>
      </c>
      <c r="N364" s="915"/>
      <c r="O364" s="563"/>
      <c r="P364" s="562" t="str">
        <f>IF(AND($D364="Climate-alignment target",$N$355&lt;&gt;""),IF(M364&gt;$Z364,M364,(M364+($Z364-M364)/($Y364-$I$313)*($N$355-$I$313))),"")</f>
        <v/>
      </c>
      <c r="Q364" s="560" t="str">
        <f t="shared" si="231"/>
        <v/>
      </c>
      <c r="R364" s="16"/>
      <c r="U364" s="1"/>
      <c r="V364" s="1"/>
      <c r="W364" s="26"/>
      <c r="X364" s="113" t="s">
        <v>373</v>
      </c>
      <c r="Y364" s="113">
        <f t="shared" si="232"/>
        <v>2040</v>
      </c>
      <c r="Z364" s="113">
        <f t="shared" si="233"/>
        <v>0.95</v>
      </c>
      <c r="AA364" s="121"/>
      <c r="AB364" s="121" t="str">
        <f t="shared" si="234"/>
        <v/>
      </c>
      <c r="AC364" s="121" t="str">
        <f t="shared" si="235"/>
        <v/>
      </c>
      <c r="AD364" s="107" t="s">
        <v>193</v>
      </c>
    </row>
    <row r="365" spans="1:30" ht="45" hidden="1" customHeight="1" outlineLevel="3">
      <c r="A365" s="340" t="s">
        <v>136</v>
      </c>
      <c r="B365" s="340" t="s">
        <v>396</v>
      </c>
      <c r="C365" s="927"/>
      <c r="D365" s="333" t="str">
        <f>IF(SUMIF('AMI Segmentation'!$AK$89:$AK$238,'Climate-Alignment Target'!AD365,'AMI Segmentation'!$AL$89:$AL$238)&gt;0,"Climate-alignment target",IF(SUMIF('AMI Segmentation'!$AK$89:$AK$238,'Climate-Alignment Target'!AD365,'AMI Segmentation'!$AM$89:$AM$238)&gt;0,"Sector target","No target type selected"))</f>
        <v>No target type selected</v>
      </c>
      <c r="E365" s="557" cm="1">
        <f t="array" ref="E365">SUMPRODUCT(('AMI Segmentation'!$M$89:$M$238=TRUE)*($AD365='AMI Segmentation'!$AK$89:$AK$238)*('Climate-Alignment Target'!E$353='AMI Segmentation'!$Q$88:$V$88)*('AMI Segmentation'!$Q$89:$V$238))</f>
        <v>0</v>
      </c>
      <c r="F365" s="557" t="str" cm="1">
        <f t="array" ref="F365">IF($D365="Climate-alignment target",SUMPRODUCT(('AMI Segmentation'!$M$89:$M$238=TRUE)*($AD365='AMI Segmentation'!$AK$89:$AK$238)*('Climate-Alignment Target'!F$353='AMI Segmentation'!$Q$88:$V$88)*('AMI Segmentation'!$Q$89:$V$238)),"")</f>
        <v/>
      </c>
      <c r="G365" s="557" t="str" cm="1">
        <f t="array" ref="G365">IF($D365="Climate-alignment target",SUMPRODUCT(('AMI Segmentation'!$M$89:$M$238=TRUE)*($AD365='AMI Segmentation'!$AK$89:$AK$238)*('Climate-Alignment Target'!G$353='AMI Segmentation'!$Q$88:$V$88)*('AMI Segmentation'!$Q$89:$V$238)),"")</f>
        <v/>
      </c>
      <c r="H365" s="557" t="str" cm="1">
        <f t="array" ref="H365">IF($D365="Climate-alignment target",SUMPRODUCT(('AMI Segmentation'!$M$89:$M$238=TRUE)*($AD365='AMI Segmentation'!$AK$89:$AK$238)*('Climate-Alignment Target'!H$353='AMI Segmentation'!$Q$88:$V$88)*('AMI Segmentation'!$Q$89:$V$238)),"")</f>
        <v/>
      </c>
      <c r="I365" s="557" t="str" cm="1">
        <f t="array" ref="I365">IF($D365="Climate-alignment target",SUMPRODUCT(('AMI Segmentation'!$M$89:$M$238=TRUE)*($AD365='AMI Segmentation'!$AK$89:$AK$238)*('Climate-Alignment Target'!I$353='AMI Segmentation'!$Q$88:$V$88)*('AMI Segmentation'!$Q$89:$V$238)),"")</f>
        <v/>
      </c>
      <c r="J365" s="557" t="str" cm="1">
        <f t="array" ref="J365">IF($D365="Climate-alignment target",SUMPRODUCT(('AMI Segmentation'!$M$89:$M$238=TRUE)*($AD365='AMI Segmentation'!$AK$89:$AK$238)*('Climate-Alignment Target'!J$353='AMI Segmentation'!$Q$88:$V$88)*('AMI Segmentation'!$Q$89:$V$238)),"")</f>
        <v/>
      </c>
      <c r="K365" s="557" t="str">
        <f t="shared" si="236"/>
        <v/>
      </c>
      <c r="L365" s="557" t="str">
        <f t="shared" si="229"/>
        <v/>
      </c>
      <c r="M365" s="562">
        <f t="shared" si="228"/>
        <v>0</v>
      </c>
      <c r="N365" s="915"/>
      <c r="O365" s="563"/>
      <c r="P365" s="562" t="str">
        <f t="shared" si="230"/>
        <v/>
      </c>
      <c r="Q365" s="560" t="str">
        <f t="shared" si="231"/>
        <v/>
      </c>
      <c r="R365" s="16"/>
      <c r="U365" s="1"/>
      <c r="V365" s="1"/>
      <c r="W365" s="26"/>
      <c r="X365" s="113" t="s">
        <v>378</v>
      </c>
      <c r="Y365" s="113">
        <f t="shared" si="232"/>
        <v>2050</v>
      </c>
      <c r="Z365" s="113">
        <f t="shared" si="233"/>
        <v>0.95</v>
      </c>
      <c r="AA365" s="121"/>
      <c r="AB365" s="121" t="str">
        <f t="shared" si="234"/>
        <v/>
      </c>
      <c r="AC365" s="121" t="str">
        <f t="shared" si="235"/>
        <v/>
      </c>
      <c r="AD365" s="107" t="s">
        <v>221</v>
      </c>
    </row>
    <row r="366" spans="1:30" ht="45" hidden="1" customHeight="1" outlineLevel="3">
      <c r="A366" s="340" t="s">
        <v>121</v>
      </c>
      <c r="B366" s="340" t="s">
        <v>397</v>
      </c>
      <c r="C366" s="927"/>
      <c r="D366" s="333" t="str">
        <f>IF(SUMIF('AMI Segmentation'!$AK$89:$AK$238,'Climate-Alignment Target'!AD366,'AMI Segmentation'!$AL$89:$AL$238)&gt;0,"Climate-alignment target",IF(SUMIF('AMI Segmentation'!$AK$89:$AK$238,'Climate-Alignment Target'!AD366,'AMI Segmentation'!$AM$89:$AM$238)&gt;0,"Sector target","No target type selected"))</f>
        <v>No target type selected</v>
      </c>
      <c r="E366" s="557" cm="1">
        <f t="array" ref="E366">SUMPRODUCT(('AMI Segmentation'!$M$89:$M$238=TRUE)*($AD366='AMI Segmentation'!$AK$89:$AK$238)*('Climate-Alignment Target'!E$353='AMI Segmentation'!$Q$88:$V$88)*('AMI Segmentation'!$Q$89:$V$238))</f>
        <v>0</v>
      </c>
      <c r="F366" s="557" t="str" cm="1">
        <f t="array" ref="F366">IF($D366="Climate-alignment target",SUMPRODUCT(('AMI Segmentation'!$M$89:$M$238=TRUE)*($AD366='AMI Segmentation'!$AK$89:$AK$238)*('Climate-Alignment Target'!F$353='AMI Segmentation'!$Q$88:$V$88)*('AMI Segmentation'!$Q$89:$V$238)),"")</f>
        <v/>
      </c>
      <c r="G366" s="557" t="str" cm="1">
        <f t="array" ref="G366">IF($D366="Climate-alignment target",SUMPRODUCT(('AMI Segmentation'!$M$89:$M$238=TRUE)*($AD366='AMI Segmentation'!$AK$89:$AK$238)*('Climate-Alignment Target'!G$353='AMI Segmentation'!$Q$88:$V$88)*('AMI Segmentation'!$Q$89:$V$238)),"")</f>
        <v/>
      </c>
      <c r="H366" s="557" t="str" cm="1">
        <f t="array" ref="H366">IF($D366="Climate-alignment target",SUMPRODUCT(('AMI Segmentation'!$M$89:$M$238=TRUE)*($AD366='AMI Segmentation'!$AK$89:$AK$238)*('Climate-Alignment Target'!H$353='AMI Segmentation'!$Q$88:$V$88)*('AMI Segmentation'!$Q$89:$V$238)),"")</f>
        <v/>
      </c>
      <c r="I366" s="557" t="str" cm="1">
        <f t="array" ref="I366">IF($D366="Climate-alignment target",SUMPRODUCT(('AMI Segmentation'!$M$89:$M$238=TRUE)*($AD366='AMI Segmentation'!$AK$89:$AK$238)*('Climate-Alignment Target'!I$353='AMI Segmentation'!$Q$88:$V$88)*('AMI Segmentation'!$Q$89:$V$238)),"")</f>
        <v/>
      </c>
      <c r="J366" s="557" t="str" cm="1">
        <f t="array" ref="J366">IF($D366="Climate-alignment target",SUMPRODUCT(('AMI Segmentation'!$M$89:$M$238=TRUE)*($AD366='AMI Segmentation'!$AK$89:$AK$238)*('Climate-Alignment Target'!J$353='AMI Segmentation'!$Q$88:$V$88)*('AMI Segmentation'!$Q$89:$V$238)),"")</f>
        <v/>
      </c>
      <c r="K366" s="557" t="str">
        <f t="shared" si="236"/>
        <v/>
      </c>
      <c r="L366" s="557" t="str">
        <f t="shared" si="229"/>
        <v/>
      </c>
      <c r="M366" s="562">
        <f t="shared" si="228"/>
        <v>0</v>
      </c>
      <c r="N366" s="915"/>
      <c r="O366" s="563"/>
      <c r="P366" s="562" t="str">
        <f t="shared" si="230"/>
        <v/>
      </c>
      <c r="Q366" s="560" t="str">
        <f t="shared" si="231"/>
        <v/>
      </c>
      <c r="R366" s="16"/>
      <c r="U366" s="1"/>
      <c r="V366" s="1"/>
      <c r="W366" s="26"/>
      <c r="X366" s="113" t="s">
        <v>373</v>
      </c>
      <c r="Y366" s="113">
        <f t="shared" si="232"/>
        <v>2040</v>
      </c>
      <c r="Z366" s="113">
        <f t="shared" si="233"/>
        <v>0.95</v>
      </c>
      <c r="AA366" s="121"/>
      <c r="AB366" s="121" t="str">
        <f t="shared" si="234"/>
        <v/>
      </c>
      <c r="AC366" s="121" t="str">
        <f t="shared" si="235"/>
        <v/>
      </c>
      <c r="AD366" s="107" t="s">
        <v>197</v>
      </c>
    </row>
    <row r="367" spans="1:30" ht="45" hidden="1" customHeight="1" outlineLevel="3">
      <c r="A367" s="340" t="s">
        <v>136</v>
      </c>
      <c r="B367" s="340" t="s">
        <v>397</v>
      </c>
      <c r="C367" s="927"/>
      <c r="D367" s="333" t="str">
        <f>IF(SUMIF('AMI Segmentation'!$AK$89:$AK$238,'Climate-Alignment Target'!AD367,'AMI Segmentation'!$AL$89:$AL$238)&gt;0,"Climate-alignment target",IF(SUMIF('AMI Segmentation'!$AK$89:$AK$238,'Climate-Alignment Target'!AD367,'AMI Segmentation'!$AM$89:$AM$238)&gt;0,"Sector target","No target type selected"))</f>
        <v>No target type selected</v>
      </c>
      <c r="E367" s="557" cm="1">
        <f t="array" ref="E367">SUMPRODUCT(('AMI Segmentation'!$M$89:$M$238=TRUE)*($AD367='AMI Segmentation'!$AK$89:$AK$238)*('Climate-Alignment Target'!E$353='AMI Segmentation'!$Q$88:$V$88)*('AMI Segmentation'!$Q$89:$V$238))</f>
        <v>0</v>
      </c>
      <c r="F367" s="557" t="str" cm="1">
        <f t="array" ref="F367">IF($D367="Climate-alignment target",SUMPRODUCT(('AMI Segmentation'!$M$89:$M$238=TRUE)*($AD367='AMI Segmentation'!$AK$89:$AK$238)*('Climate-Alignment Target'!F$353='AMI Segmentation'!$Q$88:$V$88)*('AMI Segmentation'!$Q$89:$V$238)),"")</f>
        <v/>
      </c>
      <c r="G367" s="557" t="str" cm="1">
        <f t="array" ref="G367">IF($D367="Climate-alignment target",SUMPRODUCT(('AMI Segmentation'!$M$89:$M$238=TRUE)*($AD367='AMI Segmentation'!$AK$89:$AK$238)*('Climate-Alignment Target'!G$353='AMI Segmentation'!$Q$88:$V$88)*('AMI Segmentation'!$Q$89:$V$238)),"")</f>
        <v/>
      </c>
      <c r="H367" s="557" t="str" cm="1">
        <f t="array" ref="H367">IF($D367="Climate-alignment target",SUMPRODUCT(('AMI Segmentation'!$M$89:$M$238=TRUE)*($AD367='AMI Segmentation'!$AK$89:$AK$238)*('Climate-Alignment Target'!H$353='AMI Segmentation'!$Q$88:$V$88)*('AMI Segmentation'!$Q$89:$V$238)),"")</f>
        <v/>
      </c>
      <c r="I367" s="557" t="str" cm="1">
        <f t="array" ref="I367">IF($D367="Climate-alignment target",SUMPRODUCT(('AMI Segmentation'!$M$89:$M$238=TRUE)*($AD367='AMI Segmentation'!$AK$89:$AK$238)*('Climate-Alignment Target'!I$353='AMI Segmentation'!$Q$88:$V$88)*('AMI Segmentation'!$Q$89:$V$238)),"")</f>
        <v/>
      </c>
      <c r="J367" s="557" t="str" cm="1">
        <f t="array" ref="J367">IF($D367="Climate-alignment target",SUMPRODUCT(('AMI Segmentation'!$M$89:$M$238=TRUE)*($AD367='AMI Segmentation'!$AK$89:$AK$238)*('Climate-Alignment Target'!J$353='AMI Segmentation'!$Q$88:$V$88)*('AMI Segmentation'!$Q$89:$V$238)),"")</f>
        <v/>
      </c>
      <c r="K367" s="557" t="str">
        <f t="shared" si="236"/>
        <v/>
      </c>
      <c r="L367" s="557" t="str">
        <f t="shared" si="229"/>
        <v/>
      </c>
      <c r="M367" s="562">
        <f t="shared" si="228"/>
        <v>0</v>
      </c>
      <c r="N367" s="915"/>
      <c r="O367" s="563"/>
      <c r="P367" s="562" t="str">
        <f t="shared" si="230"/>
        <v/>
      </c>
      <c r="Q367" s="560" t="str">
        <f t="shared" si="231"/>
        <v/>
      </c>
      <c r="R367" s="16"/>
      <c r="U367" s="1"/>
      <c r="V367" s="1"/>
      <c r="W367" s="26"/>
      <c r="X367" s="113" t="s">
        <v>378</v>
      </c>
      <c r="Y367" s="113">
        <f t="shared" si="232"/>
        <v>2050</v>
      </c>
      <c r="Z367" s="113">
        <f t="shared" si="233"/>
        <v>0.95</v>
      </c>
      <c r="AA367" s="121"/>
      <c r="AB367" s="121" t="str">
        <f t="shared" si="234"/>
        <v/>
      </c>
      <c r="AC367" s="121" t="str">
        <f t="shared" si="235"/>
        <v/>
      </c>
      <c r="AD367" s="107" t="s">
        <v>222</v>
      </c>
    </row>
    <row r="368" spans="1:30" ht="45" hidden="1" customHeight="1" outlineLevel="3">
      <c r="A368" s="340" t="s">
        <v>121</v>
      </c>
      <c r="B368" s="340" t="s">
        <v>398</v>
      </c>
      <c r="C368" s="927"/>
      <c r="D368" s="333" t="str">
        <f>IF(SUMIF('AMI Segmentation'!$AK$89:$AK$238,'Climate-Alignment Target'!AD368,'AMI Segmentation'!$AL$89:$AL$238)&gt;0,"Climate-alignment target",IF(SUMIF('AMI Segmentation'!$AK$89:$AK$238,'Climate-Alignment Target'!AD368,'AMI Segmentation'!$AM$89:$AM$238)&gt;0,"Sector target","No target type selected"))</f>
        <v>No target type selected</v>
      </c>
      <c r="E368" s="557" cm="1">
        <f t="array" ref="E368">SUMPRODUCT(('AMI Segmentation'!$M$89:$M$238=TRUE)*($AD368='AMI Segmentation'!$AK$89:$AK$238)*('Climate-Alignment Target'!E$353='AMI Segmentation'!$Q$88:$V$88)*('AMI Segmentation'!$Q$89:$V$238))</f>
        <v>0</v>
      </c>
      <c r="F368" s="557" t="str" cm="1">
        <f t="array" ref="F368">IF($D368="Climate-alignment target",SUMPRODUCT(('AMI Segmentation'!$M$89:$M$238=TRUE)*($AD368='AMI Segmentation'!$AK$89:$AK$238)*('Climate-Alignment Target'!F$353='AMI Segmentation'!$Q$88:$V$88)*('AMI Segmentation'!$Q$89:$V$238)),"")</f>
        <v/>
      </c>
      <c r="G368" s="557" t="str" cm="1">
        <f t="array" ref="G368">IF($D368="Climate-alignment target",SUMPRODUCT(('AMI Segmentation'!$M$89:$M$238=TRUE)*($AD368='AMI Segmentation'!$AK$89:$AK$238)*('Climate-Alignment Target'!G$353='AMI Segmentation'!$Q$88:$V$88)*('AMI Segmentation'!$Q$89:$V$238)),"")</f>
        <v/>
      </c>
      <c r="H368" s="557" t="str" cm="1">
        <f t="array" ref="H368">IF($D368="Climate-alignment target",SUMPRODUCT(('AMI Segmentation'!$M$89:$M$238=TRUE)*($AD368='AMI Segmentation'!$AK$89:$AK$238)*('Climate-Alignment Target'!H$353='AMI Segmentation'!$Q$88:$V$88)*('AMI Segmentation'!$Q$89:$V$238)),"")</f>
        <v/>
      </c>
      <c r="I368" s="557" t="str" cm="1">
        <f t="array" ref="I368">IF($D368="Climate-alignment target",SUMPRODUCT(('AMI Segmentation'!$M$89:$M$238=TRUE)*($AD368='AMI Segmentation'!$AK$89:$AK$238)*('Climate-Alignment Target'!I$353='AMI Segmentation'!$Q$88:$V$88)*('AMI Segmentation'!$Q$89:$V$238)),"")</f>
        <v/>
      </c>
      <c r="J368" s="557" t="str" cm="1">
        <f t="array" ref="J368">IF($D368="Climate-alignment target",SUMPRODUCT(('AMI Segmentation'!$M$89:$M$238=TRUE)*($AD368='AMI Segmentation'!$AK$89:$AK$238)*('Climate-Alignment Target'!J$353='AMI Segmentation'!$Q$88:$V$88)*('AMI Segmentation'!$Q$89:$V$238)),"")</f>
        <v/>
      </c>
      <c r="K368" s="557" t="str">
        <f t="shared" si="236"/>
        <v/>
      </c>
      <c r="L368" s="557" t="str">
        <f t="shared" si="229"/>
        <v/>
      </c>
      <c r="M368" s="562">
        <f t="shared" si="228"/>
        <v>0</v>
      </c>
      <c r="N368" s="915"/>
      <c r="O368" s="563"/>
      <c r="P368" s="562" t="str">
        <f t="shared" si="230"/>
        <v/>
      </c>
      <c r="Q368" s="560" t="str">
        <f t="shared" si="231"/>
        <v/>
      </c>
      <c r="R368" s="16"/>
      <c r="U368" s="1"/>
      <c r="V368" s="1"/>
      <c r="W368" s="26"/>
      <c r="X368" s="113" t="s">
        <v>373</v>
      </c>
      <c r="Y368" s="113">
        <f t="shared" si="232"/>
        <v>2040</v>
      </c>
      <c r="Z368" s="113">
        <f t="shared" si="233"/>
        <v>0.95</v>
      </c>
      <c r="AA368" s="121"/>
      <c r="AB368" s="121" t="str">
        <f t="shared" si="234"/>
        <v/>
      </c>
      <c r="AC368" s="121" t="str">
        <f t="shared" si="235"/>
        <v/>
      </c>
      <c r="AD368" s="107" t="s">
        <v>202</v>
      </c>
    </row>
    <row r="369" spans="1:35" ht="45" hidden="1" customHeight="1" outlineLevel="3">
      <c r="A369" s="340" t="s">
        <v>136</v>
      </c>
      <c r="B369" s="340" t="s">
        <v>398</v>
      </c>
      <c r="C369" s="927"/>
      <c r="D369" s="333" t="str">
        <f>IF(SUMIF('AMI Segmentation'!$AK$89:$AK$238,'Climate-Alignment Target'!AD369,'AMI Segmentation'!$AL$89:$AL$238)&gt;0,"Climate-alignment target",IF(SUMIF('AMI Segmentation'!$AK$89:$AK$238,'Climate-Alignment Target'!AD369,'AMI Segmentation'!$AM$89:$AM$238)&gt;0,"Sector target","No target type selected"))</f>
        <v>No target type selected</v>
      </c>
      <c r="E369" s="557" cm="1">
        <f t="array" ref="E369">SUMPRODUCT(('AMI Segmentation'!$M$89:$M$238=TRUE)*($AD369='AMI Segmentation'!$AK$89:$AK$238)*('Climate-Alignment Target'!E$353='AMI Segmentation'!$Q$88:$V$88)*('AMI Segmentation'!$Q$89:$V$238))</f>
        <v>0</v>
      </c>
      <c r="F369" s="557" t="str" cm="1">
        <f t="array" ref="F369">IF($D369="Climate-alignment target",SUMPRODUCT(('AMI Segmentation'!$M$89:$M$238=TRUE)*($AD369='AMI Segmentation'!$AK$89:$AK$238)*('Climate-Alignment Target'!F$353='AMI Segmentation'!$Q$88:$V$88)*('AMI Segmentation'!$Q$89:$V$238)),"")</f>
        <v/>
      </c>
      <c r="G369" s="557" t="str" cm="1">
        <f t="array" ref="G369">IF($D369="Climate-alignment target",SUMPRODUCT(('AMI Segmentation'!$M$89:$M$238=TRUE)*($AD369='AMI Segmentation'!$AK$89:$AK$238)*('Climate-Alignment Target'!G$353='AMI Segmentation'!$Q$88:$V$88)*('AMI Segmentation'!$Q$89:$V$238)),"")</f>
        <v/>
      </c>
      <c r="H369" s="557" t="str" cm="1">
        <f t="array" ref="H369">IF($D369="Climate-alignment target",SUMPRODUCT(('AMI Segmentation'!$M$89:$M$238=TRUE)*($AD369='AMI Segmentation'!$AK$89:$AK$238)*('Climate-Alignment Target'!H$353='AMI Segmentation'!$Q$88:$V$88)*('AMI Segmentation'!$Q$89:$V$238)),"")</f>
        <v/>
      </c>
      <c r="I369" s="557" t="str" cm="1">
        <f t="array" ref="I369">IF($D369="Climate-alignment target",SUMPRODUCT(('AMI Segmentation'!$M$89:$M$238=TRUE)*($AD369='AMI Segmentation'!$AK$89:$AK$238)*('Climate-Alignment Target'!I$353='AMI Segmentation'!$Q$88:$V$88)*('AMI Segmentation'!$Q$89:$V$238)),"")</f>
        <v/>
      </c>
      <c r="J369" s="557" t="str" cm="1">
        <f t="array" ref="J369">IF($D369="Climate-alignment target",SUMPRODUCT(('AMI Segmentation'!$M$89:$M$238=TRUE)*($AD369='AMI Segmentation'!$AK$89:$AK$238)*('Climate-Alignment Target'!J$353='AMI Segmentation'!$Q$88:$V$88)*('AMI Segmentation'!$Q$89:$V$238)),"")</f>
        <v/>
      </c>
      <c r="K369" s="557" t="str">
        <f t="shared" si="236"/>
        <v/>
      </c>
      <c r="L369" s="557" t="str">
        <f t="shared" si="229"/>
        <v/>
      </c>
      <c r="M369" s="562">
        <f t="shared" si="228"/>
        <v>0</v>
      </c>
      <c r="N369" s="915"/>
      <c r="O369" s="563"/>
      <c r="P369" s="562" t="str">
        <f t="shared" si="230"/>
        <v/>
      </c>
      <c r="Q369" s="560" t="str">
        <f t="shared" si="231"/>
        <v/>
      </c>
      <c r="R369" s="16"/>
      <c r="U369" s="1"/>
      <c r="V369" s="1"/>
      <c r="W369" s="26"/>
      <c r="X369" s="113" t="s">
        <v>378</v>
      </c>
      <c r="Y369" s="113">
        <f t="shared" si="232"/>
        <v>2050</v>
      </c>
      <c r="Z369" s="113">
        <f t="shared" si="233"/>
        <v>0.95</v>
      </c>
      <c r="AA369" s="121"/>
      <c r="AB369" s="121" t="str">
        <f t="shared" si="234"/>
        <v/>
      </c>
      <c r="AC369" s="121" t="str">
        <f t="shared" si="235"/>
        <v/>
      </c>
      <c r="AD369" s="107" t="s">
        <v>223</v>
      </c>
    </row>
    <row r="370" spans="1:35" ht="45" hidden="1" customHeight="1" outlineLevel="3">
      <c r="A370" s="340" t="s">
        <v>121</v>
      </c>
      <c r="B370" s="340" t="s">
        <v>399</v>
      </c>
      <c r="C370" s="927"/>
      <c r="D370" s="333" t="str">
        <f>IF(SUMIF('AMI Segmentation'!$AK$89:$AK$238,'Climate-Alignment Target'!AD370,'AMI Segmentation'!$AL$89:$AL$238)&gt;0,"Climate-alignment target",IF(SUMIF('AMI Segmentation'!$AK$89:$AK$238,'Climate-Alignment Target'!AD370,'AMI Segmentation'!$AM$89:$AM$238)&gt;0,"Sector target","No target type selected"))</f>
        <v>No target type selected</v>
      </c>
      <c r="E370" s="557" cm="1">
        <f t="array" ref="E370">SUMPRODUCT(('AMI Segmentation'!$M$89:$M$238=TRUE)*($AD370='AMI Segmentation'!$AK$89:$AK$238)*('Climate-Alignment Target'!E$353='AMI Segmentation'!$Q$88:$V$88)*('AMI Segmentation'!$Q$89:$V$238))</f>
        <v>0</v>
      </c>
      <c r="F370" s="557" t="str" cm="1">
        <f t="array" ref="F370">IF($D370="Climate-alignment target",SUMPRODUCT(('AMI Segmentation'!$M$89:$M$238=TRUE)*($AD370='AMI Segmentation'!$AK$89:$AK$238)*('Climate-Alignment Target'!F$353='AMI Segmentation'!$Q$88:$V$88)*('AMI Segmentation'!$Q$89:$V$238)),"")</f>
        <v/>
      </c>
      <c r="G370" s="557" t="str" cm="1">
        <f t="array" ref="G370">IF($D370="Climate-alignment target",SUMPRODUCT(('AMI Segmentation'!$M$89:$M$238=TRUE)*($AD370='AMI Segmentation'!$AK$89:$AK$238)*('Climate-Alignment Target'!G$353='AMI Segmentation'!$Q$88:$V$88)*('AMI Segmentation'!$Q$89:$V$238)),"")</f>
        <v/>
      </c>
      <c r="H370" s="557" t="str" cm="1">
        <f t="array" ref="H370">IF($D370="Climate-alignment target",SUMPRODUCT(('AMI Segmentation'!$M$89:$M$238=TRUE)*($AD370='AMI Segmentation'!$AK$89:$AK$238)*('Climate-Alignment Target'!H$353='AMI Segmentation'!$Q$88:$V$88)*('AMI Segmentation'!$Q$89:$V$238)),"")</f>
        <v/>
      </c>
      <c r="I370" s="557" t="str" cm="1">
        <f t="array" ref="I370">IF($D370="Climate-alignment target",SUMPRODUCT(('AMI Segmentation'!$M$89:$M$238=TRUE)*($AD370='AMI Segmentation'!$AK$89:$AK$238)*('Climate-Alignment Target'!I$353='AMI Segmentation'!$Q$88:$V$88)*('AMI Segmentation'!$Q$89:$V$238)),"")</f>
        <v/>
      </c>
      <c r="J370" s="557" t="str" cm="1">
        <f t="array" ref="J370">IF($D370="Climate-alignment target",SUMPRODUCT(('AMI Segmentation'!$M$89:$M$238=TRUE)*($AD370='AMI Segmentation'!$AK$89:$AK$238)*('Climate-Alignment Target'!J$353='AMI Segmentation'!$Q$88:$V$88)*('AMI Segmentation'!$Q$89:$V$238)),"")</f>
        <v/>
      </c>
      <c r="K370" s="557" t="str">
        <f t="shared" si="236"/>
        <v/>
      </c>
      <c r="L370" s="557" t="str">
        <f t="shared" si="229"/>
        <v/>
      </c>
      <c r="M370" s="562">
        <f t="shared" si="228"/>
        <v>0</v>
      </c>
      <c r="N370" s="915"/>
      <c r="O370" s="563"/>
      <c r="P370" s="562" t="str">
        <f t="shared" si="230"/>
        <v/>
      </c>
      <c r="Q370" s="560" t="str">
        <f t="shared" si="231"/>
        <v/>
      </c>
      <c r="R370" s="16"/>
      <c r="U370" s="1"/>
      <c r="V370" s="1"/>
      <c r="W370" s="26"/>
      <c r="X370" s="113" t="s">
        <v>373</v>
      </c>
      <c r="Y370" s="113">
        <f t="shared" si="232"/>
        <v>2040</v>
      </c>
      <c r="Z370" s="113">
        <f t="shared" si="233"/>
        <v>0.95</v>
      </c>
      <c r="AA370" s="121"/>
      <c r="AB370" s="121" t="str">
        <f t="shared" si="234"/>
        <v/>
      </c>
      <c r="AC370" s="121" t="str">
        <f t="shared" si="235"/>
        <v/>
      </c>
      <c r="AD370" s="107" t="s">
        <v>207</v>
      </c>
    </row>
    <row r="371" spans="1:35" ht="45" hidden="1" customHeight="1" outlineLevel="3">
      <c r="A371" s="340" t="s">
        <v>136</v>
      </c>
      <c r="B371" s="340" t="s">
        <v>399</v>
      </c>
      <c r="C371" s="927"/>
      <c r="D371" s="333" t="str">
        <f>IF(SUMIF('AMI Segmentation'!$AK$89:$AK$238,'Climate-Alignment Target'!AD371,'AMI Segmentation'!$AL$89:$AL$238)&gt;0,"Climate-alignment target",IF(SUMIF('AMI Segmentation'!$AK$89:$AK$238,'Climate-Alignment Target'!AD371,'AMI Segmentation'!$AM$89:$AM$238)&gt;0,"Sector target","No target type selected"))</f>
        <v>No target type selected</v>
      </c>
      <c r="E371" s="557" cm="1">
        <f t="array" ref="E371">SUMPRODUCT(('AMI Segmentation'!$M$89:$M$238=TRUE)*($AD371='AMI Segmentation'!$AK$89:$AK$238)*('Climate-Alignment Target'!E$353='AMI Segmentation'!$Q$88:$V$88)*('AMI Segmentation'!$Q$89:$V$238))</f>
        <v>0</v>
      </c>
      <c r="F371" s="557" t="str" cm="1">
        <f t="array" ref="F371">IF($D371="Climate-alignment target",SUMPRODUCT(('AMI Segmentation'!$M$89:$M$238=TRUE)*($AD371='AMI Segmentation'!$AK$89:$AK$238)*('Climate-Alignment Target'!F$353='AMI Segmentation'!$Q$88:$V$88)*('AMI Segmentation'!$Q$89:$V$238)),"")</f>
        <v/>
      </c>
      <c r="G371" s="557" t="str" cm="1">
        <f t="array" ref="G371">IF($D371="Climate-alignment target",SUMPRODUCT(('AMI Segmentation'!$M$89:$M$238=TRUE)*($AD371='AMI Segmentation'!$AK$89:$AK$238)*('Climate-Alignment Target'!G$353='AMI Segmentation'!$Q$88:$V$88)*('AMI Segmentation'!$Q$89:$V$238)),"")</f>
        <v/>
      </c>
      <c r="H371" s="557" t="str" cm="1">
        <f t="array" ref="H371">IF($D371="Climate-alignment target",SUMPRODUCT(('AMI Segmentation'!$M$89:$M$238=TRUE)*($AD371='AMI Segmentation'!$AK$89:$AK$238)*('Climate-Alignment Target'!H$353='AMI Segmentation'!$Q$88:$V$88)*('AMI Segmentation'!$Q$89:$V$238)),"")</f>
        <v/>
      </c>
      <c r="I371" s="557" t="str" cm="1">
        <f t="array" ref="I371">IF($D371="Climate-alignment target",SUMPRODUCT(('AMI Segmentation'!$M$89:$M$238=TRUE)*($AD371='AMI Segmentation'!$AK$89:$AK$238)*('Climate-Alignment Target'!I$353='AMI Segmentation'!$Q$88:$V$88)*('AMI Segmentation'!$Q$89:$V$238)),"")</f>
        <v/>
      </c>
      <c r="J371" s="557" t="str" cm="1">
        <f t="array" ref="J371">IF($D371="Climate-alignment target",SUMPRODUCT(('AMI Segmentation'!$M$89:$M$238=TRUE)*($AD371='AMI Segmentation'!$AK$89:$AK$238)*('Climate-Alignment Target'!J$353='AMI Segmentation'!$Q$88:$V$88)*('AMI Segmentation'!$Q$89:$V$238)),"")</f>
        <v/>
      </c>
      <c r="K371" s="557" t="str">
        <f t="shared" si="236"/>
        <v/>
      </c>
      <c r="L371" s="557" t="str">
        <f t="shared" si="229"/>
        <v/>
      </c>
      <c r="M371" s="562">
        <f t="shared" si="228"/>
        <v>0</v>
      </c>
      <c r="N371" s="915"/>
      <c r="O371" s="563"/>
      <c r="P371" s="562" t="str">
        <f t="shared" si="230"/>
        <v/>
      </c>
      <c r="Q371" s="560" t="str">
        <f t="shared" si="231"/>
        <v/>
      </c>
      <c r="R371" s="16"/>
      <c r="U371" s="1"/>
      <c r="V371" s="1"/>
      <c r="W371" s="26"/>
      <c r="X371" s="113" t="s">
        <v>378</v>
      </c>
      <c r="Y371" s="113">
        <f t="shared" si="232"/>
        <v>2050</v>
      </c>
      <c r="Z371" s="113">
        <f t="shared" si="233"/>
        <v>0.95</v>
      </c>
      <c r="AA371" s="121"/>
      <c r="AB371" s="121" t="str">
        <f t="shared" si="234"/>
        <v/>
      </c>
      <c r="AC371" s="121" t="str">
        <f t="shared" si="235"/>
        <v/>
      </c>
      <c r="AD371" s="107" t="s">
        <v>224</v>
      </c>
    </row>
    <row r="372" spans="1:35" ht="45" hidden="1" customHeight="1" outlineLevel="3">
      <c r="A372" s="340" t="s">
        <v>121</v>
      </c>
      <c r="B372" s="340" t="s">
        <v>400</v>
      </c>
      <c r="C372" s="927"/>
      <c r="D372" s="333" t="str">
        <f>IF(SUMIF('AMI Segmentation'!$AK$89:$AK$238,'Climate-Alignment Target'!AD372,'AMI Segmentation'!$AL$89:$AL$238)&gt;0,"Climate-alignment target",IF(SUMIF('AMI Segmentation'!$AK$89:$AK$238,'Climate-Alignment Target'!AD372,'AMI Segmentation'!$AM$89:$AM$238)&gt;0,"Sector target","No target type selected"))</f>
        <v>No target type selected</v>
      </c>
      <c r="E372" s="557" cm="1">
        <f t="array" ref="E372">SUMPRODUCT(('AMI Segmentation'!$M$89:$M$238=TRUE)*($AD372='AMI Segmentation'!$AK$89:$AK$238)*('Climate-Alignment Target'!E$353='AMI Segmentation'!$Q$88:$V$88)*('AMI Segmentation'!$Q$89:$V$238))</f>
        <v>0</v>
      </c>
      <c r="F372" s="557" t="str" cm="1">
        <f t="array" ref="F372">IF($D372="Climate-alignment target",SUMPRODUCT(('AMI Segmentation'!$M$89:$M$238=TRUE)*($AD372='AMI Segmentation'!$AK$89:$AK$238)*('Climate-Alignment Target'!F$353='AMI Segmentation'!$Q$88:$V$88)*('AMI Segmentation'!$Q$89:$V$238)),"")</f>
        <v/>
      </c>
      <c r="G372" s="557" t="str" cm="1">
        <f t="array" ref="G372">IF($D372="Climate-alignment target",SUMPRODUCT(('AMI Segmentation'!$M$89:$M$238=TRUE)*($AD372='AMI Segmentation'!$AK$89:$AK$238)*('Climate-Alignment Target'!G$353='AMI Segmentation'!$Q$88:$V$88)*('AMI Segmentation'!$Q$89:$V$238)),"")</f>
        <v/>
      </c>
      <c r="H372" s="557" t="str" cm="1">
        <f t="array" ref="H372">IF($D372="Climate-alignment target",SUMPRODUCT(('AMI Segmentation'!$M$89:$M$238=TRUE)*($AD372='AMI Segmentation'!$AK$89:$AK$238)*('Climate-Alignment Target'!H$353='AMI Segmentation'!$Q$88:$V$88)*('AMI Segmentation'!$Q$89:$V$238)),"")</f>
        <v/>
      </c>
      <c r="I372" s="557" t="str" cm="1">
        <f t="array" ref="I372">IF($D372="Climate-alignment target",SUMPRODUCT(('AMI Segmentation'!$M$89:$M$238=TRUE)*($AD372='AMI Segmentation'!$AK$89:$AK$238)*('Climate-Alignment Target'!I$353='AMI Segmentation'!$Q$88:$V$88)*('AMI Segmentation'!$Q$89:$V$238)),"")</f>
        <v/>
      </c>
      <c r="J372" s="557" t="str" cm="1">
        <f t="array" ref="J372">IF($D372="Climate-alignment target",SUMPRODUCT(('AMI Segmentation'!$M$89:$M$238=TRUE)*($AD372='AMI Segmentation'!$AK$89:$AK$238)*('Climate-Alignment Target'!J$353='AMI Segmentation'!$Q$88:$V$88)*('AMI Segmentation'!$Q$89:$V$238)),"")</f>
        <v/>
      </c>
      <c r="K372" s="557" t="str">
        <f t="shared" si="236"/>
        <v/>
      </c>
      <c r="L372" s="557" t="str">
        <f t="shared" si="229"/>
        <v/>
      </c>
      <c r="M372" s="562">
        <f t="shared" si="228"/>
        <v>0</v>
      </c>
      <c r="N372" s="915"/>
      <c r="O372" s="563"/>
      <c r="P372" s="562" t="str">
        <f t="shared" si="230"/>
        <v/>
      </c>
      <c r="Q372" s="560" t="str">
        <f t="shared" si="231"/>
        <v/>
      </c>
      <c r="R372" s="16"/>
      <c r="U372" s="1"/>
      <c r="V372" s="1"/>
      <c r="W372" s="26"/>
      <c r="X372" s="113" t="s">
        <v>373</v>
      </c>
      <c r="Y372" s="113">
        <f t="shared" si="232"/>
        <v>2040</v>
      </c>
      <c r="Z372" s="113">
        <f t="shared" si="233"/>
        <v>0.95</v>
      </c>
      <c r="AA372" s="121"/>
      <c r="AB372" s="121" t="str">
        <f t="shared" si="234"/>
        <v/>
      </c>
      <c r="AC372" s="121" t="str">
        <f t="shared" si="235"/>
        <v/>
      </c>
      <c r="AD372" s="107" t="s">
        <v>211</v>
      </c>
    </row>
    <row r="373" spans="1:35" ht="45" hidden="1" customHeight="1" outlineLevel="3">
      <c r="A373" s="340" t="s">
        <v>136</v>
      </c>
      <c r="B373" s="340" t="s">
        <v>400</v>
      </c>
      <c r="C373" s="927"/>
      <c r="D373" s="333" t="str">
        <f>IF(SUMIF('AMI Segmentation'!$AK$89:$AK$238,'Climate-Alignment Target'!AD373,'AMI Segmentation'!$AL$89:$AL$238)&gt;0,"Climate-alignment target",IF(SUMIF('AMI Segmentation'!$AK$89:$AK$238,'Climate-Alignment Target'!AD373,'AMI Segmentation'!$AM$89:$AM$238)&gt;0,"Sector target","No target type selected"))</f>
        <v>No target type selected</v>
      </c>
      <c r="E373" s="557" cm="1">
        <f t="array" ref="E373">SUMPRODUCT(('AMI Segmentation'!$M$89:$M$238=TRUE)*($AD373='AMI Segmentation'!$AK$89:$AK$238)*('Climate-Alignment Target'!E$353='AMI Segmentation'!$Q$88:$V$88)*('AMI Segmentation'!$Q$89:$V$238))</f>
        <v>0</v>
      </c>
      <c r="F373" s="557" t="str" cm="1">
        <f t="array" ref="F373">IF($D373="Climate-alignment target",SUMPRODUCT(('AMI Segmentation'!$M$89:$M$238=TRUE)*($AD373='AMI Segmentation'!$AK$89:$AK$238)*('Climate-Alignment Target'!F$353='AMI Segmentation'!$Q$88:$V$88)*('AMI Segmentation'!$Q$89:$V$238)),"")</f>
        <v/>
      </c>
      <c r="G373" s="557" t="str" cm="1">
        <f t="array" ref="G373">IF($D373="Climate-alignment target",SUMPRODUCT(('AMI Segmentation'!$M$89:$M$238=TRUE)*($AD373='AMI Segmentation'!$AK$89:$AK$238)*('Climate-Alignment Target'!G$353='AMI Segmentation'!$Q$88:$V$88)*('AMI Segmentation'!$Q$89:$V$238)),"")</f>
        <v/>
      </c>
      <c r="H373" s="557" t="str" cm="1">
        <f t="array" ref="H373">IF($D373="Climate-alignment target",SUMPRODUCT(('AMI Segmentation'!$M$89:$M$238=TRUE)*($AD373='AMI Segmentation'!$AK$89:$AK$238)*('Climate-Alignment Target'!H$353='AMI Segmentation'!$Q$88:$V$88)*('AMI Segmentation'!$Q$89:$V$238)),"")</f>
        <v/>
      </c>
      <c r="I373" s="557" t="str" cm="1">
        <f t="array" ref="I373">IF($D373="Climate-alignment target",SUMPRODUCT(('AMI Segmentation'!$M$89:$M$238=TRUE)*($AD373='AMI Segmentation'!$AK$89:$AK$238)*('Climate-Alignment Target'!I$353='AMI Segmentation'!$Q$88:$V$88)*('AMI Segmentation'!$Q$89:$V$238)),"")</f>
        <v/>
      </c>
      <c r="J373" s="557" t="str" cm="1">
        <f t="array" ref="J373">IF($D373="Climate-alignment target",SUMPRODUCT(('AMI Segmentation'!$M$89:$M$238=TRUE)*($AD373='AMI Segmentation'!$AK$89:$AK$238)*('Climate-Alignment Target'!J$353='AMI Segmentation'!$Q$88:$V$88)*('AMI Segmentation'!$Q$89:$V$238)),"")</f>
        <v/>
      </c>
      <c r="K373" s="557" t="str">
        <f t="shared" si="236"/>
        <v/>
      </c>
      <c r="L373" s="557" t="str">
        <f>IF(AND(E373=K373,D373="Climate-alignment target"),"OK",IF(D373="Sector target","OK - covered by sector target",IF(AND(E373=0,D373="No target type selected"),"","Select a target type")))</f>
        <v/>
      </c>
      <c r="M373" s="562">
        <f>IF(SUM(F373:J373)=0,0,SUM(H373:J373)/(SUM(F373:J373)))</f>
        <v>0</v>
      </c>
      <c r="N373" s="915"/>
      <c r="O373" s="563"/>
      <c r="P373" s="562" t="str">
        <f t="shared" si="230"/>
        <v/>
      </c>
      <c r="Q373" s="560" t="str">
        <f t="shared" si="231"/>
        <v/>
      </c>
      <c r="R373" s="16"/>
      <c r="U373" s="1"/>
      <c r="V373" s="1"/>
      <c r="W373" s="26"/>
      <c r="X373" s="113" t="s">
        <v>378</v>
      </c>
      <c r="Y373" s="113">
        <f t="shared" si="232"/>
        <v>2050</v>
      </c>
      <c r="Z373" s="113">
        <f t="shared" si="233"/>
        <v>0.95</v>
      </c>
      <c r="AA373" s="121"/>
      <c r="AB373" s="121" t="str">
        <f t="shared" si="234"/>
        <v/>
      </c>
      <c r="AC373" s="121" t="str">
        <f t="shared" si="235"/>
        <v/>
      </c>
      <c r="AD373" s="107" t="s">
        <v>226</v>
      </c>
    </row>
    <row r="374" spans="1:35" ht="45" hidden="1" customHeight="1" outlineLevel="3">
      <c r="A374" s="340" t="s">
        <v>136</v>
      </c>
      <c r="B374" s="340" t="s">
        <v>416</v>
      </c>
      <c r="C374" s="927"/>
      <c r="D374" s="333" t="str">
        <f>IF(SUMIF('AMI Segmentation'!$AK$89:$AK$238,'Climate-Alignment Target'!AD374,'AMI Segmentation'!$AL$89:$AL$238)&gt;0,"Climate-alignment target",IF(SUMIF('AMI Segmentation'!$AK$89:$AK$238,'Climate-Alignment Target'!AD374,'AMI Segmentation'!$AM$89:$AM$238)&gt;0,"Sector target","No target type selected"))</f>
        <v>No target type selected</v>
      </c>
      <c r="E374" s="557" cm="1">
        <f t="array" ref="E374">SUMPRODUCT(('AMI Segmentation'!$M$89:$M$238=TRUE)*($AD374='AMI Segmentation'!$AK$89:$AK$238)*('Climate-Alignment Target'!E$353='AMI Segmentation'!$Q$88:$V$88)*('AMI Segmentation'!$Q$89:$V$238))</f>
        <v>0</v>
      </c>
      <c r="F374" s="557" t="str" cm="1">
        <f t="array" ref="F374">IF($D374="Climate-alignment target",SUMPRODUCT(('AMI Segmentation'!$M$89:$M$238=TRUE)*($AD374='AMI Segmentation'!$AK$89:$AK$238)*('Climate-Alignment Target'!F$353='AMI Segmentation'!$Q$88:$V$88)*('AMI Segmentation'!$Q$89:$V$238)),"")</f>
        <v/>
      </c>
      <c r="G374" s="557" t="str" cm="1">
        <f t="array" ref="G374">IF($D374="Climate-alignment target",SUMPRODUCT(('AMI Segmentation'!$M$89:$M$238=TRUE)*($AD374='AMI Segmentation'!$AK$89:$AK$238)*('Climate-Alignment Target'!G$353='AMI Segmentation'!$Q$88:$V$88)*('AMI Segmentation'!$Q$89:$V$238)),"")</f>
        <v/>
      </c>
      <c r="H374" s="557" t="str" cm="1">
        <f t="array" ref="H374">IF($D374="Climate-alignment target",SUMPRODUCT(('AMI Segmentation'!$M$89:$M$238=TRUE)*($AD374='AMI Segmentation'!$AK$89:$AK$238)*('Climate-Alignment Target'!H$353='AMI Segmentation'!$Q$88:$V$88)*('AMI Segmentation'!$Q$89:$V$238)),"")</f>
        <v/>
      </c>
      <c r="I374" s="557" t="str" cm="1">
        <f t="array" ref="I374">IF($D374="Climate-alignment target",SUMPRODUCT(('AMI Segmentation'!$M$89:$M$238=TRUE)*($AD374='AMI Segmentation'!$AK$89:$AK$238)*('Climate-Alignment Target'!I$353='AMI Segmentation'!$Q$88:$V$88)*('AMI Segmentation'!$Q$89:$V$238)),"")</f>
        <v/>
      </c>
      <c r="J374" s="557" t="str" cm="1">
        <f t="array" ref="J374">IF($D374="Climate-alignment target",SUMPRODUCT(('AMI Segmentation'!$M$89:$M$238=TRUE)*($AD374='AMI Segmentation'!$AK$89:$AK$238)*('Climate-Alignment Target'!J$353='AMI Segmentation'!$Q$88:$V$88)*('AMI Segmentation'!$Q$89:$V$238)),"")</f>
        <v/>
      </c>
      <c r="K374" s="557" t="str">
        <f t="shared" si="236"/>
        <v/>
      </c>
      <c r="L374" s="557" t="str">
        <f t="shared" si="229"/>
        <v/>
      </c>
      <c r="M374" s="562">
        <f>IF(SUM(F374:J374)=0,0,SUM(H374:J374)/(SUM(F374:J374)))</f>
        <v>0</v>
      </c>
      <c r="N374" s="915"/>
      <c r="O374" s="563"/>
      <c r="P374" s="562" t="str">
        <f t="shared" si="230"/>
        <v/>
      </c>
      <c r="Q374" s="560" t="str">
        <f t="shared" si="231"/>
        <v/>
      </c>
      <c r="R374" s="16"/>
      <c r="U374" s="1"/>
      <c r="V374" s="1"/>
      <c r="W374" s="26"/>
      <c r="X374" s="113" t="s">
        <v>378</v>
      </c>
      <c r="Y374" s="113">
        <f t="shared" si="232"/>
        <v>2050</v>
      </c>
      <c r="Z374" s="113">
        <f t="shared" si="233"/>
        <v>0.95</v>
      </c>
      <c r="AA374" s="121"/>
      <c r="AB374" s="121" t="str">
        <f t="shared" si="234"/>
        <v/>
      </c>
      <c r="AC374" s="121" t="str">
        <f t="shared" si="235"/>
        <v/>
      </c>
      <c r="AD374" s="107" t="s">
        <v>265</v>
      </c>
    </row>
    <row r="375" spans="1:35" ht="45" hidden="1" customHeight="1" outlineLevel="3">
      <c r="A375" s="340" t="s">
        <v>136</v>
      </c>
      <c r="B375" s="340" t="s">
        <v>401</v>
      </c>
      <c r="C375" s="927"/>
      <c r="D375" s="333" t="str">
        <f>IF(SUMIF('AMI Segmentation'!$AK$89:$AK$238,'Climate-Alignment Target'!AD375,'AMI Segmentation'!$AL$89:$AL$238)&gt;0,"Climate-alignment target",IF(SUMIF('AMI Segmentation'!$AK$89:$AK$238,'Climate-Alignment Target'!AD375,'AMI Segmentation'!$AM$89:$AM$238)&gt;0,"Sector target","No target type selected"))</f>
        <v>No target type selected</v>
      </c>
      <c r="E375" s="557" cm="1">
        <f t="array" ref="E375">SUMPRODUCT(('AMI Segmentation'!$M$89:$M$238=TRUE)*($AD375='AMI Segmentation'!$AK$89:$AK$238)*('Climate-Alignment Target'!E$353='AMI Segmentation'!$Q$88:$V$88)*('AMI Segmentation'!$Q$89:$V$238))</f>
        <v>0</v>
      </c>
      <c r="F375" s="557" t="str" cm="1">
        <f t="array" ref="F375">IF($D375="Climate-alignment target",SUMPRODUCT(('AMI Segmentation'!$M$89:$M$238=TRUE)*($AD375='AMI Segmentation'!$AK$89:$AK$238)*('Climate-Alignment Target'!F$353='AMI Segmentation'!$Q$88:$V$88)*('AMI Segmentation'!$Q$89:$V$238)),"")</f>
        <v/>
      </c>
      <c r="G375" s="557" t="str" cm="1">
        <f t="array" ref="G375">IF($D375="Climate-alignment target",SUMPRODUCT(('AMI Segmentation'!$M$89:$M$238=TRUE)*($AD375='AMI Segmentation'!$AK$89:$AK$238)*('Climate-Alignment Target'!G$353='AMI Segmentation'!$Q$88:$V$88)*('AMI Segmentation'!$Q$89:$V$238)),"")</f>
        <v/>
      </c>
      <c r="H375" s="557" t="str" cm="1">
        <f t="array" ref="H375">IF($D375="Climate-alignment target",SUMPRODUCT(('AMI Segmentation'!$M$89:$M$238=TRUE)*($AD375='AMI Segmentation'!$AK$89:$AK$238)*('Climate-Alignment Target'!H$353='AMI Segmentation'!$Q$88:$V$88)*('AMI Segmentation'!$Q$89:$V$238)),"")</f>
        <v/>
      </c>
      <c r="I375" s="557" t="str" cm="1">
        <f t="array" ref="I375">IF($D375="Climate-alignment target",SUMPRODUCT(('AMI Segmentation'!$M$89:$M$238=TRUE)*($AD375='AMI Segmentation'!$AK$89:$AK$238)*('Climate-Alignment Target'!I$353='AMI Segmentation'!$Q$88:$V$88)*('AMI Segmentation'!$Q$89:$V$238)),"")</f>
        <v/>
      </c>
      <c r="J375" s="557" t="str" cm="1">
        <f t="array" ref="J375">IF($D375="Climate-alignment target",SUMPRODUCT(('AMI Segmentation'!$M$89:$M$238=TRUE)*($AD375='AMI Segmentation'!$AK$89:$AK$238)*('Climate-Alignment Target'!J$353='AMI Segmentation'!$Q$88:$V$88)*('AMI Segmentation'!$Q$89:$V$238)),"")</f>
        <v/>
      </c>
      <c r="K375" s="557" t="str">
        <f t="shared" si="236"/>
        <v/>
      </c>
      <c r="L375" s="557" t="str">
        <f t="shared" si="229"/>
        <v/>
      </c>
      <c r="M375" s="562">
        <f>IF(SUM(F375:J375)=0,0,SUM(H375:J375)/(SUM(F375:J375)))</f>
        <v>0</v>
      </c>
      <c r="N375" s="915"/>
      <c r="O375" s="563"/>
      <c r="P375" s="562" t="str">
        <f t="shared" si="230"/>
        <v/>
      </c>
      <c r="Q375" s="560" t="str">
        <f t="shared" si="231"/>
        <v/>
      </c>
      <c r="R375" s="16"/>
      <c r="U375" s="1"/>
      <c r="V375" s="1"/>
      <c r="W375" s="26"/>
      <c r="X375" s="113" t="s">
        <v>378</v>
      </c>
      <c r="Y375" s="113">
        <f t="shared" si="232"/>
        <v>2050</v>
      </c>
      <c r="Z375" s="113">
        <f t="shared" si="233"/>
        <v>0.95</v>
      </c>
      <c r="AA375" s="121"/>
      <c r="AB375" s="121" t="str">
        <f t="shared" si="234"/>
        <v/>
      </c>
      <c r="AC375" s="121" t="str">
        <f t="shared" si="235"/>
        <v/>
      </c>
      <c r="AD375" s="107" t="s">
        <v>228</v>
      </c>
    </row>
    <row r="376" spans="1:35" ht="45" hidden="1" customHeight="1" outlineLevel="3">
      <c r="A376" s="340" t="s">
        <v>136</v>
      </c>
      <c r="B376" s="340" t="s">
        <v>135</v>
      </c>
      <c r="C376" s="927"/>
      <c r="D376" s="333" t="str">
        <f>IF(SUMIF('AMI Segmentation'!$AK$89:$AK$238,'Climate-Alignment Target'!AD376,'AMI Segmentation'!$AL$89:$AL$238)&gt;0,"Climate-alignment target",IF(SUMIF('AMI Segmentation'!$AK$89:$AK$238,'Climate-Alignment Target'!AD376,'AMI Segmentation'!$AM$89:$AM$238)&gt;0,"Sector target","No target type selected"))</f>
        <v>No target type selected</v>
      </c>
      <c r="E376" s="557" cm="1">
        <f t="array" ref="E376">SUMPRODUCT(('AMI Segmentation'!$M$89:$M$238=TRUE)*($AD376='AMI Segmentation'!$AK$89:$AK$238)*('Climate-Alignment Target'!E$353='AMI Segmentation'!$Q$88:$V$88)*('AMI Segmentation'!$Q$89:$V$238))</f>
        <v>0</v>
      </c>
      <c r="F376" s="557" t="str" cm="1">
        <f t="array" ref="F376">IF($D376="Climate-alignment target",SUMPRODUCT(('AMI Segmentation'!$M$89:$M$238=TRUE)*($AD376='AMI Segmentation'!$AK$89:$AK$238)*('Climate-Alignment Target'!F$353='AMI Segmentation'!$Q$88:$V$88)*('AMI Segmentation'!$Q$89:$V$238)),"")</f>
        <v/>
      </c>
      <c r="G376" s="557" t="str" cm="1">
        <f t="array" ref="G376">IF($D376="Climate-alignment target",SUMPRODUCT(('AMI Segmentation'!$M$89:$M$238=TRUE)*($AD376='AMI Segmentation'!$AK$89:$AK$238)*('Climate-Alignment Target'!G$353='AMI Segmentation'!$Q$88:$V$88)*('AMI Segmentation'!$Q$89:$V$238)),"")</f>
        <v/>
      </c>
      <c r="H376" s="557" t="str" cm="1">
        <f t="array" ref="H376">IF($D376="Climate-alignment target",SUMPRODUCT(('AMI Segmentation'!$M$89:$M$238=TRUE)*($AD376='AMI Segmentation'!$AK$89:$AK$238)*('Climate-Alignment Target'!H$353='AMI Segmentation'!$Q$88:$V$88)*('AMI Segmentation'!$Q$89:$V$238)),"")</f>
        <v/>
      </c>
      <c r="I376" s="557" t="str" cm="1">
        <f t="array" ref="I376">IF($D376="Climate-alignment target",SUMPRODUCT(('AMI Segmentation'!$M$89:$M$238=TRUE)*($AD376='AMI Segmentation'!$AK$89:$AK$238)*('Climate-Alignment Target'!I$353='AMI Segmentation'!$Q$88:$V$88)*('AMI Segmentation'!$Q$89:$V$238)),"")</f>
        <v/>
      </c>
      <c r="J376" s="557" t="str" cm="1">
        <f t="array" ref="J376">IF($D376="Climate-alignment target",SUMPRODUCT(('AMI Segmentation'!$M$89:$M$238=TRUE)*($AD376='AMI Segmentation'!$AK$89:$AK$238)*('Climate-Alignment Target'!J$353='AMI Segmentation'!$Q$88:$V$88)*('AMI Segmentation'!$Q$89:$V$238)),"")</f>
        <v/>
      </c>
      <c r="K376" s="557" t="str">
        <f t="shared" ref="K376" si="237">IF(D376&lt;&gt;"Climate-alignment target","",SUM(F376:J376))</f>
        <v/>
      </c>
      <c r="L376" s="557" t="str">
        <f t="shared" ref="L376" si="238">IF(AND(E376=K376,D376="Climate-alignment target"),"OK",IF(D376="Sector target","OK - covered by sector target",IF(AND(E376=0,D376="No target type selected"),"","Select a target type")))</f>
        <v/>
      </c>
      <c r="M376" s="562">
        <f>IF(SUM(F376:J376)=0,0,SUM(H376:J376)/(SUM(F376:J376)))</f>
        <v>0</v>
      </c>
      <c r="N376" s="915"/>
      <c r="O376" s="563"/>
      <c r="P376" s="562" t="str">
        <f t="shared" ref="P376" si="239">IF(AND($D376="Climate-alignment target",$N$355&lt;&gt;""),IF(M376&gt;$Z376,M376,(M376+($Z376-M376)/($Y376-$I$313)*($N$355-$I$313))),"")</f>
        <v/>
      </c>
      <c r="Q376" s="560" t="str">
        <f t="shared" ref="Q376" si="240">IF(O376="","",IF(O376-P376&gt;=0,"OK","Minimum ambition not met, please increase ambition"))</f>
        <v/>
      </c>
      <c r="R376" s="16"/>
      <c r="U376" s="1"/>
      <c r="V376" s="1"/>
      <c r="W376" s="26"/>
      <c r="X376" s="113" t="s">
        <v>378</v>
      </c>
      <c r="Y376" s="113">
        <f t="shared" ref="Y376" si="241">_xlfn.XLOOKUP($X376,$AB$17:$AB$24,AE$17:AE$24,0,0)</f>
        <v>2050</v>
      </c>
      <c r="Z376" s="113">
        <f t="shared" ref="Z376" si="242">_xlfn.XLOOKUP($X376,$AB$17:$AB$24,AF$17:AF$24,0,0)</f>
        <v>0.95</v>
      </c>
      <c r="AA376" s="121"/>
      <c r="AB376" s="121" t="str">
        <f t="shared" ref="AB376" si="243">IF($D376&lt;&gt;"Climate-alignment target","",O376*K376)</f>
        <v/>
      </c>
      <c r="AC376" s="121" t="str">
        <f t="shared" ref="AC376" si="244">IF($D376&lt;&gt;"Climate-alignment target","",K376)</f>
        <v/>
      </c>
      <c r="AD376" s="107" t="s">
        <v>214</v>
      </c>
    </row>
    <row r="377" spans="1:35" ht="45" hidden="1" customHeight="1" outlineLevel="3">
      <c r="A377" s="340" t="s">
        <v>130</v>
      </c>
      <c r="B377" s="340" t="s">
        <v>129</v>
      </c>
      <c r="C377" s="927"/>
      <c r="D377" s="333" t="str">
        <f>IF(SUMIF('AMI Segmentation'!$AK$89:$AK$238,'Climate-Alignment Target'!AD377,'AMI Segmentation'!$AL$89:$AL$238)&gt;0,"Climate-alignment target",IF(SUMIF('AMI Segmentation'!$AK$89:$AK$238,'Climate-Alignment Target'!AD377,'AMI Segmentation'!$AM$89:$AM$238)&gt;0,"Sector target","No target type selected"))</f>
        <v>No target type selected</v>
      </c>
      <c r="E377" s="557" cm="1">
        <f t="array" ref="E377">SUMPRODUCT(('AMI Segmentation'!$M$89:$M$238=TRUE)*($AD377='AMI Segmentation'!$AK$89:$AK$238)*('Climate-Alignment Target'!E$353='AMI Segmentation'!$Q$88:$V$88)*('AMI Segmentation'!$Q$89:$V$238))</f>
        <v>0</v>
      </c>
      <c r="F377" s="557" t="str" cm="1">
        <f t="array" ref="F377">IF($D377="Climate-alignment target",SUMPRODUCT(('AMI Segmentation'!$M$89:$M$238=TRUE)*($AD377='AMI Segmentation'!$AK$89:$AK$238)*('Climate-Alignment Target'!F$353='AMI Segmentation'!$Q$88:$V$88)*('AMI Segmentation'!$Q$89:$V$238)),"")</f>
        <v/>
      </c>
      <c r="G377" s="557" t="str" cm="1">
        <f t="array" ref="G377">IF($D377="Climate-alignment target",SUMPRODUCT(('AMI Segmentation'!$M$89:$M$238=TRUE)*($AD377='AMI Segmentation'!$AK$89:$AK$238)*('Climate-Alignment Target'!G$353='AMI Segmentation'!$Q$88:$V$88)*('AMI Segmentation'!$Q$89:$V$238)),"")</f>
        <v/>
      </c>
      <c r="H377" s="557" t="str" cm="1">
        <f t="array" ref="H377">IF($D377="Climate-alignment target",SUMPRODUCT(('AMI Segmentation'!$M$89:$M$238=TRUE)*($AD377='AMI Segmentation'!$AK$89:$AK$238)*('Climate-Alignment Target'!H$353='AMI Segmentation'!$Q$88:$V$88)*('AMI Segmentation'!$Q$89:$V$238)),"")</f>
        <v/>
      </c>
      <c r="I377" s="557" t="str" cm="1">
        <f t="array" ref="I377">IF($D377="Climate-alignment target",SUMPRODUCT(('AMI Segmentation'!$M$89:$M$238=TRUE)*($AD377='AMI Segmentation'!$AK$89:$AK$238)*('Climate-Alignment Target'!I$353='AMI Segmentation'!$Q$88:$V$88)*('AMI Segmentation'!$Q$89:$V$238)),"")</f>
        <v/>
      </c>
      <c r="J377" s="557" t="str" cm="1">
        <f t="array" ref="J377">IF($D377="Climate-alignment target",SUMPRODUCT(('AMI Segmentation'!$M$89:$M$238=TRUE)*($AD377='AMI Segmentation'!$AK$89:$AK$238)*('Climate-Alignment Target'!J$353='AMI Segmentation'!$Q$88:$V$88)*('AMI Segmentation'!$Q$89:$V$238)),"")</f>
        <v/>
      </c>
      <c r="K377" s="557" t="str">
        <f t="shared" si="236"/>
        <v/>
      </c>
      <c r="L377" s="557" t="str">
        <f t="shared" si="229"/>
        <v/>
      </c>
      <c r="M377" s="562">
        <f>IF(SUM(F377:J377)=0,0,SUM(H377:J377)/(SUM(F377:J377)))</f>
        <v>0</v>
      </c>
      <c r="N377" s="915"/>
      <c r="O377" s="563"/>
      <c r="P377" s="562" t="str">
        <f t="shared" si="230"/>
        <v/>
      </c>
      <c r="Q377" s="560" t="str">
        <f t="shared" si="231"/>
        <v/>
      </c>
      <c r="R377" s="16"/>
      <c r="U377" s="1"/>
      <c r="V377" s="1"/>
      <c r="W377" s="26"/>
      <c r="X377" s="113" t="s">
        <v>376</v>
      </c>
      <c r="Y377" s="113">
        <f t="shared" si="232"/>
        <v>2040</v>
      </c>
      <c r="Z377" s="113">
        <f t="shared" si="233"/>
        <v>0.95</v>
      </c>
      <c r="AA377" s="121"/>
      <c r="AB377" s="121" t="str">
        <f t="shared" si="234"/>
        <v/>
      </c>
      <c r="AC377" s="121" t="str">
        <f t="shared" si="235"/>
        <v/>
      </c>
      <c r="AD377" s="107" t="s">
        <v>213</v>
      </c>
    </row>
    <row r="378" spans="1:35" ht="15" hidden="1" customHeight="1" outlineLevel="3">
      <c r="B378" s="1"/>
      <c r="C378" s="1"/>
      <c r="D378" s="1"/>
      <c r="E378" s="1"/>
      <c r="F378" s="1"/>
      <c r="G378" s="20"/>
      <c r="H378" s="1"/>
      <c r="I378" s="1"/>
      <c r="Q378" s="608"/>
      <c r="R378" s="608"/>
      <c r="S378" s="608"/>
      <c r="T378" s="608"/>
      <c r="Z378" s="121"/>
    </row>
    <row r="379" spans="1:35" ht="15" hidden="1" customHeight="1" outlineLevel="3">
      <c r="A379" s="858" t="s">
        <v>402</v>
      </c>
      <c r="B379" s="858"/>
      <c r="C379" s="858"/>
      <c r="D379" s="858"/>
      <c r="E379" s="858"/>
      <c r="F379" s="858"/>
      <c r="G379" s="858"/>
      <c r="H379" s="858"/>
      <c r="I379" s="858"/>
      <c r="J379" s="858"/>
      <c r="K379" s="858"/>
      <c r="L379" s="858"/>
      <c r="M379" s="858"/>
      <c r="N379" s="858"/>
      <c r="O379" s="858"/>
      <c r="P379" s="858"/>
      <c r="Q379" s="858"/>
      <c r="R379" s="858"/>
      <c r="S379" s="858"/>
      <c r="T379" s="858"/>
      <c r="U379" s="70"/>
      <c r="V379" s="70"/>
      <c r="W379" s="70"/>
      <c r="X379" s="123"/>
    </row>
    <row r="380" spans="1:35" ht="6.75" hidden="1" customHeight="1" outlineLevel="3">
      <c r="B380" s="1"/>
      <c r="C380" s="1"/>
      <c r="D380" s="1"/>
      <c r="E380" s="1"/>
      <c r="F380" s="1"/>
      <c r="G380" s="21"/>
      <c r="H380" s="1"/>
      <c r="I380" s="1"/>
      <c r="N380" s="608"/>
      <c r="O380" s="608"/>
      <c r="P380" s="608"/>
      <c r="Z380" s="121"/>
      <c r="AA380" s="121"/>
    </row>
    <row r="381" spans="1:35" ht="30" hidden="1" customHeight="1" outlineLevel="3">
      <c r="A381" s="885" t="s">
        <v>99</v>
      </c>
      <c r="B381" s="885"/>
      <c r="C381" s="912" t="s">
        <v>364</v>
      </c>
      <c r="D381" s="798" t="s">
        <v>403</v>
      </c>
      <c r="E381" s="885" t="s">
        <v>365</v>
      </c>
      <c r="F381" s="885"/>
      <c r="G381" s="885"/>
      <c r="H381" s="885"/>
      <c r="I381" s="885"/>
      <c r="J381" s="885"/>
      <c r="K381" s="885"/>
      <c r="L381" s="885"/>
      <c r="M381" s="798" t="s">
        <v>809</v>
      </c>
      <c r="N381" s="885" t="s">
        <v>366</v>
      </c>
      <c r="O381" s="885"/>
      <c r="P381" s="885"/>
      <c r="Q381" s="834" t="s">
        <v>367</v>
      </c>
      <c r="R381" s="868"/>
      <c r="S381" s="868"/>
      <c r="T381" s="835"/>
      <c r="W381" s="1"/>
      <c r="X381" s="121"/>
    </row>
    <row r="382" spans="1:35" ht="68" hidden="1" outlineLevel="3">
      <c r="A382" s="885"/>
      <c r="B382" s="885"/>
      <c r="C382" s="912"/>
      <c r="D382" s="798"/>
      <c r="E382" s="343" t="s">
        <v>106</v>
      </c>
      <c r="F382" s="554" t="s">
        <v>101</v>
      </c>
      <c r="G382" s="554" t="s">
        <v>102</v>
      </c>
      <c r="H382" s="558" t="s">
        <v>103</v>
      </c>
      <c r="I382" s="558" t="s">
        <v>104</v>
      </c>
      <c r="J382" s="554" t="s">
        <v>105</v>
      </c>
      <c r="K382" s="798" t="s">
        <v>807</v>
      </c>
      <c r="L382" s="798" t="s">
        <v>808</v>
      </c>
      <c r="M382" s="798"/>
      <c r="N382" s="885" t="s">
        <v>830</v>
      </c>
      <c r="O382" s="885" t="s">
        <v>826</v>
      </c>
      <c r="P382" s="885" t="s">
        <v>824</v>
      </c>
      <c r="Q382" s="885" t="s">
        <v>810</v>
      </c>
      <c r="R382" s="885" t="s">
        <v>811</v>
      </c>
      <c r="S382" s="885" t="s">
        <v>812</v>
      </c>
      <c r="T382" s="798" t="s">
        <v>813</v>
      </c>
      <c r="V382" s="1"/>
      <c r="W382" s="68"/>
    </row>
    <row r="383" spans="1:35" ht="30" hidden="1" customHeight="1" outlineLevel="3">
      <c r="A383" s="885"/>
      <c r="B383" s="885"/>
      <c r="C383" s="912"/>
      <c r="D383" s="798"/>
      <c r="E383" s="40" t="s">
        <v>819</v>
      </c>
      <c r="F383" s="928" t="s">
        <v>806</v>
      </c>
      <c r="G383" s="929"/>
      <c r="H383" s="929"/>
      <c r="I383" s="929"/>
      <c r="J383" s="929"/>
      <c r="K383" s="798"/>
      <c r="L383" s="798"/>
      <c r="M383" s="798"/>
      <c r="N383" s="885"/>
      <c r="O383" s="885"/>
      <c r="P383" s="885"/>
      <c r="Q383" s="885"/>
      <c r="R383" s="885"/>
      <c r="S383" s="885"/>
      <c r="T383" s="798"/>
      <c r="V383" s="1"/>
      <c r="W383" s="68"/>
    </row>
    <row r="384" spans="1:35" ht="30" hidden="1" customHeight="1" outlineLevel="3">
      <c r="A384" s="916" t="s">
        <v>113</v>
      </c>
      <c r="B384" s="916"/>
      <c r="C384" s="901" t="s">
        <v>356</v>
      </c>
      <c r="D384" s="930" t="s">
        <v>404</v>
      </c>
      <c r="E384" s="557">
        <f>SUMIFS(K$355:K$377,$A$355:$A$377,$A384)</f>
        <v>0</v>
      </c>
      <c r="F384" s="557">
        <f t="shared" ref="F384:J387" si="245">SUMIFS(F$355:F$377,$A$355:$A$377,$A384,$D$355:$D$377,$D$231)</f>
        <v>0</v>
      </c>
      <c r="G384" s="557">
        <f t="shared" si="245"/>
        <v>0</v>
      </c>
      <c r="H384" s="557">
        <f t="shared" si="245"/>
        <v>0</v>
      </c>
      <c r="I384" s="557">
        <f t="shared" si="245"/>
        <v>0</v>
      </c>
      <c r="J384" s="557">
        <f t="shared" si="245"/>
        <v>0</v>
      </c>
      <c r="K384" s="557" t="str">
        <f>IF(E384=0,"",SUM(F384:J384))</f>
        <v/>
      </c>
      <c r="L384" s="557" t="str">
        <f>IF(E384=0,"",IF(E384-K384=0,"OK","Review financial exposure"))</f>
        <v/>
      </c>
      <c r="M384" s="562">
        <f>IF(SUM(F384:J384)=0,0,(H384+I384+J384)/(SUM(F384:J384)))</f>
        <v>0</v>
      </c>
      <c r="N384" s="902">
        <f>N355</f>
        <v>0</v>
      </c>
      <c r="O384" s="562" t="str">
        <f>IFERROR(SUMIF($A$355:$A$377,$A384,$AB$355:$AB$377)/SUMIF($A$355:$A$377,$A384,$AC$355:$AC$377),"")</f>
        <v/>
      </c>
      <c r="P384" s="933" t="str">
        <f>IFERROR(SUMPRODUCT(O384:O387,K384:K387)/SUM(K384:K387),"")</f>
        <v/>
      </c>
      <c r="Q384" s="908"/>
      <c r="R384" s="909"/>
      <c r="S384" s="897" t="str">
        <f>IF(Q384="","",95%)</f>
        <v/>
      </c>
      <c r="T384" s="898" t="str">
        <f>IF(R384="","",IF(R384-S384&gt;=0,"OK","Minimum ambition not met, please increase ambition"))</f>
        <v/>
      </c>
      <c r="V384" s="1"/>
      <c r="W384" s="68"/>
      <c r="X384" s="107"/>
      <c r="AI384" s="120" t="s">
        <v>425</v>
      </c>
    </row>
    <row r="385" spans="1:29" ht="30" hidden="1" customHeight="1" outlineLevel="3">
      <c r="A385" s="916" t="s">
        <v>121</v>
      </c>
      <c r="B385" s="916"/>
      <c r="C385" s="901"/>
      <c r="D385" s="931"/>
      <c r="E385" s="557">
        <f>SUMIFS(K$355:K$377,$A$355:$A$377,$A385)</f>
        <v>0</v>
      </c>
      <c r="F385" s="557">
        <f t="shared" si="245"/>
        <v>0</v>
      </c>
      <c r="G385" s="557">
        <f t="shared" si="245"/>
        <v>0</v>
      </c>
      <c r="H385" s="557">
        <f t="shared" si="245"/>
        <v>0</v>
      </c>
      <c r="I385" s="557">
        <f t="shared" si="245"/>
        <v>0</v>
      </c>
      <c r="J385" s="557">
        <f t="shared" si="245"/>
        <v>0</v>
      </c>
      <c r="K385" s="557" t="str">
        <f t="shared" ref="K385:K387" si="246">IF(E385=0,"",SUM(F385:J385))</f>
        <v/>
      </c>
      <c r="L385" s="557" t="str">
        <f t="shared" ref="L385:L387" si="247">IF(E385=0,"",IF(E385-K385=0,"OK","Review financial exposure"))</f>
        <v/>
      </c>
      <c r="M385" s="562">
        <f>IF(SUM(F385:J385)=0,0,(H385+I385+J385)/(SUM(F385:J385)))</f>
        <v>0</v>
      </c>
      <c r="N385" s="903"/>
      <c r="O385" s="562" t="str">
        <f>IFERROR(SUMIF($A$355:$A$377,$A385,$AB$355:$AB$377)/SUMIF($A$355:$A$377,$A385,$AC$355:$AC$377),"")</f>
        <v/>
      </c>
      <c r="P385" s="933"/>
      <c r="Q385" s="908"/>
      <c r="R385" s="909"/>
      <c r="S385" s="897"/>
      <c r="T385" s="898"/>
      <c r="V385" s="1"/>
      <c r="W385" s="68"/>
      <c r="X385" s="107"/>
    </row>
    <row r="386" spans="1:29" ht="30" hidden="1" customHeight="1" outlineLevel="3">
      <c r="A386" s="916" t="s">
        <v>130</v>
      </c>
      <c r="B386" s="916"/>
      <c r="C386" s="901"/>
      <c r="D386" s="931"/>
      <c r="E386" s="557">
        <f>SUMIFS(K$355:K$377,$A$355:$A$377,$A386)</f>
        <v>0</v>
      </c>
      <c r="F386" s="557">
        <f t="shared" si="245"/>
        <v>0</v>
      </c>
      <c r="G386" s="557">
        <f t="shared" si="245"/>
        <v>0</v>
      </c>
      <c r="H386" s="557">
        <f t="shared" si="245"/>
        <v>0</v>
      </c>
      <c r="I386" s="557">
        <f t="shared" si="245"/>
        <v>0</v>
      </c>
      <c r="J386" s="557">
        <f t="shared" si="245"/>
        <v>0</v>
      </c>
      <c r="K386" s="557" t="str">
        <f t="shared" si="246"/>
        <v/>
      </c>
      <c r="L386" s="557" t="str">
        <f t="shared" si="247"/>
        <v/>
      </c>
      <c r="M386" s="562">
        <f>IF(SUM(F386:J386)=0,0,(H386+I386+J386)/(SUM(F386:J386)))</f>
        <v>0</v>
      </c>
      <c r="N386" s="903"/>
      <c r="O386" s="562" t="str">
        <f>IFERROR(SUMIF($A$355:$A$377,$A386,$AB$355:$AB$377)/SUMIF($A$355:$A$377,$A386,$AC$355:$AC$377),"")</f>
        <v/>
      </c>
      <c r="P386" s="933"/>
      <c r="Q386" s="908"/>
      <c r="R386" s="909"/>
      <c r="S386" s="897"/>
      <c r="T386" s="898"/>
      <c r="V386" s="1"/>
      <c r="W386" s="24"/>
      <c r="X386" s="108"/>
      <c r="Y386" s="108"/>
      <c r="Z386" s="108"/>
      <c r="AA386" s="108"/>
      <c r="AB386" s="108"/>
      <c r="AC386" s="107"/>
    </row>
    <row r="387" spans="1:29" ht="30" hidden="1" customHeight="1" outlineLevel="3">
      <c r="A387" s="916" t="s">
        <v>136</v>
      </c>
      <c r="B387" s="916"/>
      <c r="C387" s="901"/>
      <c r="D387" s="932"/>
      <c r="E387" s="557">
        <f>SUMIFS(K$355:K$377,$A$355:$A$377,$A387)</f>
        <v>0</v>
      </c>
      <c r="F387" s="557">
        <f t="shared" si="245"/>
        <v>0</v>
      </c>
      <c r="G387" s="557">
        <f t="shared" si="245"/>
        <v>0</v>
      </c>
      <c r="H387" s="557">
        <f t="shared" si="245"/>
        <v>0</v>
      </c>
      <c r="I387" s="557">
        <f t="shared" si="245"/>
        <v>0</v>
      </c>
      <c r="J387" s="557">
        <f t="shared" si="245"/>
        <v>0</v>
      </c>
      <c r="K387" s="557" t="str">
        <f t="shared" si="246"/>
        <v/>
      </c>
      <c r="L387" s="557" t="str">
        <f t="shared" si="247"/>
        <v/>
      </c>
      <c r="M387" s="562">
        <f>IF(SUM(F387:J387)=0,0,(H387+I387+J387)/(SUM(F387:J387)))</f>
        <v>0</v>
      </c>
      <c r="N387" s="904"/>
      <c r="O387" s="562" t="str">
        <f>IFERROR(SUMIF($A$355:$A$377,$A387,$AB$355:$AB$377)/SUMIF($A$355:$A$377,$A387,$AC$355:$AC$377),"")</f>
        <v/>
      </c>
      <c r="P387" s="933"/>
      <c r="Q387" s="908"/>
      <c r="R387" s="909"/>
      <c r="S387" s="897"/>
      <c r="T387" s="898"/>
      <c r="V387" s="1"/>
      <c r="W387" s="24"/>
      <c r="X387" s="107"/>
    </row>
    <row r="388" spans="1:29" ht="13.5" hidden="1" customHeight="1" outlineLevel="2"/>
    <row r="389" spans="1:29" ht="13.5" hidden="1" customHeight="1" outlineLevel="2"/>
    <row r="390" spans="1:29" ht="15.75" hidden="1" customHeight="1" outlineLevel="2" collapsed="1">
      <c r="A390" s="867" t="s">
        <v>380</v>
      </c>
      <c r="B390" s="867"/>
      <c r="C390" s="867"/>
      <c r="D390" s="556"/>
      <c r="E390" s="556"/>
      <c r="F390" s="64"/>
      <c r="G390" s="64"/>
      <c r="H390" s="64"/>
      <c r="I390" s="64"/>
      <c r="J390" s="64"/>
      <c r="K390" s="64"/>
      <c r="L390" s="64"/>
      <c r="M390" s="64"/>
      <c r="N390" s="64"/>
      <c r="O390" s="64"/>
      <c r="P390" s="64"/>
      <c r="Q390" s="64"/>
      <c r="R390" s="64"/>
      <c r="S390" s="64"/>
      <c r="T390" s="64"/>
      <c r="U390" s="64"/>
      <c r="V390" s="64"/>
    </row>
    <row r="391" spans="1:29" ht="13.5" hidden="1" customHeight="1" outlineLevel="3">
      <c r="A391" s="1"/>
      <c r="B391" s="1"/>
      <c r="C391" s="18"/>
      <c r="D391" s="1"/>
      <c r="E391" s="1"/>
    </row>
    <row r="392" spans="1:29" s="122" customFormat="1" ht="20.25" hidden="1" customHeight="1" outlineLevel="3">
      <c r="A392" s="858" t="s">
        <v>406</v>
      </c>
      <c r="B392" s="858"/>
      <c r="C392" s="858"/>
      <c r="D392" s="858"/>
      <c r="E392" s="858"/>
      <c r="F392" s="858"/>
      <c r="G392" s="858"/>
      <c r="H392" s="858"/>
      <c r="I392" s="858"/>
      <c r="J392" s="858"/>
      <c r="K392" s="858"/>
      <c r="L392" s="858"/>
      <c r="M392" s="858"/>
      <c r="N392" s="858"/>
      <c r="O392" s="858"/>
      <c r="P392" s="858"/>
      <c r="Q392" s="858"/>
      <c r="R392" s="70"/>
      <c r="S392" s="70"/>
      <c r="T392" s="70"/>
      <c r="U392" s="12"/>
      <c r="V392" s="12"/>
      <c r="W392" s="12"/>
    </row>
    <row r="393" spans="1:29" ht="6" hidden="1" customHeight="1" outlineLevel="3">
      <c r="A393" s="1"/>
      <c r="B393" s="917"/>
      <c r="C393" s="917"/>
      <c r="D393" s="917"/>
      <c r="E393" s="917"/>
      <c r="F393" s="917"/>
      <c r="G393" s="917"/>
      <c r="H393" s="17"/>
      <c r="I393" s="17"/>
      <c r="J393" s="17"/>
      <c r="K393" s="17"/>
      <c r="L393" s="17"/>
      <c r="M393" s="17"/>
      <c r="N393" s="17"/>
      <c r="O393" s="17"/>
      <c r="P393" s="17"/>
      <c r="Q393" s="17"/>
      <c r="R393" s="17"/>
      <c r="S393" s="17"/>
      <c r="T393" s="17"/>
      <c r="U393" s="17"/>
      <c r="V393" s="17"/>
      <c r="W393" s="17"/>
      <c r="X393" s="110"/>
      <c r="Y393" s="110"/>
      <c r="Z393" s="110"/>
      <c r="AA393" s="110"/>
    </row>
    <row r="394" spans="1:29" ht="15.75" hidden="1" customHeight="1" outlineLevel="3">
      <c r="A394" s="918" t="s">
        <v>99</v>
      </c>
      <c r="B394" s="918" t="s">
        <v>387</v>
      </c>
      <c r="C394" s="920" t="s">
        <v>364</v>
      </c>
      <c r="D394" s="918" t="s">
        <v>818</v>
      </c>
      <c r="E394" s="885" t="s">
        <v>365</v>
      </c>
      <c r="F394" s="885"/>
      <c r="G394" s="885"/>
      <c r="H394" s="885"/>
      <c r="I394" s="885"/>
      <c r="J394" s="885"/>
      <c r="K394" s="885"/>
      <c r="L394" s="885"/>
      <c r="M394" s="798" t="s">
        <v>809</v>
      </c>
      <c r="N394" s="887" t="s">
        <v>366</v>
      </c>
      <c r="O394" s="887"/>
      <c r="P394" s="887"/>
      <c r="Q394" s="887"/>
      <c r="R394" s="13"/>
      <c r="S394" s="17"/>
      <c r="T394" s="17"/>
      <c r="U394" s="17"/>
      <c r="V394" s="17"/>
      <c r="W394" s="17"/>
      <c r="X394" s="110"/>
    </row>
    <row r="395" spans="1:29" ht="68" hidden="1" outlineLevel="3">
      <c r="A395" s="918"/>
      <c r="B395" s="918"/>
      <c r="C395" s="920"/>
      <c r="D395" s="918"/>
      <c r="E395" s="36" t="s">
        <v>106</v>
      </c>
      <c r="F395" s="554" t="s">
        <v>101</v>
      </c>
      <c r="G395" s="554" t="s">
        <v>102</v>
      </c>
      <c r="H395" s="558" t="s">
        <v>103</v>
      </c>
      <c r="I395" s="558" t="s">
        <v>104</v>
      </c>
      <c r="J395" s="554" t="s">
        <v>105</v>
      </c>
      <c r="K395" s="798" t="s">
        <v>807</v>
      </c>
      <c r="L395" s="798" t="s">
        <v>808</v>
      </c>
      <c r="M395" s="798"/>
      <c r="N395" s="885" t="s">
        <v>810</v>
      </c>
      <c r="O395" s="923" t="s">
        <v>811</v>
      </c>
      <c r="P395" s="922" t="s">
        <v>821</v>
      </c>
      <c r="Q395" s="924" t="s">
        <v>813</v>
      </c>
      <c r="R395" s="13"/>
      <c r="S395" s="17"/>
      <c r="T395" s="66"/>
      <c r="U395" s="67"/>
      <c r="V395" s="1"/>
      <c r="W395" s="27"/>
      <c r="X395" s="110"/>
      <c r="Y395" s="110"/>
      <c r="Z395" s="110"/>
    </row>
    <row r="396" spans="1:29" ht="25.5" hidden="1" customHeight="1" outlineLevel="3">
      <c r="A396" s="919"/>
      <c r="B396" s="919"/>
      <c r="C396" s="921"/>
      <c r="D396" s="919"/>
      <c r="E396" s="40" t="s">
        <v>819</v>
      </c>
      <c r="F396" s="925" t="s">
        <v>817</v>
      </c>
      <c r="G396" s="926"/>
      <c r="H396" s="926"/>
      <c r="I396" s="926"/>
      <c r="J396" s="926"/>
      <c r="K396" s="798"/>
      <c r="L396" s="798"/>
      <c r="M396" s="798"/>
      <c r="N396" s="885"/>
      <c r="O396" s="924"/>
      <c r="P396" s="922"/>
      <c r="Q396" s="924"/>
      <c r="R396" s="13"/>
      <c r="U396" s="1"/>
      <c r="V396" s="1"/>
      <c r="W396" s="27"/>
      <c r="X396" s="110"/>
      <c r="Y396" s="110"/>
      <c r="Z396" s="110"/>
      <c r="AA396" s="110" t="s">
        <v>388</v>
      </c>
      <c r="AB396" s="110" t="s">
        <v>389</v>
      </c>
      <c r="AC396" s="110" t="s">
        <v>390</v>
      </c>
    </row>
    <row r="397" spans="1:29" ht="46.25" hidden="1" customHeight="1" outlineLevel="3">
      <c r="A397" s="894" t="s">
        <v>113</v>
      </c>
      <c r="B397" s="886" t="s">
        <v>391</v>
      </c>
      <c r="C397" s="333" t="s">
        <v>369</v>
      </c>
      <c r="D397" s="333" t="str">
        <f>_xlfn.XLOOKUP(AC397,$AD$355:$AD$377,$D$355:$D$377,"No target",0)</f>
        <v>No target type selected</v>
      </c>
      <c r="E397" s="884" cm="1">
        <f t="array" ref="E397">SUMPRODUCT(('AMI Segmentation'!$M$89:$M$238=TRUE)*($AC397='AMI Segmentation'!$AK$89:$AK$238)*('Climate-Alignment Target'!E$242='AMI Segmentation'!$Q$88:$V$88)*('AMI Segmentation'!$Q$89:$V$238))</f>
        <v>0</v>
      </c>
      <c r="F397" s="5"/>
      <c r="G397" s="5"/>
      <c r="H397" s="5"/>
      <c r="I397" s="5"/>
      <c r="J397" s="5"/>
      <c r="K397" s="557" t="str">
        <f t="shared" ref="K397:K442" si="248">IF(D397&lt;&gt;"Climate-alignment target","",SUM(F397:J397))</f>
        <v/>
      </c>
      <c r="L397" s="712" t="str">
        <f>IF(K397="","",IF(E397=(K397+K398),"OK",IF(D397="Sector target","OK - covered by sector target",IF(AND(E397=0,D397="No target type selected"),"OK","Review financial exposure"))))</f>
        <v/>
      </c>
      <c r="M397" s="562">
        <f t="shared" ref="M397:M402" si="249">IF(SUM(F397:J397)=0,0,SUM(H397:J397)/(SUM(F397:J397)))</f>
        <v>0</v>
      </c>
      <c r="N397" s="915"/>
      <c r="O397" s="563"/>
      <c r="P397" s="562" t="str">
        <f t="shared" ref="P397:P442" si="250">IF(AND($D397="Climate-alignment target",$N$397&lt;&gt;""),IF(M397&gt;$Z397,M397,(M397+($Z397-M397)/($Y397-$I$9)*($N$92-$I$9))),"")</f>
        <v/>
      </c>
      <c r="Q397" s="560" t="str">
        <f>IF(O397="","",IF(O397-P397&gt;=0,"OK","Minimum ambition not met, please increase ambition"))</f>
        <v/>
      </c>
      <c r="R397" s="16"/>
      <c r="T397" s="121" t="s">
        <v>113</v>
      </c>
      <c r="U397" s="1"/>
      <c r="V397" s="1"/>
      <c r="W397" s="26"/>
      <c r="X397" s="113" t="s">
        <v>368</v>
      </c>
      <c r="Y397" s="113">
        <f t="shared" ref="Y397:Y442" si="251">_xlfn.XLOOKUP($X397,$AB$17:$AB$24,AE$17:AE$24,0,0)</f>
        <v>2035</v>
      </c>
      <c r="Z397" s="113">
        <f t="shared" ref="Z397:Z442" si="252">_xlfn.XLOOKUP($X397,$AB$17:$AB$24,AF$17:AF$24,0,0)</f>
        <v>0.95</v>
      </c>
      <c r="AA397" s="121" t="str">
        <f>IF($D397&lt;&gt;"Climate-alignment target","",O397*K397)</f>
        <v/>
      </c>
      <c r="AB397" s="121" t="str">
        <f>IF($D397&lt;&gt;"Climate-alignment target","",K397)</f>
        <v/>
      </c>
      <c r="AC397" s="107" t="s">
        <v>171</v>
      </c>
    </row>
    <row r="398" spans="1:29" ht="46.25" hidden="1" customHeight="1" outlineLevel="3">
      <c r="A398" s="895"/>
      <c r="B398" s="886"/>
      <c r="C398" s="333" t="s">
        <v>372</v>
      </c>
      <c r="D398" s="333" t="str">
        <f>D397</f>
        <v>No target type selected</v>
      </c>
      <c r="E398" s="713"/>
      <c r="F398" s="5"/>
      <c r="G398" s="5"/>
      <c r="H398" s="5"/>
      <c r="I398" s="5"/>
      <c r="J398" s="5"/>
      <c r="K398" s="557" t="str">
        <f t="shared" si="248"/>
        <v/>
      </c>
      <c r="L398" s="713"/>
      <c r="M398" s="562">
        <f t="shared" si="249"/>
        <v>0</v>
      </c>
      <c r="N398" s="915"/>
      <c r="O398" s="563"/>
      <c r="P398" s="562" t="str">
        <f t="shared" si="250"/>
        <v/>
      </c>
      <c r="Q398" s="560" t="str">
        <f t="shared" ref="Q398:Q442" si="253">IF(O398="","",IF(O398-P398&gt;=0,"OK","Minimum ambition not met, please increase ambition"))</f>
        <v/>
      </c>
      <c r="R398" s="16"/>
      <c r="T398" s="121" t="s">
        <v>113</v>
      </c>
      <c r="U398" s="1"/>
      <c r="V398" s="1"/>
      <c r="W398" s="26"/>
      <c r="X398" s="113" t="s">
        <v>371</v>
      </c>
      <c r="Y398" s="113">
        <f t="shared" si="251"/>
        <v>2035</v>
      </c>
      <c r="Z398" s="113">
        <f t="shared" si="252"/>
        <v>0.85</v>
      </c>
      <c r="AA398" s="121" t="str">
        <f t="shared" ref="AA398:AA442" si="254">IF($D398&lt;&gt;"Climate-alignment target","",O398*K398)</f>
        <v/>
      </c>
      <c r="AB398" s="121" t="str">
        <f t="shared" ref="AB398:AB442" si="255">IF($D398&lt;&gt;"Climate-alignment target","",K398)</f>
        <v/>
      </c>
      <c r="AC398" s="107"/>
    </row>
    <row r="399" spans="1:29" ht="46.25" hidden="1" customHeight="1" outlineLevel="3">
      <c r="A399" s="895"/>
      <c r="B399" s="886" t="s">
        <v>392</v>
      </c>
      <c r="C399" s="333" t="s">
        <v>369</v>
      </c>
      <c r="D399" s="333" t="str">
        <f t="shared" ref="D399" si="256">_xlfn.XLOOKUP(AC399,$AD$355:$AD$377,$D$355:$D$377,"No target",0)</f>
        <v>No target type selected</v>
      </c>
      <c r="E399" s="884" cm="1">
        <f t="array" ref="E399">SUMPRODUCT(('AMI Segmentation'!$M$89:$M$238=TRUE)*($AC399='AMI Segmentation'!$AK$89:$AK$238)*('Climate-Alignment Target'!E$242='AMI Segmentation'!$Q$88:$V$88)*('AMI Segmentation'!$Q$89:$V$238))</f>
        <v>0</v>
      </c>
      <c r="F399" s="5"/>
      <c r="G399" s="5"/>
      <c r="H399" s="5"/>
      <c r="I399" s="5"/>
      <c r="J399" s="5"/>
      <c r="K399" s="557" t="str">
        <f t="shared" si="248"/>
        <v/>
      </c>
      <c r="L399" s="712" t="str">
        <f t="shared" ref="L399" si="257">IF(K399="","",IF(E399=(K399+K400),"OK",IF(D399="Sector target","OK - covered by sector target",IF(AND(E399=0,D399="No target type selected"),"OK","Review financial exposure"))))</f>
        <v/>
      </c>
      <c r="M399" s="562">
        <f t="shared" si="249"/>
        <v>0</v>
      </c>
      <c r="N399" s="915"/>
      <c r="O399" s="563"/>
      <c r="P399" s="562" t="str">
        <f t="shared" si="250"/>
        <v/>
      </c>
      <c r="Q399" s="560" t="str">
        <f t="shared" si="253"/>
        <v/>
      </c>
      <c r="R399" s="16"/>
      <c r="T399" s="121" t="s">
        <v>113</v>
      </c>
      <c r="U399" s="1"/>
      <c r="V399" s="1"/>
      <c r="W399" s="26"/>
      <c r="X399" s="113" t="s">
        <v>368</v>
      </c>
      <c r="Y399" s="113">
        <f t="shared" si="251"/>
        <v>2035</v>
      </c>
      <c r="Z399" s="113">
        <f t="shared" si="252"/>
        <v>0.95</v>
      </c>
      <c r="AA399" s="121" t="str">
        <f t="shared" si="254"/>
        <v/>
      </c>
      <c r="AB399" s="121" t="str">
        <f t="shared" si="255"/>
        <v/>
      </c>
      <c r="AC399" s="107" t="s">
        <v>172</v>
      </c>
    </row>
    <row r="400" spans="1:29" ht="46.25" hidden="1" customHeight="1" outlineLevel="3">
      <c r="A400" s="896"/>
      <c r="B400" s="886"/>
      <c r="C400" s="333" t="s">
        <v>372</v>
      </c>
      <c r="D400" s="333" t="str">
        <f t="shared" ref="D400" si="258">D399</f>
        <v>No target type selected</v>
      </c>
      <c r="E400" s="713"/>
      <c r="F400" s="5"/>
      <c r="G400" s="5"/>
      <c r="H400" s="5"/>
      <c r="I400" s="5"/>
      <c r="J400" s="5"/>
      <c r="K400" s="557" t="str">
        <f t="shared" si="248"/>
        <v/>
      </c>
      <c r="L400" s="713"/>
      <c r="M400" s="562">
        <f t="shared" si="249"/>
        <v>0</v>
      </c>
      <c r="N400" s="915"/>
      <c r="O400" s="563"/>
      <c r="P400" s="562" t="str">
        <f t="shared" si="250"/>
        <v/>
      </c>
      <c r="Q400" s="560" t="str">
        <f t="shared" si="253"/>
        <v/>
      </c>
      <c r="R400" s="16"/>
      <c r="T400" s="121" t="s">
        <v>113</v>
      </c>
      <c r="U400" s="1"/>
      <c r="V400" s="1"/>
      <c r="W400" s="26"/>
      <c r="X400" s="113" t="s">
        <v>371</v>
      </c>
      <c r="Y400" s="113">
        <f t="shared" si="251"/>
        <v>2035</v>
      </c>
      <c r="Z400" s="113">
        <f t="shared" si="252"/>
        <v>0.85</v>
      </c>
      <c r="AA400" s="121" t="str">
        <f t="shared" si="254"/>
        <v/>
      </c>
      <c r="AB400" s="121" t="str">
        <f t="shared" si="255"/>
        <v/>
      </c>
      <c r="AC400" s="107"/>
    </row>
    <row r="401" spans="1:29" ht="46.25" hidden="1" customHeight="1" outlineLevel="3">
      <c r="A401" s="863" t="s">
        <v>121</v>
      </c>
      <c r="B401" s="340" t="s">
        <v>120</v>
      </c>
      <c r="C401" s="333" t="s">
        <v>369</v>
      </c>
      <c r="D401" s="333" t="str">
        <f t="shared" ref="D401" si="259">_xlfn.XLOOKUP(AC401,$AD$355:$AD$377,$D$355:$D$377,"No target",0)</f>
        <v>No target type selected</v>
      </c>
      <c r="E401" s="884" cm="1">
        <f t="array" ref="E401">SUMPRODUCT(('AMI Segmentation'!$M$89:$M$238=TRUE)*($AC401='AMI Segmentation'!$AK$89:$AK$238)*('Climate-Alignment Target'!E$242='AMI Segmentation'!$Q$88:$V$88)*('AMI Segmentation'!$Q$89:$V$238))</f>
        <v>0</v>
      </c>
      <c r="F401" s="5"/>
      <c r="G401" s="5"/>
      <c r="H401" s="5"/>
      <c r="I401" s="5"/>
      <c r="J401" s="5"/>
      <c r="K401" s="557" t="str">
        <f t="shared" si="248"/>
        <v/>
      </c>
      <c r="L401" s="712" t="str">
        <f t="shared" ref="L401" si="260">IF(K401="","",IF(E401=(K401+K402),"OK",IF(D401="Sector target","OK - covered by sector target",IF(AND(E401=0,D401="No target type selected"),"OK","Review financial exposure"))))</f>
        <v/>
      </c>
      <c r="M401" s="562">
        <f t="shared" si="249"/>
        <v>0</v>
      </c>
      <c r="N401" s="915"/>
      <c r="O401" s="563"/>
      <c r="P401" s="562" t="str">
        <f t="shared" si="250"/>
        <v/>
      </c>
      <c r="Q401" s="560" t="str">
        <f t="shared" si="253"/>
        <v/>
      </c>
      <c r="R401" s="16"/>
      <c r="T401" s="124" t="s">
        <v>121</v>
      </c>
      <c r="U401" s="1"/>
      <c r="V401" s="1"/>
      <c r="W401" s="26"/>
      <c r="X401" s="113" t="s">
        <v>373</v>
      </c>
      <c r="Y401" s="113">
        <f t="shared" si="251"/>
        <v>2040</v>
      </c>
      <c r="Z401" s="113">
        <f t="shared" si="252"/>
        <v>0.95</v>
      </c>
      <c r="AA401" s="121" t="str">
        <f t="shared" si="254"/>
        <v/>
      </c>
      <c r="AB401" s="121" t="str">
        <f t="shared" si="255"/>
        <v/>
      </c>
      <c r="AC401" s="107" t="s">
        <v>173</v>
      </c>
    </row>
    <row r="402" spans="1:29" ht="46.25" hidden="1" customHeight="1" outlineLevel="3">
      <c r="A402" s="865"/>
      <c r="B402" s="340" t="s">
        <v>120</v>
      </c>
      <c r="C402" s="333" t="s">
        <v>372</v>
      </c>
      <c r="D402" s="333" t="str">
        <f t="shared" ref="D402" si="261">D401</f>
        <v>No target type selected</v>
      </c>
      <c r="E402" s="713"/>
      <c r="F402" s="5"/>
      <c r="G402" s="5"/>
      <c r="H402" s="5"/>
      <c r="I402" s="5"/>
      <c r="J402" s="5"/>
      <c r="K402" s="557" t="str">
        <f t="shared" si="248"/>
        <v/>
      </c>
      <c r="L402" s="713"/>
      <c r="M402" s="562">
        <f t="shared" si="249"/>
        <v>0</v>
      </c>
      <c r="N402" s="915"/>
      <c r="O402" s="563"/>
      <c r="P402" s="562" t="str">
        <f t="shared" si="250"/>
        <v/>
      </c>
      <c r="Q402" s="560" t="str">
        <f t="shared" si="253"/>
        <v/>
      </c>
      <c r="R402" s="16"/>
      <c r="T402" s="124" t="s">
        <v>121</v>
      </c>
      <c r="U402" s="1"/>
      <c r="V402" s="1"/>
      <c r="W402" s="26"/>
      <c r="X402" s="113" t="s">
        <v>374</v>
      </c>
      <c r="Y402" s="113">
        <f t="shared" si="251"/>
        <v>2040</v>
      </c>
      <c r="Z402" s="113">
        <f t="shared" si="252"/>
        <v>0.85</v>
      </c>
      <c r="AA402" s="121" t="str">
        <f t="shared" si="254"/>
        <v/>
      </c>
      <c r="AB402" s="121" t="str">
        <f t="shared" si="255"/>
        <v/>
      </c>
      <c r="AC402" s="107"/>
    </row>
    <row r="403" spans="1:29" ht="46.25" hidden="1" customHeight="1" outlineLevel="3">
      <c r="A403" s="863" t="s">
        <v>121</v>
      </c>
      <c r="B403" s="886" t="s">
        <v>393</v>
      </c>
      <c r="C403" s="333" t="s">
        <v>369</v>
      </c>
      <c r="D403" s="333" t="str">
        <f t="shared" ref="D403" si="262">_xlfn.XLOOKUP(AC403,$AD$355:$AD$377,$D$355:$D$377,"No target",0)</f>
        <v>No target type selected</v>
      </c>
      <c r="E403" s="884" cm="1">
        <f t="array" ref="E403">SUMPRODUCT(('AMI Segmentation'!$M$89:$M$238=TRUE)*($AC403='AMI Segmentation'!$AK$89:$AK$238)*('Climate-Alignment Target'!E$242='AMI Segmentation'!$Q$88:$V$88)*('AMI Segmentation'!$Q$89:$V$238))</f>
        <v>0</v>
      </c>
      <c r="F403" s="5"/>
      <c r="G403" s="5"/>
      <c r="H403" s="5"/>
      <c r="I403" s="5"/>
      <c r="J403" s="5"/>
      <c r="K403" s="557" t="str">
        <f t="shared" si="248"/>
        <v/>
      </c>
      <c r="L403" s="712" t="str">
        <f t="shared" ref="L403" si="263">IF(K403="","",IF(E403=(K403+K404),"OK",IF(D403="Sector target","OK - covered by sector target",IF(AND(E403=0,D403="No target type selected"),"OK","Review financial exposure"))))</f>
        <v/>
      </c>
      <c r="M403" s="562">
        <f t="shared" ref="M403:M442" si="264">IF(SUM(F403:J403)=0,0,SUM(H403:J403)/(SUM(F403:J403)))</f>
        <v>0</v>
      </c>
      <c r="N403" s="915"/>
      <c r="O403" s="563"/>
      <c r="P403" s="562" t="str">
        <f t="shared" si="250"/>
        <v/>
      </c>
      <c r="Q403" s="560" t="str">
        <f t="shared" si="253"/>
        <v/>
      </c>
      <c r="R403" s="16"/>
      <c r="T403" s="124" t="s">
        <v>121</v>
      </c>
      <c r="U403" s="1"/>
      <c r="V403" s="1"/>
      <c r="W403" s="26"/>
      <c r="X403" s="113" t="s">
        <v>373</v>
      </c>
      <c r="Y403" s="113">
        <f t="shared" si="251"/>
        <v>2040</v>
      </c>
      <c r="Z403" s="113">
        <f t="shared" si="252"/>
        <v>0.95</v>
      </c>
      <c r="AA403" s="121" t="str">
        <f t="shared" si="254"/>
        <v/>
      </c>
      <c r="AB403" s="121" t="str">
        <f t="shared" si="255"/>
        <v/>
      </c>
      <c r="AC403" s="107" t="s">
        <v>178</v>
      </c>
    </row>
    <row r="404" spans="1:29" ht="46.25" hidden="1" customHeight="1" outlineLevel="3">
      <c r="A404" s="865"/>
      <c r="B404" s="886"/>
      <c r="C404" s="333" t="s">
        <v>372</v>
      </c>
      <c r="D404" s="333" t="str">
        <f t="shared" ref="D404" si="265">D403</f>
        <v>No target type selected</v>
      </c>
      <c r="E404" s="713"/>
      <c r="F404" s="5"/>
      <c r="G404" s="5"/>
      <c r="H404" s="5"/>
      <c r="I404" s="5"/>
      <c r="J404" s="5"/>
      <c r="K404" s="557" t="str">
        <f t="shared" si="248"/>
        <v/>
      </c>
      <c r="L404" s="713"/>
      <c r="M404" s="562">
        <f t="shared" si="264"/>
        <v>0</v>
      </c>
      <c r="N404" s="915"/>
      <c r="O404" s="563"/>
      <c r="P404" s="562" t="str">
        <f t="shared" si="250"/>
        <v/>
      </c>
      <c r="Q404" s="560" t="str">
        <f t="shared" si="253"/>
        <v/>
      </c>
      <c r="R404" s="16"/>
      <c r="T404" s="124" t="s">
        <v>121</v>
      </c>
      <c r="U404" s="1"/>
      <c r="V404" s="1"/>
      <c r="W404" s="26"/>
      <c r="X404" s="113" t="s">
        <v>374</v>
      </c>
      <c r="Y404" s="113">
        <f t="shared" si="251"/>
        <v>2040</v>
      </c>
      <c r="Z404" s="113">
        <f t="shared" si="252"/>
        <v>0.85</v>
      </c>
      <c r="AA404" s="121" t="str">
        <f t="shared" si="254"/>
        <v/>
      </c>
      <c r="AB404" s="121" t="str">
        <f t="shared" si="255"/>
        <v/>
      </c>
      <c r="AC404" s="107"/>
    </row>
    <row r="405" spans="1:29" ht="46.25" hidden="1" customHeight="1" outlineLevel="3">
      <c r="A405" s="863" t="s">
        <v>136</v>
      </c>
      <c r="B405" s="886" t="s">
        <v>393</v>
      </c>
      <c r="C405" s="333" t="s">
        <v>369</v>
      </c>
      <c r="D405" s="333" t="str">
        <f t="shared" ref="D405" si="266">_xlfn.XLOOKUP(AC405,$AD$355:$AD$377,$D$355:$D$377,"No target",0)</f>
        <v>No target type selected</v>
      </c>
      <c r="E405" s="884" cm="1">
        <f t="array" ref="E405">SUMPRODUCT(('AMI Segmentation'!$M$89:$M$238=TRUE)*($AC405='AMI Segmentation'!$AK$89:$AK$238)*('Climate-Alignment Target'!E$242='AMI Segmentation'!$Q$88:$V$88)*('AMI Segmentation'!$Q$89:$V$238))</f>
        <v>0</v>
      </c>
      <c r="F405" s="5"/>
      <c r="G405" s="5"/>
      <c r="H405" s="5"/>
      <c r="I405" s="5"/>
      <c r="J405" s="5"/>
      <c r="K405" s="557" t="str">
        <f t="shared" si="248"/>
        <v/>
      </c>
      <c r="L405" s="712" t="str">
        <f t="shared" ref="L405" si="267">IF(K405="","",IF(E405=(K405+K406),"OK",IF(D405="Sector target","OK - covered by sector target",IF(AND(E405=0,D405="No target type selected"),"OK","Review financial exposure"))))</f>
        <v/>
      </c>
      <c r="M405" s="562">
        <f t="shared" si="264"/>
        <v>0</v>
      </c>
      <c r="N405" s="915"/>
      <c r="O405" s="563"/>
      <c r="P405" s="562" t="str">
        <f t="shared" si="250"/>
        <v/>
      </c>
      <c r="Q405" s="560" t="str">
        <f t="shared" si="253"/>
        <v/>
      </c>
      <c r="R405" s="16"/>
      <c r="T405" s="124" t="s">
        <v>136</v>
      </c>
      <c r="U405" s="1"/>
      <c r="V405" s="1"/>
      <c r="W405" s="26"/>
      <c r="X405" s="113" t="s">
        <v>378</v>
      </c>
      <c r="Y405" s="113">
        <f t="shared" si="251"/>
        <v>2050</v>
      </c>
      <c r="Z405" s="113">
        <f t="shared" si="252"/>
        <v>0.95</v>
      </c>
      <c r="AA405" s="121" t="str">
        <f t="shared" si="254"/>
        <v/>
      </c>
      <c r="AB405" s="121" t="str">
        <f t="shared" si="255"/>
        <v/>
      </c>
      <c r="AC405" s="107" t="s">
        <v>216</v>
      </c>
    </row>
    <row r="406" spans="1:29" ht="46.25" hidden="1" customHeight="1" outlineLevel="3">
      <c r="A406" s="865"/>
      <c r="B406" s="886"/>
      <c r="C406" s="333" t="s">
        <v>372</v>
      </c>
      <c r="D406" s="333" t="str">
        <f t="shared" ref="D406" si="268">D405</f>
        <v>No target type selected</v>
      </c>
      <c r="E406" s="713"/>
      <c r="F406" s="5"/>
      <c r="G406" s="5"/>
      <c r="H406" s="5"/>
      <c r="I406" s="5"/>
      <c r="J406" s="5"/>
      <c r="K406" s="557" t="str">
        <f t="shared" si="248"/>
        <v/>
      </c>
      <c r="L406" s="713"/>
      <c r="M406" s="562">
        <f t="shared" si="264"/>
        <v>0</v>
      </c>
      <c r="N406" s="915"/>
      <c r="O406" s="563"/>
      <c r="P406" s="562" t="str">
        <f t="shared" si="250"/>
        <v/>
      </c>
      <c r="Q406" s="560" t="str">
        <f t="shared" si="253"/>
        <v/>
      </c>
      <c r="R406" s="16"/>
      <c r="T406" s="124" t="s">
        <v>136</v>
      </c>
      <c r="U406" s="1"/>
      <c r="V406" s="1"/>
      <c r="W406" s="26"/>
      <c r="X406" s="113" t="s">
        <v>379</v>
      </c>
      <c r="Y406" s="113">
        <f t="shared" si="251"/>
        <v>2050</v>
      </c>
      <c r="Z406" s="113">
        <f t="shared" si="252"/>
        <v>0.85</v>
      </c>
      <c r="AA406" s="121" t="str">
        <f t="shared" si="254"/>
        <v/>
      </c>
      <c r="AB406" s="121" t="str">
        <f t="shared" si="255"/>
        <v/>
      </c>
      <c r="AC406" s="107"/>
    </row>
    <row r="407" spans="1:29" ht="46.25" hidden="1" customHeight="1" outlineLevel="3">
      <c r="A407" s="863" t="s">
        <v>121</v>
      </c>
      <c r="B407" s="886" t="s">
        <v>394</v>
      </c>
      <c r="C407" s="333" t="s">
        <v>369</v>
      </c>
      <c r="D407" s="333" t="str">
        <f t="shared" ref="D407" si="269">_xlfn.XLOOKUP(AC407,$AD$355:$AD$377,$D$355:$D$377,"No target",0)</f>
        <v>No target type selected</v>
      </c>
      <c r="E407" s="884" cm="1">
        <f t="array" ref="E407">SUMPRODUCT(('AMI Segmentation'!$M$89:$M$238=TRUE)*($AC407='AMI Segmentation'!$AK$89:$AK$238)*('Climate-Alignment Target'!E$242='AMI Segmentation'!$Q$88:$V$88)*('AMI Segmentation'!$Q$89:$V$238))</f>
        <v>0</v>
      </c>
      <c r="F407" s="5"/>
      <c r="G407" s="5"/>
      <c r="H407" s="5"/>
      <c r="I407" s="5"/>
      <c r="J407" s="5"/>
      <c r="K407" s="557" t="str">
        <f t="shared" si="248"/>
        <v/>
      </c>
      <c r="L407" s="712" t="str">
        <f t="shared" ref="L407" si="270">IF(K407="","",IF(E407=(K407+K408),"OK",IF(D407="Sector target","OK - covered by sector target",IF(AND(E407=0,D407="No target type selected"),"OK","Review financial exposure"))))</f>
        <v/>
      </c>
      <c r="M407" s="562">
        <f t="shared" si="264"/>
        <v>0</v>
      </c>
      <c r="N407" s="915"/>
      <c r="O407" s="563"/>
      <c r="P407" s="562" t="str">
        <f t="shared" si="250"/>
        <v/>
      </c>
      <c r="Q407" s="560" t="str">
        <f t="shared" si="253"/>
        <v/>
      </c>
      <c r="R407" s="16"/>
      <c r="T407" s="124" t="s">
        <v>121</v>
      </c>
      <c r="U407" s="1"/>
      <c r="V407" s="1"/>
      <c r="W407" s="26"/>
      <c r="X407" s="113" t="s">
        <v>373</v>
      </c>
      <c r="Y407" s="113">
        <f t="shared" si="251"/>
        <v>2040</v>
      </c>
      <c r="Z407" s="113">
        <f t="shared" si="252"/>
        <v>0.95</v>
      </c>
      <c r="AA407" s="121" t="str">
        <f t="shared" si="254"/>
        <v/>
      </c>
      <c r="AB407" s="121" t="str">
        <f t="shared" si="255"/>
        <v/>
      </c>
      <c r="AC407" s="107" t="s">
        <v>182</v>
      </c>
    </row>
    <row r="408" spans="1:29" ht="46.25" hidden="1" customHeight="1" outlineLevel="3">
      <c r="A408" s="865"/>
      <c r="B408" s="886"/>
      <c r="C408" s="333" t="s">
        <v>372</v>
      </c>
      <c r="D408" s="333" t="str">
        <f t="shared" ref="D408" si="271">D407</f>
        <v>No target type selected</v>
      </c>
      <c r="E408" s="713"/>
      <c r="F408" s="5"/>
      <c r="G408" s="5"/>
      <c r="H408" s="5"/>
      <c r="I408" s="5"/>
      <c r="J408" s="5"/>
      <c r="K408" s="557" t="str">
        <f t="shared" si="248"/>
        <v/>
      </c>
      <c r="L408" s="713"/>
      <c r="M408" s="562">
        <f t="shared" si="264"/>
        <v>0</v>
      </c>
      <c r="N408" s="915"/>
      <c r="O408" s="563"/>
      <c r="P408" s="562" t="str">
        <f t="shared" si="250"/>
        <v/>
      </c>
      <c r="Q408" s="560" t="str">
        <f t="shared" si="253"/>
        <v/>
      </c>
      <c r="R408" s="16"/>
      <c r="T408" s="124" t="s">
        <v>121</v>
      </c>
      <c r="U408" s="1"/>
      <c r="V408" s="1"/>
      <c r="W408" s="26"/>
      <c r="X408" s="113" t="s">
        <v>374</v>
      </c>
      <c r="Y408" s="113">
        <f t="shared" si="251"/>
        <v>2040</v>
      </c>
      <c r="Z408" s="113">
        <f t="shared" si="252"/>
        <v>0.85</v>
      </c>
      <c r="AA408" s="121" t="str">
        <f t="shared" si="254"/>
        <v/>
      </c>
      <c r="AB408" s="121" t="str">
        <f t="shared" si="255"/>
        <v/>
      </c>
      <c r="AC408" s="107"/>
    </row>
    <row r="409" spans="1:29" ht="46.25" hidden="1" customHeight="1" outlineLevel="3">
      <c r="A409" s="863" t="s">
        <v>136</v>
      </c>
      <c r="B409" s="886" t="s">
        <v>394</v>
      </c>
      <c r="C409" s="333" t="s">
        <v>369</v>
      </c>
      <c r="D409" s="333" t="str">
        <f t="shared" ref="D409" si="272">_xlfn.XLOOKUP(AC409,$AD$355:$AD$377,$D$355:$D$377,"No target",0)</f>
        <v>No target type selected</v>
      </c>
      <c r="E409" s="884" cm="1">
        <f t="array" ref="E409">SUMPRODUCT(('AMI Segmentation'!$M$89:$M$238=TRUE)*($AC409='AMI Segmentation'!$AK$89:$AK$238)*('Climate-Alignment Target'!E$242='AMI Segmentation'!$Q$88:$V$88)*('AMI Segmentation'!$Q$89:$V$238))</f>
        <v>0</v>
      </c>
      <c r="F409" s="5"/>
      <c r="G409" s="5"/>
      <c r="H409" s="5"/>
      <c r="I409" s="5"/>
      <c r="J409" s="5"/>
      <c r="K409" s="557" t="str">
        <f t="shared" si="248"/>
        <v/>
      </c>
      <c r="L409" s="712" t="str">
        <f t="shared" ref="L409" si="273">IF(K409="","",IF(E409=(K409+K410),"OK",IF(D409="Sector target","OK - covered by sector target",IF(AND(E409=0,D409="No target type selected"),"OK","Review financial exposure"))))</f>
        <v/>
      </c>
      <c r="M409" s="562">
        <f t="shared" si="264"/>
        <v>0</v>
      </c>
      <c r="N409" s="915"/>
      <c r="O409" s="563"/>
      <c r="P409" s="562" t="str">
        <f t="shared" si="250"/>
        <v/>
      </c>
      <c r="Q409" s="560" t="str">
        <f t="shared" si="253"/>
        <v/>
      </c>
      <c r="R409" s="16"/>
      <c r="T409" s="124" t="s">
        <v>136</v>
      </c>
      <c r="U409" s="1"/>
      <c r="V409" s="1"/>
      <c r="W409" s="26"/>
      <c r="X409" s="113" t="s">
        <v>378</v>
      </c>
      <c r="Y409" s="113">
        <f t="shared" si="251"/>
        <v>2050</v>
      </c>
      <c r="Z409" s="113">
        <f t="shared" si="252"/>
        <v>0.95</v>
      </c>
      <c r="AA409" s="121" t="str">
        <f t="shared" si="254"/>
        <v/>
      </c>
      <c r="AB409" s="121" t="str">
        <f t="shared" si="255"/>
        <v/>
      </c>
      <c r="AC409" s="107" t="s">
        <v>218</v>
      </c>
    </row>
    <row r="410" spans="1:29" ht="46.25" hidden="1" customHeight="1" outlineLevel="3">
      <c r="A410" s="865"/>
      <c r="B410" s="886"/>
      <c r="C410" s="333" t="s">
        <v>372</v>
      </c>
      <c r="D410" s="333" t="str">
        <f t="shared" ref="D410" si="274">D409</f>
        <v>No target type selected</v>
      </c>
      <c r="E410" s="713"/>
      <c r="F410" s="5"/>
      <c r="G410" s="5"/>
      <c r="H410" s="5"/>
      <c r="I410" s="5"/>
      <c r="J410" s="5"/>
      <c r="K410" s="557" t="str">
        <f t="shared" si="248"/>
        <v/>
      </c>
      <c r="L410" s="713"/>
      <c r="M410" s="562">
        <f t="shared" si="264"/>
        <v>0</v>
      </c>
      <c r="N410" s="915"/>
      <c r="O410" s="563"/>
      <c r="P410" s="562" t="str">
        <f t="shared" si="250"/>
        <v/>
      </c>
      <c r="Q410" s="560" t="str">
        <f t="shared" si="253"/>
        <v/>
      </c>
      <c r="R410" s="16"/>
      <c r="T410" s="124" t="s">
        <v>136</v>
      </c>
      <c r="U410" s="1"/>
      <c r="V410" s="1"/>
      <c r="W410" s="26"/>
      <c r="X410" s="113" t="s">
        <v>379</v>
      </c>
      <c r="Y410" s="113">
        <f t="shared" si="251"/>
        <v>2050</v>
      </c>
      <c r="Z410" s="113">
        <f t="shared" si="252"/>
        <v>0.85</v>
      </c>
      <c r="AA410" s="121" t="str">
        <f t="shared" si="254"/>
        <v/>
      </c>
      <c r="AB410" s="121" t="str">
        <f t="shared" si="255"/>
        <v/>
      </c>
      <c r="AC410" s="107"/>
    </row>
    <row r="411" spans="1:29" ht="46.25" hidden="1" customHeight="1" outlineLevel="3">
      <c r="A411" s="863" t="s">
        <v>121</v>
      </c>
      <c r="B411" s="886" t="s">
        <v>395</v>
      </c>
      <c r="C411" s="333" t="s">
        <v>369</v>
      </c>
      <c r="D411" s="333" t="str">
        <f t="shared" ref="D411" si="275">_xlfn.XLOOKUP(AC411,$AD$355:$AD$377,$D$355:$D$377,"No target",0)</f>
        <v>No target type selected</v>
      </c>
      <c r="E411" s="884" cm="1">
        <f t="array" ref="E411">SUMPRODUCT(('AMI Segmentation'!$M$89:$M$238=TRUE)*($AC411='AMI Segmentation'!$AK$89:$AK$238)*('Climate-Alignment Target'!E$242='AMI Segmentation'!$Q$88:$V$88)*('AMI Segmentation'!$Q$89:$V$238))</f>
        <v>0</v>
      </c>
      <c r="F411" s="5"/>
      <c r="G411" s="5"/>
      <c r="H411" s="5"/>
      <c r="I411" s="5"/>
      <c r="J411" s="5"/>
      <c r="K411" s="557" t="str">
        <f t="shared" si="248"/>
        <v/>
      </c>
      <c r="L411" s="712" t="str">
        <f t="shared" ref="L411" si="276">IF(K411="","",IF(E411=(K411+K412),"OK",IF(D411="Sector target","OK - covered by sector target",IF(AND(E411=0,D411="No target type selected"),"OK","Review financial exposure"))))</f>
        <v/>
      </c>
      <c r="M411" s="562">
        <f t="shared" si="264"/>
        <v>0</v>
      </c>
      <c r="N411" s="915"/>
      <c r="O411" s="563"/>
      <c r="P411" s="562" t="str">
        <f t="shared" si="250"/>
        <v/>
      </c>
      <c r="Q411" s="560" t="str">
        <f t="shared" si="253"/>
        <v/>
      </c>
      <c r="R411" s="16"/>
      <c r="T411" s="124" t="s">
        <v>121</v>
      </c>
      <c r="U411" s="1"/>
      <c r="V411" s="1"/>
      <c r="W411" s="26"/>
      <c r="X411" s="113" t="s">
        <v>373</v>
      </c>
      <c r="Y411" s="113">
        <f t="shared" si="251"/>
        <v>2040</v>
      </c>
      <c r="Z411" s="113">
        <f t="shared" si="252"/>
        <v>0.95</v>
      </c>
      <c r="AA411" s="121" t="str">
        <f t="shared" si="254"/>
        <v/>
      </c>
      <c r="AB411" s="121" t="str">
        <f t="shared" si="255"/>
        <v/>
      </c>
      <c r="AC411" s="107" t="s">
        <v>187</v>
      </c>
    </row>
    <row r="412" spans="1:29" ht="46.25" hidden="1" customHeight="1" outlineLevel="3">
      <c r="A412" s="865"/>
      <c r="B412" s="886"/>
      <c r="C412" s="333" t="s">
        <v>372</v>
      </c>
      <c r="D412" s="333" t="str">
        <f t="shared" ref="D412" si="277">D411</f>
        <v>No target type selected</v>
      </c>
      <c r="E412" s="713"/>
      <c r="F412" s="5"/>
      <c r="G412" s="5"/>
      <c r="H412" s="5"/>
      <c r="I412" s="5"/>
      <c r="J412" s="5"/>
      <c r="K412" s="557" t="str">
        <f t="shared" si="248"/>
        <v/>
      </c>
      <c r="L412" s="713"/>
      <c r="M412" s="562">
        <f t="shared" si="264"/>
        <v>0</v>
      </c>
      <c r="N412" s="915"/>
      <c r="O412" s="563"/>
      <c r="P412" s="562" t="str">
        <f t="shared" si="250"/>
        <v/>
      </c>
      <c r="Q412" s="560" t="str">
        <f t="shared" si="253"/>
        <v/>
      </c>
      <c r="R412" s="16"/>
      <c r="T412" s="124" t="s">
        <v>121</v>
      </c>
      <c r="U412" s="1"/>
      <c r="V412" s="1"/>
      <c r="W412" s="26"/>
      <c r="X412" s="113" t="s">
        <v>374</v>
      </c>
      <c r="Y412" s="113">
        <f t="shared" si="251"/>
        <v>2040</v>
      </c>
      <c r="Z412" s="113">
        <f t="shared" si="252"/>
        <v>0.85</v>
      </c>
      <c r="AA412" s="121" t="str">
        <f t="shared" si="254"/>
        <v/>
      </c>
      <c r="AB412" s="121" t="str">
        <f t="shared" si="255"/>
        <v/>
      </c>
      <c r="AC412" s="107"/>
    </row>
    <row r="413" spans="1:29" ht="46.25" hidden="1" customHeight="1" outlineLevel="3">
      <c r="A413" s="863" t="s">
        <v>136</v>
      </c>
      <c r="B413" s="886" t="s">
        <v>395</v>
      </c>
      <c r="C413" s="333" t="s">
        <v>369</v>
      </c>
      <c r="D413" s="333" t="str">
        <f t="shared" ref="D413" si="278">_xlfn.XLOOKUP(AC413,$AD$355:$AD$377,$D$355:$D$377,"No target",0)</f>
        <v>No target type selected</v>
      </c>
      <c r="E413" s="884" cm="1">
        <f t="array" ref="E413">SUMPRODUCT(('AMI Segmentation'!$M$89:$M$238=TRUE)*($AC413='AMI Segmentation'!$AK$89:$AK$238)*('Climate-Alignment Target'!E$242='AMI Segmentation'!$Q$88:$V$88)*('AMI Segmentation'!$Q$89:$V$238))</f>
        <v>0</v>
      </c>
      <c r="F413" s="5"/>
      <c r="G413" s="5"/>
      <c r="H413" s="5"/>
      <c r="I413" s="5"/>
      <c r="J413" s="5"/>
      <c r="K413" s="557" t="str">
        <f t="shared" si="248"/>
        <v/>
      </c>
      <c r="L413" s="712" t="str">
        <f t="shared" ref="L413" si="279">IF(K413="","",IF(E413=(K413+K414),"OK",IF(D413="Sector target","OK - covered by sector target",IF(AND(E413=0,D413="No target type selected"),"OK","Review financial exposure"))))</f>
        <v/>
      </c>
      <c r="M413" s="562">
        <f t="shared" si="264"/>
        <v>0</v>
      </c>
      <c r="N413" s="915"/>
      <c r="O413" s="563"/>
      <c r="P413" s="562" t="str">
        <f t="shared" si="250"/>
        <v/>
      </c>
      <c r="Q413" s="560" t="str">
        <f t="shared" si="253"/>
        <v/>
      </c>
      <c r="R413" s="16"/>
      <c r="T413" s="124" t="s">
        <v>136</v>
      </c>
      <c r="U413" s="1"/>
      <c r="V413" s="1"/>
      <c r="W413" s="26"/>
      <c r="X413" s="113" t="s">
        <v>378</v>
      </c>
      <c r="Y413" s="113">
        <f t="shared" si="251"/>
        <v>2050</v>
      </c>
      <c r="Z413" s="113">
        <f t="shared" si="252"/>
        <v>0.95</v>
      </c>
      <c r="AA413" s="121" t="str">
        <f t="shared" si="254"/>
        <v/>
      </c>
      <c r="AB413" s="121" t="str">
        <f t="shared" si="255"/>
        <v/>
      </c>
      <c r="AC413" s="107" t="s">
        <v>220</v>
      </c>
    </row>
    <row r="414" spans="1:29" ht="46.25" hidden="1" customHeight="1" outlineLevel="3">
      <c r="A414" s="865"/>
      <c r="B414" s="886"/>
      <c r="C414" s="333" t="s">
        <v>372</v>
      </c>
      <c r="D414" s="333" t="str">
        <f t="shared" ref="D414" si="280">D413</f>
        <v>No target type selected</v>
      </c>
      <c r="E414" s="713"/>
      <c r="F414" s="5"/>
      <c r="G414" s="5"/>
      <c r="H414" s="5"/>
      <c r="I414" s="5"/>
      <c r="J414" s="5"/>
      <c r="K414" s="557" t="str">
        <f t="shared" si="248"/>
        <v/>
      </c>
      <c r="L414" s="713"/>
      <c r="M414" s="562">
        <f t="shared" si="264"/>
        <v>0</v>
      </c>
      <c r="N414" s="915"/>
      <c r="O414" s="563"/>
      <c r="P414" s="562" t="str">
        <f t="shared" si="250"/>
        <v/>
      </c>
      <c r="Q414" s="560" t="str">
        <f t="shared" si="253"/>
        <v/>
      </c>
      <c r="R414" s="16"/>
      <c r="T414" s="124" t="s">
        <v>136</v>
      </c>
      <c r="U414" s="1"/>
      <c r="V414" s="1"/>
      <c r="W414" s="26"/>
      <c r="X414" s="113" t="s">
        <v>379</v>
      </c>
      <c r="Y414" s="113">
        <f t="shared" si="251"/>
        <v>2050</v>
      </c>
      <c r="Z414" s="113">
        <f t="shared" si="252"/>
        <v>0.85</v>
      </c>
      <c r="AA414" s="121" t="str">
        <f t="shared" si="254"/>
        <v/>
      </c>
      <c r="AB414" s="121" t="str">
        <f t="shared" si="255"/>
        <v/>
      </c>
      <c r="AC414" s="107"/>
    </row>
    <row r="415" spans="1:29" ht="46.25" hidden="1" customHeight="1" outlineLevel="3">
      <c r="A415" s="863" t="s">
        <v>121</v>
      </c>
      <c r="B415" s="886" t="s">
        <v>396</v>
      </c>
      <c r="C415" s="333" t="s">
        <v>369</v>
      </c>
      <c r="D415" s="333" t="str">
        <f t="shared" ref="D415" si="281">_xlfn.XLOOKUP(AC415,$AD$355:$AD$377,$D$355:$D$377,"No target",0)</f>
        <v>No target type selected</v>
      </c>
      <c r="E415" s="884" cm="1">
        <f t="array" ref="E415">SUMPRODUCT(('AMI Segmentation'!$M$89:$M$238=TRUE)*($AC415='AMI Segmentation'!$AK$89:$AK$238)*('Climate-Alignment Target'!E$242='AMI Segmentation'!$Q$88:$V$88)*('AMI Segmentation'!$Q$89:$V$238))</f>
        <v>0</v>
      </c>
      <c r="F415" s="5"/>
      <c r="G415" s="5"/>
      <c r="H415" s="5"/>
      <c r="I415" s="5"/>
      <c r="J415" s="5"/>
      <c r="K415" s="557" t="str">
        <f t="shared" si="248"/>
        <v/>
      </c>
      <c r="L415" s="712" t="str">
        <f t="shared" ref="L415" si="282">IF(K415="","",IF(E415=(K415+K416),"OK",IF(D415="Sector target","OK - covered by sector target",IF(AND(E415=0,D415="No target type selected"),"OK","Review financial exposure"))))</f>
        <v/>
      </c>
      <c r="M415" s="562">
        <f t="shared" si="264"/>
        <v>0</v>
      </c>
      <c r="N415" s="915"/>
      <c r="O415" s="563"/>
      <c r="P415" s="562" t="str">
        <f t="shared" si="250"/>
        <v/>
      </c>
      <c r="Q415" s="560" t="str">
        <f t="shared" si="253"/>
        <v/>
      </c>
      <c r="R415" s="16"/>
      <c r="T415" s="124" t="s">
        <v>121</v>
      </c>
      <c r="U415" s="1"/>
      <c r="V415" s="1"/>
      <c r="W415" s="26"/>
      <c r="X415" s="113" t="s">
        <v>373</v>
      </c>
      <c r="Y415" s="113">
        <f t="shared" si="251"/>
        <v>2040</v>
      </c>
      <c r="Z415" s="113">
        <f t="shared" si="252"/>
        <v>0.95</v>
      </c>
      <c r="AA415" s="121" t="str">
        <f t="shared" si="254"/>
        <v/>
      </c>
      <c r="AB415" s="121" t="str">
        <f t="shared" si="255"/>
        <v/>
      </c>
      <c r="AC415" s="107" t="s">
        <v>193</v>
      </c>
    </row>
    <row r="416" spans="1:29" ht="46.25" hidden="1" customHeight="1" outlineLevel="3">
      <c r="A416" s="865"/>
      <c r="B416" s="886"/>
      <c r="C416" s="333" t="s">
        <v>372</v>
      </c>
      <c r="D416" s="333" t="str">
        <f t="shared" ref="D416" si="283">D415</f>
        <v>No target type selected</v>
      </c>
      <c r="E416" s="713"/>
      <c r="F416" s="5"/>
      <c r="G416" s="5"/>
      <c r="H416" s="5"/>
      <c r="I416" s="5"/>
      <c r="J416" s="5"/>
      <c r="K416" s="557" t="str">
        <f t="shared" si="248"/>
        <v/>
      </c>
      <c r="L416" s="713"/>
      <c r="M416" s="562">
        <f t="shared" si="264"/>
        <v>0</v>
      </c>
      <c r="N416" s="915"/>
      <c r="O416" s="563"/>
      <c r="P416" s="562" t="str">
        <f t="shared" si="250"/>
        <v/>
      </c>
      <c r="Q416" s="560" t="str">
        <f t="shared" si="253"/>
        <v/>
      </c>
      <c r="R416" s="16"/>
      <c r="T416" s="124" t="s">
        <v>121</v>
      </c>
      <c r="U416" s="1"/>
      <c r="V416" s="1"/>
      <c r="W416" s="26"/>
      <c r="X416" s="113" t="s">
        <v>374</v>
      </c>
      <c r="Y416" s="113">
        <f t="shared" si="251"/>
        <v>2040</v>
      </c>
      <c r="Z416" s="113">
        <f t="shared" si="252"/>
        <v>0.85</v>
      </c>
      <c r="AA416" s="121" t="str">
        <f t="shared" si="254"/>
        <v/>
      </c>
      <c r="AB416" s="121" t="str">
        <f t="shared" si="255"/>
        <v/>
      </c>
      <c r="AC416" s="107"/>
    </row>
    <row r="417" spans="1:29" ht="46.25" hidden="1" customHeight="1" outlineLevel="3">
      <c r="A417" s="863" t="s">
        <v>136</v>
      </c>
      <c r="B417" s="886" t="s">
        <v>396</v>
      </c>
      <c r="C417" s="333" t="s">
        <v>369</v>
      </c>
      <c r="D417" s="333" t="str">
        <f t="shared" ref="D417" si="284">_xlfn.XLOOKUP(AC417,$AD$355:$AD$377,$D$355:$D$377,"No target",0)</f>
        <v>No target type selected</v>
      </c>
      <c r="E417" s="884" cm="1">
        <f t="array" ref="E417">SUMPRODUCT(('AMI Segmentation'!$M$89:$M$238=TRUE)*($AC417='AMI Segmentation'!$AK$89:$AK$238)*('Climate-Alignment Target'!E$242='AMI Segmentation'!$Q$88:$V$88)*('AMI Segmentation'!$Q$89:$V$238))</f>
        <v>0</v>
      </c>
      <c r="F417" s="5"/>
      <c r="G417" s="5"/>
      <c r="H417" s="5"/>
      <c r="I417" s="5"/>
      <c r="J417" s="5"/>
      <c r="K417" s="557" t="str">
        <f t="shared" si="248"/>
        <v/>
      </c>
      <c r="L417" s="712" t="str">
        <f t="shared" ref="L417" si="285">IF(K417="","",IF(E417=(K417+K418),"OK",IF(D417="Sector target","OK - covered by sector target",IF(AND(E417=0,D417="No target type selected"),"OK","Review financial exposure"))))</f>
        <v/>
      </c>
      <c r="M417" s="562">
        <f t="shared" si="264"/>
        <v>0</v>
      </c>
      <c r="N417" s="915"/>
      <c r="O417" s="563"/>
      <c r="P417" s="562" t="str">
        <f t="shared" si="250"/>
        <v/>
      </c>
      <c r="Q417" s="560" t="str">
        <f t="shared" si="253"/>
        <v/>
      </c>
      <c r="R417" s="16"/>
      <c r="T417" s="124" t="s">
        <v>136</v>
      </c>
      <c r="U417" s="1"/>
      <c r="V417" s="1"/>
      <c r="W417" s="26"/>
      <c r="X417" s="113" t="s">
        <v>378</v>
      </c>
      <c r="Y417" s="113">
        <f t="shared" si="251"/>
        <v>2050</v>
      </c>
      <c r="Z417" s="113">
        <f t="shared" si="252"/>
        <v>0.95</v>
      </c>
      <c r="AA417" s="121" t="str">
        <f t="shared" si="254"/>
        <v/>
      </c>
      <c r="AB417" s="121" t="str">
        <f t="shared" si="255"/>
        <v/>
      </c>
      <c r="AC417" s="107" t="s">
        <v>221</v>
      </c>
    </row>
    <row r="418" spans="1:29" ht="46.25" hidden="1" customHeight="1" outlineLevel="3">
      <c r="A418" s="865"/>
      <c r="B418" s="886"/>
      <c r="C418" s="333" t="s">
        <v>372</v>
      </c>
      <c r="D418" s="333" t="str">
        <f t="shared" ref="D418" si="286">D417</f>
        <v>No target type selected</v>
      </c>
      <c r="E418" s="713"/>
      <c r="F418" s="5"/>
      <c r="G418" s="5"/>
      <c r="H418" s="5"/>
      <c r="I418" s="5"/>
      <c r="J418" s="5"/>
      <c r="K418" s="557" t="str">
        <f t="shared" si="248"/>
        <v/>
      </c>
      <c r="L418" s="713"/>
      <c r="M418" s="562">
        <f t="shared" si="264"/>
        <v>0</v>
      </c>
      <c r="N418" s="915"/>
      <c r="O418" s="563"/>
      <c r="P418" s="562" t="str">
        <f t="shared" si="250"/>
        <v/>
      </c>
      <c r="Q418" s="560" t="str">
        <f t="shared" si="253"/>
        <v/>
      </c>
      <c r="R418" s="16"/>
      <c r="T418" s="124" t="s">
        <v>136</v>
      </c>
      <c r="U418" s="1"/>
      <c r="V418" s="1"/>
      <c r="W418" s="26"/>
      <c r="X418" s="113" t="s">
        <v>379</v>
      </c>
      <c r="Y418" s="113">
        <f t="shared" si="251"/>
        <v>2050</v>
      </c>
      <c r="Z418" s="113">
        <f t="shared" si="252"/>
        <v>0.85</v>
      </c>
      <c r="AA418" s="121" t="str">
        <f t="shared" si="254"/>
        <v/>
      </c>
      <c r="AB418" s="121" t="str">
        <f t="shared" si="255"/>
        <v/>
      </c>
      <c r="AC418" s="107"/>
    </row>
    <row r="419" spans="1:29" ht="46.25" hidden="1" customHeight="1" outlineLevel="3">
      <c r="A419" s="863" t="s">
        <v>121</v>
      </c>
      <c r="B419" s="886" t="s">
        <v>397</v>
      </c>
      <c r="C419" s="333" t="s">
        <v>369</v>
      </c>
      <c r="D419" s="333" t="str">
        <f t="shared" ref="D419" si="287">_xlfn.XLOOKUP(AC419,$AD$355:$AD$377,$D$355:$D$377,"No target",0)</f>
        <v>No target type selected</v>
      </c>
      <c r="E419" s="884" cm="1">
        <f t="array" ref="E419">SUMPRODUCT(('AMI Segmentation'!$M$89:$M$238=TRUE)*($AC419='AMI Segmentation'!$AK$89:$AK$238)*('Climate-Alignment Target'!E$242='AMI Segmentation'!$Q$88:$V$88)*('AMI Segmentation'!$Q$89:$V$238))</f>
        <v>0</v>
      </c>
      <c r="F419" s="5"/>
      <c r="G419" s="5"/>
      <c r="H419" s="5"/>
      <c r="I419" s="5"/>
      <c r="J419" s="5"/>
      <c r="K419" s="557" t="str">
        <f t="shared" si="248"/>
        <v/>
      </c>
      <c r="L419" s="712" t="str">
        <f t="shared" ref="L419" si="288">IF(K419="","",IF(E419=(K419+K420),"OK",IF(D419="Sector target","OK - covered by sector target",IF(AND(E419=0,D419="No target type selected"),"OK","Review financial exposure"))))</f>
        <v/>
      </c>
      <c r="M419" s="562">
        <f t="shared" si="264"/>
        <v>0</v>
      </c>
      <c r="N419" s="915"/>
      <c r="O419" s="563"/>
      <c r="P419" s="562" t="str">
        <f t="shared" si="250"/>
        <v/>
      </c>
      <c r="Q419" s="560" t="str">
        <f t="shared" si="253"/>
        <v/>
      </c>
      <c r="R419" s="16"/>
      <c r="T419" s="124" t="s">
        <v>121</v>
      </c>
      <c r="U419" s="1"/>
      <c r="V419" s="1"/>
      <c r="W419" s="26"/>
      <c r="X419" s="113" t="s">
        <v>373</v>
      </c>
      <c r="Y419" s="113">
        <f t="shared" si="251"/>
        <v>2040</v>
      </c>
      <c r="Z419" s="113">
        <f t="shared" si="252"/>
        <v>0.95</v>
      </c>
      <c r="AA419" s="121" t="str">
        <f t="shared" si="254"/>
        <v/>
      </c>
      <c r="AB419" s="121" t="str">
        <f t="shared" si="255"/>
        <v/>
      </c>
      <c r="AC419" s="107" t="s">
        <v>197</v>
      </c>
    </row>
    <row r="420" spans="1:29" ht="46.25" hidden="1" customHeight="1" outlineLevel="3">
      <c r="A420" s="865"/>
      <c r="B420" s="886"/>
      <c r="C420" s="333" t="s">
        <v>372</v>
      </c>
      <c r="D420" s="333" t="str">
        <f t="shared" ref="D420" si="289">D419</f>
        <v>No target type selected</v>
      </c>
      <c r="E420" s="713"/>
      <c r="F420" s="5"/>
      <c r="G420" s="5"/>
      <c r="H420" s="5"/>
      <c r="I420" s="5"/>
      <c r="J420" s="5"/>
      <c r="K420" s="557" t="str">
        <f t="shared" si="248"/>
        <v/>
      </c>
      <c r="L420" s="713"/>
      <c r="M420" s="562">
        <f t="shared" si="264"/>
        <v>0</v>
      </c>
      <c r="N420" s="915"/>
      <c r="O420" s="563"/>
      <c r="P420" s="562" t="str">
        <f t="shared" si="250"/>
        <v/>
      </c>
      <c r="Q420" s="560" t="str">
        <f t="shared" si="253"/>
        <v/>
      </c>
      <c r="R420" s="16"/>
      <c r="T420" s="124" t="s">
        <v>121</v>
      </c>
      <c r="U420" s="1"/>
      <c r="V420" s="1"/>
      <c r="W420" s="26"/>
      <c r="X420" s="113" t="s">
        <v>374</v>
      </c>
      <c r="Y420" s="113">
        <f t="shared" si="251"/>
        <v>2040</v>
      </c>
      <c r="Z420" s="113">
        <f t="shared" si="252"/>
        <v>0.85</v>
      </c>
      <c r="AA420" s="121" t="str">
        <f t="shared" si="254"/>
        <v/>
      </c>
      <c r="AB420" s="121" t="str">
        <f t="shared" si="255"/>
        <v/>
      </c>
      <c r="AC420" s="107"/>
    </row>
    <row r="421" spans="1:29" ht="46.25" hidden="1" customHeight="1" outlineLevel="3">
      <c r="A421" s="863" t="s">
        <v>136</v>
      </c>
      <c r="B421" s="886" t="s">
        <v>397</v>
      </c>
      <c r="C421" s="333" t="s">
        <v>369</v>
      </c>
      <c r="D421" s="333" t="str">
        <f t="shared" ref="D421" si="290">_xlfn.XLOOKUP(AC421,$AD$355:$AD$377,$D$355:$D$377,"No target",0)</f>
        <v>No target type selected</v>
      </c>
      <c r="E421" s="884" cm="1">
        <f t="array" ref="E421">SUMPRODUCT(('AMI Segmentation'!$M$89:$M$238=TRUE)*($AC421='AMI Segmentation'!$AK$89:$AK$238)*('Climate-Alignment Target'!E$242='AMI Segmentation'!$Q$88:$V$88)*('AMI Segmentation'!$Q$89:$V$238))</f>
        <v>0</v>
      </c>
      <c r="F421" s="5"/>
      <c r="G421" s="5"/>
      <c r="H421" s="5"/>
      <c r="I421" s="5"/>
      <c r="J421" s="5"/>
      <c r="K421" s="557" t="str">
        <f t="shared" si="248"/>
        <v/>
      </c>
      <c r="L421" s="712" t="str">
        <f t="shared" ref="L421" si="291">IF(K421="","",IF(E421=(K421+K422),"OK",IF(D421="Sector target","OK - covered by sector target",IF(AND(E421=0,D421="No target type selected"),"OK","Review financial exposure"))))</f>
        <v/>
      </c>
      <c r="M421" s="562">
        <f t="shared" si="264"/>
        <v>0</v>
      </c>
      <c r="N421" s="915"/>
      <c r="O421" s="563"/>
      <c r="P421" s="562" t="str">
        <f t="shared" si="250"/>
        <v/>
      </c>
      <c r="Q421" s="560" t="str">
        <f t="shared" si="253"/>
        <v/>
      </c>
      <c r="R421" s="16"/>
      <c r="T421" s="124" t="s">
        <v>136</v>
      </c>
      <c r="U421" s="1"/>
      <c r="V421" s="1"/>
      <c r="W421" s="26"/>
      <c r="X421" s="113" t="s">
        <v>378</v>
      </c>
      <c r="Y421" s="113">
        <f t="shared" si="251"/>
        <v>2050</v>
      </c>
      <c r="Z421" s="113">
        <f t="shared" si="252"/>
        <v>0.95</v>
      </c>
      <c r="AA421" s="121" t="str">
        <f t="shared" si="254"/>
        <v/>
      </c>
      <c r="AB421" s="121" t="str">
        <f t="shared" si="255"/>
        <v/>
      </c>
      <c r="AC421" s="107" t="s">
        <v>222</v>
      </c>
    </row>
    <row r="422" spans="1:29" ht="46.25" hidden="1" customHeight="1" outlineLevel="3">
      <c r="A422" s="865"/>
      <c r="B422" s="886"/>
      <c r="C422" s="333" t="s">
        <v>372</v>
      </c>
      <c r="D422" s="333" t="str">
        <f t="shared" ref="D422" si="292">D421</f>
        <v>No target type selected</v>
      </c>
      <c r="E422" s="713"/>
      <c r="F422" s="5"/>
      <c r="G422" s="5"/>
      <c r="H422" s="5"/>
      <c r="I422" s="5"/>
      <c r="J422" s="5"/>
      <c r="K422" s="557" t="str">
        <f t="shared" si="248"/>
        <v/>
      </c>
      <c r="L422" s="713"/>
      <c r="M422" s="562">
        <f t="shared" si="264"/>
        <v>0</v>
      </c>
      <c r="N422" s="915"/>
      <c r="O422" s="563"/>
      <c r="P422" s="562" t="str">
        <f t="shared" si="250"/>
        <v/>
      </c>
      <c r="Q422" s="560" t="str">
        <f t="shared" si="253"/>
        <v/>
      </c>
      <c r="R422" s="16"/>
      <c r="T422" s="124" t="s">
        <v>136</v>
      </c>
      <c r="U422" s="1"/>
      <c r="V422" s="1"/>
      <c r="W422" s="26"/>
      <c r="X422" s="113" t="s">
        <v>379</v>
      </c>
      <c r="Y422" s="113">
        <f t="shared" si="251"/>
        <v>2050</v>
      </c>
      <c r="Z422" s="113">
        <f t="shared" si="252"/>
        <v>0.85</v>
      </c>
      <c r="AA422" s="121" t="str">
        <f t="shared" si="254"/>
        <v/>
      </c>
      <c r="AB422" s="121" t="str">
        <f t="shared" si="255"/>
        <v/>
      </c>
      <c r="AC422" s="107"/>
    </row>
    <row r="423" spans="1:29" ht="46.25" hidden="1" customHeight="1" outlineLevel="3">
      <c r="A423" s="863" t="s">
        <v>121</v>
      </c>
      <c r="B423" s="886" t="s">
        <v>398</v>
      </c>
      <c r="C423" s="333" t="s">
        <v>369</v>
      </c>
      <c r="D423" s="333" t="str">
        <f t="shared" ref="D423" si="293">_xlfn.XLOOKUP(AC423,$AD$355:$AD$377,$D$355:$D$377,"No target",0)</f>
        <v>No target type selected</v>
      </c>
      <c r="E423" s="884" cm="1">
        <f t="array" ref="E423">SUMPRODUCT(('AMI Segmentation'!$M$89:$M$238=TRUE)*($AC423='AMI Segmentation'!$AK$89:$AK$238)*('Climate-Alignment Target'!E$242='AMI Segmentation'!$Q$88:$V$88)*('AMI Segmentation'!$Q$89:$V$238))</f>
        <v>0</v>
      </c>
      <c r="F423" s="5"/>
      <c r="G423" s="5"/>
      <c r="H423" s="5"/>
      <c r="I423" s="5"/>
      <c r="J423" s="5"/>
      <c r="K423" s="557" t="str">
        <f t="shared" si="248"/>
        <v/>
      </c>
      <c r="L423" s="712" t="str">
        <f t="shared" ref="L423" si="294">IF(K423="","",IF(E423=(K423+K424),"OK",IF(D423="Sector target","OK - covered by sector target",IF(AND(E423=0,D423="No target type selected"),"OK","Review financial exposure"))))</f>
        <v/>
      </c>
      <c r="M423" s="562">
        <f t="shared" si="264"/>
        <v>0</v>
      </c>
      <c r="N423" s="915"/>
      <c r="O423" s="563"/>
      <c r="P423" s="562" t="str">
        <f t="shared" si="250"/>
        <v/>
      </c>
      <c r="Q423" s="560" t="str">
        <f t="shared" si="253"/>
        <v/>
      </c>
      <c r="R423" s="16"/>
      <c r="T423" s="124" t="s">
        <v>121</v>
      </c>
      <c r="U423" s="1"/>
      <c r="V423" s="1"/>
      <c r="W423" s="26"/>
      <c r="X423" s="113" t="s">
        <v>373</v>
      </c>
      <c r="Y423" s="113">
        <f t="shared" si="251"/>
        <v>2040</v>
      </c>
      <c r="Z423" s="113">
        <f t="shared" si="252"/>
        <v>0.95</v>
      </c>
      <c r="AA423" s="121" t="str">
        <f t="shared" si="254"/>
        <v/>
      </c>
      <c r="AB423" s="121" t="str">
        <f t="shared" si="255"/>
        <v/>
      </c>
      <c r="AC423" s="107" t="s">
        <v>202</v>
      </c>
    </row>
    <row r="424" spans="1:29" ht="46.25" hidden="1" customHeight="1" outlineLevel="3">
      <c r="A424" s="865"/>
      <c r="B424" s="886"/>
      <c r="C424" s="333" t="s">
        <v>372</v>
      </c>
      <c r="D424" s="333" t="str">
        <f t="shared" ref="D424" si="295">D423</f>
        <v>No target type selected</v>
      </c>
      <c r="E424" s="713"/>
      <c r="F424" s="5"/>
      <c r="G424" s="5"/>
      <c r="H424" s="5"/>
      <c r="I424" s="5"/>
      <c r="J424" s="5"/>
      <c r="K424" s="557" t="str">
        <f t="shared" si="248"/>
        <v/>
      </c>
      <c r="L424" s="713"/>
      <c r="M424" s="562">
        <f t="shared" si="264"/>
        <v>0</v>
      </c>
      <c r="N424" s="915"/>
      <c r="O424" s="563"/>
      <c r="P424" s="562" t="str">
        <f t="shared" si="250"/>
        <v/>
      </c>
      <c r="Q424" s="560" t="str">
        <f t="shared" si="253"/>
        <v/>
      </c>
      <c r="R424" s="16"/>
      <c r="T424" s="124" t="s">
        <v>121</v>
      </c>
      <c r="U424" s="1"/>
      <c r="V424" s="1"/>
      <c r="W424" s="26"/>
      <c r="X424" s="113" t="s">
        <v>374</v>
      </c>
      <c r="Y424" s="113">
        <f t="shared" si="251"/>
        <v>2040</v>
      </c>
      <c r="Z424" s="113">
        <f t="shared" si="252"/>
        <v>0.85</v>
      </c>
      <c r="AA424" s="121" t="str">
        <f t="shared" si="254"/>
        <v/>
      </c>
      <c r="AB424" s="121" t="str">
        <f t="shared" si="255"/>
        <v/>
      </c>
      <c r="AC424" s="107"/>
    </row>
    <row r="425" spans="1:29" ht="46.25" hidden="1" customHeight="1" outlineLevel="3">
      <c r="A425" s="863" t="s">
        <v>136</v>
      </c>
      <c r="B425" s="886" t="s">
        <v>398</v>
      </c>
      <c r="C425" s="333" t="s">
        <v>369</v>
      </c>
      <c r="D425" s="333" t="str">
        <f t="shared" ref="D425" si="296">_xlfn.XLOOKUP(AC425,$AD$355:$AD$377,$D$355:$D$377,"No target",0)</f>
        <v>No target type selected</v>
      </c>
      <c r="E425" s="884" cm="1">
        <f t="array" ref="E425">SUMPRODUCT(('AMI Segmentation'!$M$89:$M$238=TRUE)*($AC425='AMI Segmentation'!$AK$89:$AK$238)*('Climate-Alignment Target'!E$242='AMI Segmentation'!$Q$88:$V$88)*('AMI Segmentation'!$Q$89:$V$238))</f>
        <v>0</v>
      </c>
      <c r="F425" s="5"/>
      <c r="G425" s="5"/>
      <c r="H425" s="5"/>
      <c r="I425" s="5"/>
      <c r="J425" s="5"/>
      <c r="K425" s="557" t="str">
        <f t="shared" si="248"/>
        <v/>
      </c>
      <c r="L425" s="712" t="str">
        <f t="shared" ref="L425" si="297">IF(K425="","",IF(E425=(K425+K426),"OK",IF(D425="Sector target","OK - covered by sector target",IF(AND(E425=0,D425="No target type selected"),"OK","Review financial exposure"))))</f>
        <v/>
      </c>
      <c r="M425" s="562">
        <f t="shared" si="264"/>
        <v>0</v>
      </c>
      <c r="N425" s="915"/>
      <c r="O425" s="563"/>
      <c r="P425" s="562" t="str">
        <f t="shared" si="250"/>
        <v/>
      </c>
      <c r="Q425" s="560" t="str">
        <f t="shared" si="253"/>
        <v/>
      </c>
      <c r="R425" s="16"/>
      <c r="T425" s="124" t="s">
        <v>136</v>
      </c>
      <c r="U425" s="1"/>
      <c r="V425" s="1"/>
      <c r="W425" s="26"/>
      <c r="X425" s="113" t="s">
        <v>378</v>
      </c>
      <c r="Y425" s="113">
        <f t="shared" si="251"/>
        <v>2050</v>
      </c>
      <c r="Z425" s="113">
        <f t="shared" si="252"/>
        <v>0.95</v>
      </c>
      <c r="AA425" s="121" t="str">
        <f t="shared" si="254"/>
        <v/>
      </c>
      <c r="AB425" s="121" t="str">
        <f t="shared" si="255"/>
        <v/>
      </c>
      <c r="AC425" s="107" t="s">
        <v>223</v>
      </c>
    </row>
    <row r="426" spans="1:29" ht="46.25" hidden="1" customHeight="1" outlineLevel="3">
      <c r="A426" s="865"/>
      <c r="B426" s="886"/>
      <c r="C426" s="333" t="s">
        <v>372</v>
      </c>
      <c r="D426" s="333" t="str">
        <f t="shared" ref="D426" si="298">D425</f>
        <v>No target type selected</v>
      </c>
      <c r="E426" s="713"/>
      <c r="F426" s="5"/>
      <c r="G426" s="5"/>
      <c r="H426" s="5"/>
      <c r="I426" s="5"/>
      <c r="J426" s="5"/>
      <c r="K426" s="557" t="str">
        <f t="shared" si="248"/>
        <v/>
      </c>
      <c r="L426" s="713"/>
      <c r="M426" s="562">
        <f t="shared" si="264"/>
        <v>0</v>
      </c>
      <c r="N426" s="915"/>
      <c r="O426" s="563"/>
      <c r="P426" s="562" t="str">
        <f t="shared" si="250"/>
        <v/>
      </c>
      <c r="Q426" s="560" t="str">
        <f t="shared" si="253"/>
        <v/>
      </c>
      <c r="R426" s="16"/>
      <c r="T426" s="124" t="s">
        <v>136</v>
      </c>
      <c r="U426" s="1"/>
      <c r="V426" s="1"/>
      <c r="W426" s="26"/>
      <c r="X426" s="113" t="s">
        <v>379</v>
      </c>
      <c r="Y426" s="113">
        <f t="shared" si="251"/>
        <v>2050</v>
      </c>
      <c r="Z426" s="113">
        <f t="shared" si="252"/>
        <v>0.85</v>
      </c>
      <c r="AA426" s="121" t="str">
        <f t="shared" si="254"/>
        <v/>
      </c>
      <c r="AB426" s="121" t="str">
        <f t="shared" si="255"/>
        <v/>
      </c>
      <c r="AC426" s="107"/>
    </row>
    <row r="427" spans="1:29" ht="46.25" hidden="1" customHeight="1" outlineLevel="3">
      <c r="A427" s="863" t="s">
        <v>121</v>
      </c>
      <c r="B427" s="886" t="s">
        <v>399</v>
      </c>
      <c r="C427" s="333" t="s">
        <v>369</v>
      </c>
      <c r="D427" s="333" t="str">
        <f t="shared" ref="D427" si="299">_xlfn.XLOOKUP(AC427,$AD$355:$AD$377,$D$355:$D$377,"No target",0)</f>
        <v>No target type selected</v>
      </c>
      <c r="E427" s="884" cm="1">
        <f t="array" ref="E427">SUMPRODUCT(('AMI Segmentation'!$M$89:$M$238=TRUE)*($AC427='AMI Segmentation'!$AK$89:$AK$238)*('Climate-Alignment Target'!E$242='AMI Segmentation'!$Q$88:$V$88)*('AMI Segmentation'!$Q$89:$V$238))</f>
        <v>0</v>
      </c>
      <c r="F427" s="5"/>
      <c r="G427" s="5"/>
      <c r="H427" s="5"/>
      <c r="I427" s="5"/>
      <c r="J427" s="5"/>
      <c r="K427" s="557" t="str">
        <f t="shared" si="248"/>
        <v/>
      </c>
      <c r="L427" s="712" t="str">
        <f t="shared" ref="L427" si="300">IF(K427="","",IF(E427=(K427+K428),"OK",IF(D427="Sector target","OK - covered by sector target",IF(AND(E427=0,D427="No target type selected"),"OK","Review financial exposure"))))</f>
        <v/>
      </c>
      <c r="M427" s="562">
        <f t="shared" si="264"/>
        <v>0</v>
      </c>
      <c r="N427" s="915"/>
      <c r="O427" s="563"/>
      <c r="P427" s="562" t="str">
        <f t="shared" si="250"/>
        <v/>
      </c>
      <c r="Q427" s="560" t="str">
        <f t="shared" si="253"/>
        <v/>
      </c>
      <c r="R427" s="16"/>
      <c r="T427" s="124" t="s">
        <v>121</v>
      </c>
      <c r="U427" s="1"/>
      <c r="V427" s="1"/>
      <c r="W427" s="26"/>
      <c r="X427" s="113" t="s">
        <v>373</v>
      </c>
      <c r="Y427" s="113">
        <f t="shared" si="251"/>
        <v>2040</v>
      </c>
      <c r="Z427" s="113">
        <f t="shared" si="252"/>
        <v>0.95</v>
      </c>
      <c r="AA427" s="121" t="str">
        <f t="shared" si="254"/>
        <v/>
      </c>
      <c r="AB427" s="121" t="str">
        <f t="shared" si="255"/>
        <v/>
      </c>
      <c r="AC427" s="107" t="s">
        <v>207</v>
      </c>
    </row>
    <row r="428" spans="1:29" ht="46.25" hidden="1" customHeight="1" outlineLevel="3">
      <c r="A428" s="865"/>
      <c r="B428" s="886"/>
      <c r="C428" s="333" t="s">
        <v>372</v>
      </c>
      <c r="D428" s="333" t="str">
        <f t="shared" ref="D428" si="301">D427</f>
        <v>No target type selected</v>
      </c>
      <c r="E428" s="713"/>
      <c r="F428" s="5"/>
      <c r="G428" s="5"/>
      <c r="H428" s="5"/>
      <c r="I428" s="5"/>
      <c r="J428" s="5"/>
      <c r="K428" s="557" t="str">
        <f t="shared" si="248"/>
        <v/>
      </c>
      <c r="L428" s="713"/>
      <c r="M428" s="562">
        <f t="shared" si="264"/>
        <v>0</v>
      </c>
      <c r="N428" s="915"/>
      <c r="O428" s="563"/>
      <c r="P428" s="562" t="str">
        <f t="shared" si="250"/>
        <v/>
      </c>
      <c r="Q428" s="560" t="str">
        <f t="shared" si="253"/>
        <v/>
      </c>
      <c r="R428" s="16"/>
      <c r="T428" s="124" t="s">
        <v>121</v>
      </c>
      <c r="U428" s="1"/>
      <c r="V428" s="1"/>
      <c r="W428" s="26"/>
      <c r="X428" s="113" t="s">
        <v>374</v>
      </c>
      <c r="Y428" s="113">
        <f t="shared" si="251"/>
        <v>2040</v>
      </c>
      <c r="Z428" s="113">
        <f t="shared" si="252"/>
        <v>0.85</v>
      </c>
      <c r="AA428" s="121" t="str">
        <f t="shared" si="254"/>
        <v/>
      </c>
      <c r="AB428" s="121" t="str">
        <f t="shared" si="255"/>
        <v/>
      </c>
      <c r="AC428" s="107"/>
    </row>
    <row r="429" spans="1:29" ht="46.25" hidden="1" customHeight="1" outlineLevel="3">
      <c r="A429" s="863" t="s">
        <v>136</v>
      </c>
      <c r="B429" s="886" t="s">
        <v>399</v>
      </c>
      <c r="C429" s="333" t="s">
        <v>369</v>
      </c>
      <c r="D429" s="333" t="str">
        <f t="shared" ref="D429" si="302">_xlfn.XLOOKUP(AC429,$AD$355:$AD$377,$D$355:$D$377,"No target",0)</f>
        <v>No target type selected</v>
      </c>
      <c r="E429" s="884" cm="1">
        <f t="array" ref="E429">SUMPRODUCT(('AMI Segmentation'!$M$89:$M$238=TRUE)*($AC429='AMI Segmentation'!$AK$89:$AK$238)*('Climate-Alignment Target'!E$242='AMI Segmentation'!$Q$88:$V$88)*('AMI Segmentation'!$Q$89:$V$238))</f>
        <v>0</v>
      </c>
      <c r="F429" s="5"/>
      <c r="G429" s="5"/>
      <c r="H429" s="5"/>
      <c r="I429" s="5"/>
      <c r="J429" s="5"/>
      <c r="K429" s="557" t="str">
        <f t="shared" si="248"/>
        <v/>
      </c>
      <c r="L429" s="712" t="str">
        <f t="shared" ref="L429" si="303">IF(K429="","",IF(E429=(K429+K430),"OK",IF(D429="Sector target","OK - covered by sector target",IF(AND(E429=0,D429="No target type selected"),"OK","Review financial exposure"))))</f>
        <v/>
      </c>
      <c r="M429" s="562">
        <f t="shared" si="264"/>
        <v>0</v>
      </c>
      <c r="N429" s="915"/>
      <c r="O429" s="563"/>
      <c r="P429" s="562" t="str">
        <f t="shared" si="250"/>
        <v/>
      </c>
      <c r="Q429" s="560" t="str">
        <f t="shared" si="253"/>
        <v/>
      </c>
      <c r="R429" s="16"/>
      <c r="T429" s="124" t="s">
        <v>136</v>
      </c>
      <c r="U429" s="1"/>
      <c r="V429" s="1"/>
      <c r="W429" s="26"/>
      <c r="X429" s="113" t="s">
        <v>378</v>
      </c>
      <c r="Y429" s="113">
        <f t="shared" si="251"/>
        <v>2050</v>
      </c>
      <c r="Z429" s="113">
        <f t="shared" si="252"/>
        <v>0.95</v>
      </c>
      <c r="AA429" s="121" t="str">
        <f t="shared" si="254"/>
        <v/>
      </c>
      <c r="AB429" s="121" t="str">
        <f t="shared" si="255"/>
        <v/>
      </c>
      <c r="AC429" s="107" t="s">
        <v>224</v>
      </c>
    </row>
    <row r="430" spans="1:29" ht="46.25" hidden="1" customHeight="1" outlineLevel="3">
      <c r="A430" s="865"/>
      <c r="B430" s="886"/>
      <c r="C430" s="333" t="s">
        <v>372</v>
      </c>
      <c r="D430" s="333" t="str">
        <f t="shared" ref="D430" si="304">D429</f>
        <v>No target type selected</v>
      </c>
      <c r="E430" s="713"/>
      <c r="F430" s="5"/>
      <c r="G430" s="5"/>
      <c r="H430" s="5"/>
      <c r="I430" s="5"/>
      <c r="J430" s="5"/>
      <c r="K430" s="557" t="str">
        <f t="shared" si="248"/>
        <v/>
      </c>
      <c r="L430" s="713"/>
      <c r="M430" s="562">
        <f t="shared" si="264"/>
        <v>0</v>
      </c>
      <c r="N430" s="915"/>
      <c r="O430" s="563"/>
      <c r="P430" s="562" t="str">
        <f t="shared" si="250"/>
        <v/>
      </c>
      <c r="Q430" s="560" t="str">
        <f t="shared" si="253"/>
        <v/>
      </c>
      <c r="R430" s="16"/>
      <c r="T430" s="124" t="s">
        <v>136</v>
      </c>
      <c r="U430" s="1"/>
      <c r="V430" s="1"/>
      <c r="W430" s="26"/>
      <c r="X430" s="113" t="s">
        <v>379</v>
      </c>
      <c r="Y430" s="113">
        <f t="shared" si="251"/>
        <v>2050</v>
      </c>
      <c r="Z430" s="113">
        <f t="shared" si="252"/>
        <v>0.85</v>
      </c>
      <c r="AA430" s="121" t="str">
        <f t="shared" si="254"/>
        <v/>
      </c>
      <c r="AB430" s="121" t="str">
        <f t="shared" si="255"/>
        <v/>
      </c>
      <c r="AC430" s="107"/>
    </row>
    <row r="431" spans="1:29" ht="46.25" hidden="1" customHeight="1" outlineLevel="3">
      <c r="A431" s="863" t="s">
        <v>121</v>
      </c>
      <c r="B431" s="886" t="s">
        <v>400</v>
      </c>
      <c r="C431" s="333" t="s">
        <v>369</v>
      </c>
      <c r="D431" s="333" t="str">
        <f t="shared" ref="D431" si="305">_xlfn.XLOOKUP(AC431,$AD$355:$AD$377,$D$355:$D$377,"No target",0)</f>
        <v>No target type selected</v>
      </c>
      <c r="E431" s="884" cm="1">
        <f t="array" ref="E431">SUMPRODUCT(('AMI Segmentation'!$M$89:$M$238=TRUE)*($AC431='AMI Segmentation'!$AK$89:$AK$238)*('Climate-Alignment Target'!E$242='AMI Segmentation'!$Q$88:$V$88)*('AMI Segmentation'!$Q$89:$V$238))</f>
        <v>0</v>
      </c>
      <c r="F431" s="5"/>
      <c r="G431" s="5"/>
      <c r="H431" s="5"/>
      <c r="I431" s="5"/>
      <c r="J431" s="5"/>
      <c r="K431" s="557" t="str">
        <f t="shared" si="248"/>
        <v/>
      </c>
      <c r="L431" s="712" t="str">
        <f t="shared" ref="L431" si="306">IF(K431="","",IF(E431=(K431+K432),"OK",IF(D431="Sector target","OK - covered by sector target",IF(AND(E431=0,D431="No target type selected"),"OK","Review financial exposure"))))</f>
        <v/>
      </c>
      <c r="M431" s="562">
        <f t="shared" si="264"/>
        <v>0</v>
      </c>
      <c r="N431" s="915"/>
      <c r="O431" s="563"/>
      <c r="P431" s="562" t="str">
        <f t="shared" si="250"/>
        <v/>
      </c>
      <c r="Q431" s="560" t="str">
        <f t="shared" si="253"/>
        <v/>
      </c>
      <c r="R431" s="16"/>
      <c r="T431" s="124" t="s">
        <v>121</v>
      </c>
      <c r="U431" s="1"/>
      <c r="V431" s="1"/>
      <c r="W431" s="26"/>
      <c r="X431" s="113" t="s">
        <v>373</v>
      </c>
      <c r="Y431" s="113">
        <f t="shared" si="251"/>
        <v>2040</v>
      </c>
      <c r="Z431" s="113">
        <f t="shared" si="252"/>
        <v>0.95</v>
      </c>
      <c r="AA431" s="121" t="str">
        <f t="shared" si="254"/>
        <v/>
      </c>
      <c r="AB431" s="121" t="str">
        <f t="shared" si="255"/>
        <v/>
      </c>
      <c r="AC431" s="107" t="s">
        <v>211</v>
      </c>
    </row>
    <row r="432" spans="1:29" ht="46.25" hidden="1" customHeight="1" outlineLevel="3">
      <c r="A432" s="865"/>
      <c r="B432" s="886"/>
      <c r="C432" s="333" t="s">
        <v>372</v>
      </c>
      <c r="D432" s="333" t="str">
        <f t="shared" ref="D432" si="307">D431</f>
        <v>No target type selected</v>
      </c>
      <c r="E432" s="713"/>
      <c r="F432" s="5"/>
      <c r="G432" s="5"/>
      <c r="H432" s="5"/>
      <c r="I432" s="5"/>
      <c r="J432" s="5"/>
      <c r="K432" s="557" t="str">
        <f t="shared" si="248"/>
        <v/>
      </c>
      <c r="L432" s="713"/>
      <c r="M432" s="562">
        <f t="shared" si="264"/>
        <v>0</v>
      </c>
      <c r="N432" s="915"/>
      <c r="O432" s="563"/>
      <c r="P432" s="562" t="str">
        <f t="shared" si="250"/>
        <v/>
      </c>
      <c r="Q432" s="560" t="str">
        <f t="shared" si="253"/>
        <v/>
      </c>
      <c r="R432" s="16"/>
      <c r="T432" s="124" t="s">
        <v>121</v>
      </c>
      <c r="U432" s="1"/>
      <c r="V432" s="1"/>
      <c r="W432" s="26"/>
      <c r="X432" s="113" t="s">
        <v>374</v>
      </c>
      <c r="Y432" s="113">
        <f t="shared" si="251"/>
        <v>2040</v>
      </c>
      <c r="Z432" s="113">
        <f t="shared" si="252"/>
        <v>0.85</v>
      </c>
      <c r="AA432" s="121" t="str">
        <f t="shared" si="254"/>
        <v/>
      </c>
      <c r="AB432" s="121" t="str">
        <f t="shared" si="255"/>
        <v/>
      </c>
      <c r="AC432" s="107"/>
    </row>
    <row r="433" spans="1:29" ht="46.25" hidden="1" customHeight="1" outlineLevel="3">
      <c r="A433" s="881" t="s">
        <v>136</v>
      </c>
      <c r="B433" s="886" t="s">
        <v>400</v>
      </c>
      <c r="C433" s="333" t="s">
        <v>369</v>
      </c>
      <c r="D433" s="333" t="str">
        <f t="shared" ref="D433" si="308">_xlfn.XLOOKUP(AC433,$AD$355:$AD$377,$D$355:$D$377,"No target",0)</f>
        <v>No target type selected</v>
      </c>
      <c r="E433" s="884" cm="1">
        <f t="array" ref="E433">SUMPRODUCT(('AMI Segmentation'!$M$89:$M$238=TRUE)*($AC433='AMI Segmentation'!$AK$89:$AK$238)*('Climate-Alignment Target'!E$242='AMI Segmentation'!$Q$88:$V$88)*('AMI Segmentation'!$Q$89:$V$238))</f>
        <v>0</v>
      </c>
      <c r="F433" s="5"/>
      <c r="G433" s="5"/>
      <c r="H433" s="5"/>
      <c r="I433" s="5"/>
      <c r="J433" s="5"/>
      <c r="K433" s="557" t="str">
        <f t="shared" si="248"/>
        <v/>
      </c>
      <c r="L433" s="712" t="str">
        <f t="shared" ref="L433" si="309">IF(K433="","",IF(E433=(K433+K434),"OK",IF(D433="Sector target","OK - covered by sector target",IF(AND(E433=0,D433="No target type selected"),"OK","Review financial exposure"))))</f>
        <v/>
      </c>
      <c r="M433" s="562">
        <f t="shared" si="264"/>
        <v>0</v>
      </c>
      <c r="N433" s="915"/>
      <c r="O433" s="563"/>
      <c r="P433" s="562" t="str">
        <f t="shared" si="250"/>
        <v/>
      </c>
      <c r="Q433" s="560" t="str">
        <f t="shared" si="253"/>
        <v/>
      </c>
      <c r="R433" s="16"/>
      <c r="T433" s="124" t="s">
        <v>136</v>
      </c>
      <c r="U433" s="1"/>
      <c r="V433" s="1"/>
      <c r="W433" s="26"/>
      <c r="X433" s="113" t="s">
        <v>378</v>
      </c>
      <c r="Y433" s="113">
        <f t="shared" si="251"/>
        <v>2050</v>
      </c>
      <c r="Z433" s="113">
        <f t="shared" si="252"/>
        <v>0.95</v>
      </c>
      <c r="AA433" s="121" t="str">
        <f t="shared" si="254"/>
        <v/>
      </c>
      <c r="AB433" s="121" t="str">
        <f t="shared" si="255"/>
        <v/>
      </c>
      <c r="AC433" s="107" t="s">
        <v>226</v>
      </c>
    </row>
    <row r="434" spans="1:29" ht="46.25" hidden="1" customHeight="1" outlineLevel="3">
      <c r="A434" s="882"/>
      <c r="B434" s="886"/>
      <c r="C434" s="333" t="s">
        <v>372</v>
      </c>
      <c r="D434" s="333" t="str">
        <f t="shared" ref="D434" si="310">D433</f>
        <v>No target type selected</v>
      </c>
      <c r="E434" s="713"/>
      <c r="F434" s="5"/>
      <c r="G434" s="5"/>
      <c r="H434" s="5"/>
      <c r="I434" s="5"/>
      <c r="J434" s="5"/>
      <c r="K434" s="557" t="str">
        <f t="shared" si="248"/>
        <v/>
      </c>
      <c r="L434" s="713"/>
      <c r="M434" s="562">
        <f t="shared" si="264"/>
        <v>0</v>
      </c>
      <c r="N434" s="915"/>
      <c r="O434" s="563"/>
      <c r="P434" s="562" t="str">
        <f t="shared" si="250"/>
        <v/>
      </c>
      <c r="Q434" s="560" t="str">
        <f t="shared" si="253"/>
        <v/>
      </c>
      <c r="R434" s="16"/>
      <c r="T434" s="124" t="s">
        <v>136</v>
      </c>
      <c r="U434" s="1"/>
      <c r="V434" s="1"/>
      <c r="W434" s="26"/>
      <c r="X434" s="113" t="s">
        <v>379</v>
      </c>
      <c r="Y434" s="113">
        <f t="shared" si="251"/>
        <v>2050</v>
      </c>
      <c r="Z434" s="113">
        <f t="shared" si="252"/>
        <v>0.85</v>
      </c>
      <c r="AA434" s="121" t="str">
        <f t="shared" si="254"/>
        <v/>
      </c>
      <c r="AB434" s="121" t="str">
        <f t="shared" si="255"/>
        <v/>
      </c>
      <c r="AC434" s="108"/>
    </row>
    <row r="435" spans="1:29" ht="46.25" hidden="1" customHeight="1" outlineLevel="3">
      <c r="A435" s="882"/>
      <c r="B435" s="863" t="s">
        <v>416</v>
      </c>
      <c r="C435" s="333" t="s">
        <v>369</v>
      </c>
      <c r="D435" s="333" t="str">
        <f t="shared" ref="D435" si="311">_xlfn.XLOOKUP(AC435,$AD$355:$AD$377,$D$355:$D$377,"No target",0)</f>
        <v>No target type selected</v>
      </c>
      <c r="E435" s="884" cm="1">
        <f t="array" ref="E435">SUMPRODUCT(('AMI Segmentation'!$M$89:$M$238=TRUE)*($AC435='AMI Segmentation'!$AK$89:$AK$238)*('Climate-Alignment Target'!E$242='AMI Segmentation'!$Q$88:$V$88)*('AMI Segmentation'!$Q$89:$V$238))</f>
        <v>0</v>
      </c>
      <c r="F435" s="5"/>
      <c r="G435" s="5"/>
      <c r="H435" s="5"/>
      <c r="I435" s="5"/>
      <c r="J435" s="5"/>
      <c r="K435" s="557" t="str">
        <f t="shared" si="248"/>
        <v/>
      </c>
      <c r="L435" s="712" t="str">
        <f t="shared" ref="L435" si="312">IF(K435="","",IF(E435=(K435+K436),"OK",IF(D435="Sector target","OK - covered by sector target",IF(AND(E435=0,D435="No target type selected"),"OK","Review financial exposure"))))</f>
        <v/>
      </c>
      <c r="M435" s="562">
        <f t="shared" si="264"/>
        <v>0</v>
      </c>
      <c r="N435" s="915"/>
      <c r="O435" s="563"/>
      <c r="P435" s="562" t="str">
        <f t="shared" si="250"/>
        <v/>
      </c>
      <c r="Q435" s="560" t="str">
        <f t="shared" si="253"/>
        <v/>
      </c>
      <c r="R435" s="16"/>
      <c r="T435" s="124" t="s">
        <v>136</v>
      </c>
      <c r="U435" s="1"/>
      <c r="V435" s="1"/>
      <c r="W435" s="26"/>
      <c r="X435" s="113" t="s">
        <v>378</v>
      </c>
      <c r="Y435" s="113">
        <f t="shared" si="251"/>
        <v>2050</v>
      </c>
      <c r="Z435" s="113">
        <f t="shared" si="252"/>
        <v>0.95</v>
      </c>
      <c r="AA435" s="121" t="str">
        <f t="shared" si="254"/>
        <v/>
      </c>
      <c r="AB435" s="121" t="str">
        <f t="shared" si="255"/>
        <v/>
      </c>
      <c r="AC435" s="108" t="s">
        <v>265</v>
      </c>
    </row>
    <row r="436" spans="1:29" ht="46.25" hidden="1" customHeight="1" outlineLevel="3">
      <c r="A436" s="882"/>
      <c r="B436" s="865"/>
      <c r="C436" s="333" t="s">
        <v>372</v>
      </c>
      <c r="D436" s="333" t="str">
        <f t="shared" ref="D436" si="313">D435</f>
        <v>No target type selected</v>
      </c>
      <c r="E436" s="713"/>
      <c r="F436" s="5"/>
      <c r="G436" s="5"/>
      <c r="H436" s="5"/>
      <c r="I436" s="5"/>
      <c r="J436" s="5"/>
      <c r="K436" s="557" t="str">
        <f t="shared" si="248"/>
        <v/>
      </c>
      <c r="L436" s="713"/>
      <c r="M436" s="562">
        <f t="shared" si="264"/>
        <v>0</v>
      </c>
      <c r="N436" s="915"/>
      <c r="O436" s="563"/>
      <c r="P436" s="562" t="str">
        <f t="shared" si="250"/>
        <v/>
      </c>
      <c r="Q436" s="560" t="str">
        <f t="shared" si="253"/>
        <v/>
      </c>
      <c r="R436" s="16"/>
      <c r="T436" s="124" t="s">
        <v>136</v>
      </c>
      <c r="U436" s="1"/>
      <c r="V436" s="1"/>
      <c r="W436" s="26"/>
      <c r="X436" s="113" t="s">
        <v>379</v>
      </c>
      <c r="Y436" s="113">
        <f t="shared" si="251"/>
        <v>2050</v>
      </c>
      <c r="Z436" s="113">
        <f t="shared" si="252"/>
        <v>0.85</v>
      </c>
      <c r="AA436" s="121" t="str">
        <f t="shared" si="254"/>
        <v/>
      </c>
      <c r="AB436" s="121" t="str">
        <f t="shared" si="255"/>
        <v/>
      </c>
      <c r="AC436" s="108"/>
    </row>
    <row r="437" spans="1:29" ht="46.25" hidden="1" customHeight="1" outlineLevel="3">
      <c r="A437" s="882"/>
      <c r="B437" s="863" t="s">
        <v>69</v>
      </c>
      <c r="C437" s="333" t="s">
        <v>369</v>
      </c>
      <c r="D437" s="333" t="str">
        <f t="shared" ref="D437:D439" si="314">_xlfn.XLOOKUP(AC437,$AD$355:$AD$377,$D$355:$D$377,"No target",0)</f>
        <v>No target type selected</v>
      </c>
      <c r="E437" s="884" cm="1">
        <f t="array" ref="E437">SUMPRODUCT(('AMI Segmentation'!$M$89:$M$238=TRUE)*($AC437='AMI Segmentation'!$AK$89:$AK$238)*('Climate-Alignment Target'!E$242='AMI Segmentation'!$Q$88:$V$88)*('AMI Segmentation'!$Q$89:$V$238))</f>
        <v>0</v>
      </c>
      <c r="F437" s="5"/>
      <c r="G437" s="5"/>
      <c r="H437" s="5"/>
      <c r="I437" s="5"/>
      <c r="J437" s="5"/>
      <c r="K437" s="557" t="str">
        <f t="shared" si="248"/>
        <v/>
      </c>
      <c r="L437" s="712" t="str">
        <f t="shared" ref="L437:L439" si="315">IF(K437="","",IF(E437=(K437+K438),"OK",IF(D437="Sector target","OK - covered by sector target",IF(AND(E437=0,D437="No target type selected"),"OK","Review financial exposure"))))</f>
        <v/>
      </c>
      <c r="M437" s="562">
        <f t="shared" si="264"/>
        <v>0</v>
      </c>
      <c r="N437" s="915"/>
      <c r="O437" s="563"/>
      <c r="P437" s="562" t="str">
        <f t="shared" si="250"/>
        <v/>
      </c>
      <c r="Q437" s="560" t="str">
        <f t="shared" si="253"/>
        <v/>
      </c>
      <c r="R437" s="16"/>
      <c r="T437" s="124" t="s">
        <v>136</v>
      </c>
      <c r="U437" s="1"/>
      <c r="V437" s="1"/>
      <c r="W437" s="26"/>
      <c r="X437" s="113" t="s">
        <v>378</v>
      </c>
      <c r="Y437" s="113">
        <f t="shared" si="251"/>
        <v>2050</v>
      </c>
      <c r="Z437" s="113">
        <f t="shared" si="252"/>
        <v>0.95</v>
      </c>
      <c r="AA437" s="121" t="str">
        <f t="shared" si="254"/>
        <v/>
      </c>
      <c r="AB437" s="121" t="str">
        <f t="shared" si="255"/>
        <v/>
      </c>
      <c r="AC437" s="108" t="s">
        <v>228</v>
      </c>
    </row>
    <row r="438" spans="1:29" ht="46.25" hidden="1" customHeight="1" outlineLevel="3">
      <c r="A438" s="882"/>
      <c r="B438" s="865"/>
      <c r="C438" s="333" t="s">
        <v>372</v>
      </c>
      <c r="D438" s="333" t="str">
        <f t="shared" ref="D438:D440" si="316">D437</f>
        <v>No target type selected</v>
      </c>
      <c r="E438" s="713"/>
      <c r="F438" s="5"/>
      <c r="G438" s="5"/>
      <c r="H438" s="5"/>
      <c r="I438" s="5"/>
      <c r="J438" s="5"/>
      <c r="K438" s="557" t="str">
        <f t="shared" si="248"/>
        <v/>
      </c>
      <c r="L438" s="713"/>
      <c r="M438" s="562">
        <f t="shared" si="264"/>
        <v>0</v>
      </c>
      <c r="N438" s="915"/>
      <c r="O438" s="563"/>
      <c r="P438" s="562" t="str">
        <f t="shared" si="250"/>
        <v/>
      </c>
      <c r="Q438" s="560" t="str">
        <f t="shared" si="253"/>
        <v/>
      </c>
      <c r="R438" s="16"/>
      <c r="T438" s="124" t="s">
        <v>136</v>
      </c>
      <c r="W438" s="65"/>
      <c r="X438" s="113" t="s">
        <v>379</v>
      </c>
      <c r="Y438" s="113">
        <f t="shared" si="251"/>
        <v>2050</v>
      </c>
      <c r="Z438" s="113">
        <f t="shared" si="252"/>
        <v>0.85</v>
      </c>
      <c r="AA438" s="121" t="str">
        <f t="shared" si="254"/>
        <v/>
      </c>
      <c r="AB438" s="121" t="str">
        <f t="shared" si="255"/>
        <v/>
      </c>
      <c r="AC438" s="107"/>
    </row>
    <row r="439" spans="1:29" ht="46.25" hidden="1" customHeight="1" outlineLevel="3">
      <c r="A439" s="882"/>
      <c r="B439" s="863" t="s">
        <v>135</v>
      </c>
      <c r="C439" s="333" t="s">
        <v>369</v>
      </c>
      <c r="D439" s="333" t="str">
        <f t="shared" si="314"/>
        <v>No target type selected</v>
      </c>
      <c r="E439" s="884" cm="1">
        <f t="array" ref="E439">SUMPRODUCT(('AMI Segmentation'!$M$89:$M$238=TRUE)*($AC439='AMI Segmentation'!$AK$89:$AK$238)*('Climate-Alignment Target'!E$242='AMI Segmentation'!$Q$88:$V$88)*('AMI Segmentation'!$Q$89:$V$238))</f>
        <v>0</v>
      </c>
      <c r="F439" s="5"/>
      <c r="G439" s="5"/>
      <c r="H439" s="5"/>
      <c r="I439" s="5"/>
      <c r="J439" s="5"/>
      <c r="K439" s="557" t="str">
        <f t="shared" ref="K439:K440" si="317">IF(D439&lt;&gt;"Climate-alignment target","",SUM(F439:J439))</f>
        <v/>
      </c>
      <c r="L439" s="712" t="str">
        <f t="shared" si="315"/>
        <v/>
      </c>
      <c r="M439" s="562">
        <f t="shared" si="264"/>
        <v>0</v>
      </c>
      <c r="N439" s="915"/>
      <c r="O439" s="563"/>
      <c r="P439" s="562" t="str">
        <f t="shared" si="250"/>
        <v/>
      </c>
      <c r="Q439" s="560" t="str">
        <f t="shared" ref="Q439:Q440" si="318">IF(O439="","",IF(O439-P439&gt;=0,"OK","Minimum ambition not met, please increase ambition"))</f>
        <v/>
      </c>
      <c r="R439" s="16"/>
      <c r="T439" s="124" t="s">
        <v>136</v>
      </c>
      <c r="W439" s="26"/>
      <c r="X439" s="113" t="s">
        <v>378</v>
      </c>
      <c r="Y439" s="113">
        <f t="shared" ref="Y439:Y440" si="319">_xlfn.XLOOKUP($X439,$AB$17:$AB$24,AE$17:AE$24,0,0)</f>
        <v>2050</v>
      </c>
      <c r="Z439" s="113">
        <f t="shared" ref="Z439:Z440" si="320">_xlfn.XLOOKUP($X439,$AB$17:$AB$24,AF$17:AF$24,0,0)</f>
        <v>0.95</v>
      </c>
      <c r="AA439" s="121" t="str">
        <f t="shared" ref="AA439:AA440" si="321">IF($D439&lt;&gt;"Climate-alignment target","",O439*K439)</f>
        <v/>
      </c>
      <c r="AB439" s="121" t="str">
        <f t="shared" ref="AB439:AB440" si="322">IF($D439&lt;&gt;"Climate-alignment target","",K439)</f>
        <v/>
      </c>
      <c r="AC439" s="107" t="s">
        <v>214</v>
      </c>
    </row>
    <row r="440" spans="1:29" ht="46.25" hidden="1" customHeight="1" outlineLevel="3">
      <c r="A440" s="883"/>
      <c r="B440" s="865"/>
      <c r="C440" s="333" t="s">
        <v>372</v>
      </c>
      <c r="D440" s="333" t="str">
        <f t="shared" si="316"/>
        <v>No target type selected</v>
      </c>
      <c r="E440" s="713"/>
      <c r="F440" s="5"/>
      <c r="G440" s="5"/>
      <c r="H440" s="5"/>
      <c r="I440" s="5"/>
      <c r="J440" s="5"/>
      <c r="K440" s="557" t="str">
        <f t="shared" si="317"/>
        <v/>
      </c>
      <c r="L440" s="713"/>
      <c r="M440" s="562">
        <f t="shared" si="264"/>
        <v>0</v>
      </c>
      <c r="N440" s="915"/>
      <c r="O440" s="563"/>
      <c r="P440" s="562" t="str">
        <f t="shared" si="250"/>
        <v/>
      </c>
      <c r="Q440" s="560" t="str">
        <f t="shared" si="318"/>
        <v/>
      </c>
      <c r="R440" s="16"/>
      <c r="T440" s="124" t="s">
        <v>136</v>
      </c>
      <c r="W440" s="65"/>
      <c r="X440" s="113" t="s">
        <v>379</v>
      </c>
      <c r="Y440" s="113">
        <f t="shared" si="319"/>
        <v>2050</v>
      </c>
      <c r="Z440" s="113">
        <f t="shared" si="320"/>
        <v>0.85</v>
      </c>
      <c r="AA440" s="121" t="str">
        <f t="shared" si="321"/>
        <v/>
      </c>
      <c r="AB440" s="121" t="str">
        <f t="shared" si="322"/>
        <v/>
      </c>
      <c r="AC440" s="107"/>
    </row>
    <row r="441" spans="1:29" ht="46.25" hidden="1" customHeight="1" outlineLevel="3">
      <c r="A441" s="881" t="s">
        <v>130</v>
      </c>
      <c r="B441" s="910"/>
      <c r="C441" s="333" t="s">
        <v>369</v>
      </c>
      <c r="D441" s="333" t="str">
        <f t="shared" ref="D441" si="323">_xlfn.XLOOKUP(AC441,$AD$355:$AD$377,$D$355:$D$377,"No target",0)</f>
        <v>No target type selected</v>
      </c>
      <c r="E441" s="884" cm="1">
        <f t="array" ref="E441">SUMPRODUCT(('AMI Segmentation'!$M$89:$M$238=TRUE)*($AC441='AMI Segmentation'!$AK$89:$AK$238)*('Climate-Alignment Target'!E$242='AMI Segmentation'!$Q$88:$V$88)*('AMI Segmentation'!$Q$89:$V$238))</f>
        <v>0</v>
      </c>
      <c r="F441" s="5"/>
      <c r="G441" s="5"/>
      <c r="H441" s="5"/>
      <c r="I441" s="5"/>
      <c r="J441" s="5"/>
      <c r="K441" s="557" t="str">
        <f t="shared" si="248"/>
        <v/>
      </c>
      <c r="L441" s="712" t="str">
        <f t="shared" ref="L441" si="324">IF(K441="","",IF(E441=(K441+K442),"OK",IF(D441="Sector target","OK - covered by sector target",IF(AND(E441=0,D441="No target type selected"),"OK","Review financial exposure"))))</f>
        <v/>
      </c>
      <c r="M441" s="562">
        <f t="shared" si="264"/>
        <v>0</v>
      </c>
      <c r="N441" s="915"/>
      <c r="O441" s="563"/>
      <c r="P441" s="562" t="str">
        <f t="shared" si="250"/>
        <v/>
      </c>
      <c r="Q441" s="560" t="str">
        <f t="shared" si="253"/>
        <v/>
      </c>
      <c r="R441" s="16"/>
      <c r="T441" s="124" t="s">
        <v>130</v>
      </c>
      <c r="W441" s="65"/>
      <c r="X441" s="113" t="s">
        <v>376</v>
      </c>
      <c r="Y441" s="113">
        <f t="shared" si="251"/>
        <v>2040</v>
      </c>
      <c r="Z441" s="113">
        <f t="shared" si="252"/>
        <v>0.95</v>
      </c>
      <c r="AA441" s="121" t="str">
        <f t="shared" si="254"/>
        <v/>
      </c>
      <c r="AB441" s="121" t="str">
        <f t="shared" si="255"/>
        <v/>
      </c>
      <c r="AC441" s="107" t="s">
        <v>213</v>
      </c>
    </row>
    <row r="442" spans="1:29" ht="46.25" hidden="1" customHeight="1" outlineLevel="3">
      <c r="A442" s="883"/>
      <c r="B442" s="911"/>
      <c r="C442" s="333" t="s">
        <v>372</v>
      </c>
      <c r="D442" s="333" t="str">
        <f t="shared" ref="D442" si="325">D441</f>
        <v>No target type selected</v>
      </c>
      <c r="E442" s="713"/>
      <c r="F442" s="5"/>
      <c r="G442" s="5"/>
      <c r="H442" s="5"/>
      <c r="I442" s="5"/>
      <c r="J442" s="5"/>
      <c r="K442" s="557" t="str">
        <f t="shared" si="248"/>
        <v/>
      </c>
      <c r="L442" s="713"/>
      <c r="M442" s="562">
        <f t="shared" si="264"/>
        <v>0</v>
      </c>
      <c r="N442" s="915"/>
      <c r="O442" s="563"/>
      <c r="P442" s="562" t="str">
        <f t="shared" si="250"/>
        <v/>
      </c>
      <c r="Q442" s="560" t="str">
        <f t="shared" si="253"/>
        <v/>
      </c>
      <c r="R442" s="16"/>
      <c r="T442" s="124" t="s">
        <v>130</v>
      </c>
      <c r="W442" s="65"/>
      <c r="X442" s="113" t="s">
        <v>377</v>
      </c>
      <c r="Y442" s="113">
        <f t="shared" si="251"/>
        <v>2040</v>
      </c>
      <c r="Z442" s="113">
        <f t="shared" si="252"/>
        <v>0.85</v>
      </c>
      <c r="AA442" s="121" t="str">
        <f t="shared" si="254"/>
        <v/>
      </c>
      <c r="AB442" s="121" t="str">
        <f t="shared" si="255"/>
        <v/>
      </c>
    </row>
    <row r="443" spans="1:29" ht="15.75" hidden="1" customHeight="1" outlineLevel="3">
      <c r="B443" s="1"/>
      <c r="C443" s="1"/>
      <c r="D443" s="1"/>
      <c r="E443" s="1"/>
    </row>
    <row r="444" spans="1:29" ht="15.75" hidden="1" customHeight="1" outlineLevel="3">
      <c r="A444" s="858" t="s">
        <v>407</v>
      </c>
      <c r="B444" s="858"/>
      <c r="C444" s="858"/>
      <c r="D444" s="858"/>
      <c r="E444" s="858"/>
      <c r="F444" s="858"/>
      <c r="G444" s="858"/>
      <c r="H444" s="858"/>
      <c r="I444" s="858"/>
      <c r="J444" s="858"/>
      <c r="K444" s="858"/>
      <c r="L444" s="858"/>
      <c r="M444" s="858"/>
      <c r="N444" s="858"/>
      <c r="O444" s="858"/>
      <c r="P444" s="858"/>
      <c r="Q444" s="858"/>
      <c r="R444" s="858"/>
      <c r="S444" s="858"/>
      <c r="T444" s="858"/>
      <c r="U444" s="69"/>
    </row>
    <row r="445" spans="1:29" ht="15.75" hidden="1" customHeight="1" outlineLevel="3">
      <c r="B445" s="1"/>
      <c r="C445" s="1"/>
      <c r="D445" s="1"/>
      <c r="E445" s="1"/>
    </row>
    <row r="446" spans="1:29" ht="30" hidden="1" customHeight="1" outlineLevel="3">
      <c r="A446" s="885" t="s">
        <v>99</v>
      </c>
      <c r="B446" s="885"/>
      <c r="C446" s="912" t="s">
        <v>364</v>
      </c>
      <c r="D446" s="798" t="s">
        <v>403</v>
      </c>
      <c r="E446" s="885" t="s">
        <v>365</v>
      </c>
      <c r="F446" s="885"/>
      <c r="G446" s="885"/>
      <c r="H446" s="885"/>
      <c r="I446" s="885"/>
      <c r="J446" s="885"/>
      <c r="K446" s="885"/>
      <c r="L446" s="885"/>
      <c r="M446" s="798" t="s">
        <v>809</v>
      </c>
      <c r="N446" s="834" t="s">
        <v>366</v>
      </c>
      <c r="O446" s="868"/>
      <c r="P446" s="868"/>
      <c r="Q446" s="835"/>
      <c r="R446" s="834" t="s">
        <v>367</v>
      </c>
      <c r="S446" s="868"/>
      <c r="T446" s="868"/>
      <c r="U446" s="835"/>
      <c r="W446" s="1"/>
      <c r="X446" s="121"/>
    </row>
    <row r="447" spans="1:29" ht="68" hidden="1" outlineLevel="3">
      <c r="A447" s="885"/>
      <c r="B447" s="885"/>
      <c r="C447" s="912"/>
      <c r="D447" s="798"/>
      <c r="E447" s="36" t="s">
        <v>106</v>
      </c>
      <c r="F447" s="554" t="s">
        <v>101</v>
      </c>
      <c r="G447" s="554" t="s">
        <v>102</v>
      </c>
      <c r="H447" s="558" t="s">
        <v>103</v>
      </c>
      <c r="I447" s="558" t="s">
        <v>104</v>
      </c>
      <c r="J447" s="554" t="s">
        <v>105</v>
      </c>
      <c r="K447" s="798" t="s">
        <v>807</v>
      </c>
      <c r="L447" s="798" t="s">
        <v>808</v>
      </c>
      <c r="M447" s="798"/>
      <c r="N447" s="885" t="s">
        <v>822</v>
      </c>
      <c r="O447" s="885" t="s">
        <v>826</v>
      </c>
      <c r="P447" s="913" t="s">
        <v>816</v>
      </c>
      <c r="Q447" s="914"/>
      <c r="R447" s="885" t="s">
        <v>810</v>
      </c>
      <c r="S447" s="885" t="s">
        <v>811</v>
      </c>
      <c r="T447" s="885" t="s">
        <v>812</v>
      </c>
      <c r="U447" s="798" t="s">
        <v>813</v>
      </c>
      <c r="W447" s="1"/>
    </row>
    <row r="448" spans="1:29" ht="31.25" hidden="1" customHeight="1" outlineLevel="3">
      <c r="A448" s="885"/>
      <c r="B448" s="885"/>
      <c r="C448" s="912"/>
      <c r="D448" s="798"/>
      <c r="E448" s="987" t="s">
        <v>819</v>
      </c>
      <c r="F448" s="988"/>
      <c r="G448" s="988"/>
      <c r="H448" s="988"/>
      <c r="I448" s="988"/>
      <c r="J448" s="989"/>
      <c r="K448" s="798"/>
      <c r="L448" s="798"/>
      <c r="M448" s="798"/>
      <c r="N448" s="885"/>
      <c r="O448" s="885"/>
      <c r="P448" s="38" t="s">
        <v>369</v>
      </c>
      <c r="Q448" s="559" t="s">
        <v>372</v>
      </c>
      <c r="R448" s="885"/>
      <c r="S448" s="885"/>
      <c r="T448" s="885"/>
      <c r="U448" s="798"/>
      <c r="W448" s="1"/>
    </row>
    <row r="449" spans="1:36" ht="32" hidden="1" customHeight="1" outlineLevel="3">
      <c r="A449" s="899" t="s">
        <v>113</v>
      </c>
      <c r="B449" s="900"/>
      <c r="C449" s="333" t="s">
        <v>369</v>
      </c>
      <c r="D449" s="901" t="s">
        <v>408</v>
      </c>
      <c r="E449" s="557" t="str">
        <f t="shared" ref="E449:E456" si="326">IF(SUMIFS(K$397:K$442,$T$397:$T$442,$A449,$C$397:$C$442,$C449)=0,"",SUMIFS(K$397:K$442,$T$397:$T$442,$A449,$C$397:$C$442,$C449))</f>
        <v/>
      </c>
      <c r="F449" s="557" t="str">
        <f t="shared" ref="F449:J456" si="327">IF($E449="","",SUMIFS(F$397:F$442,$T$397:$T$442,$A449,$C$397:$C$442,$C449))</f>
        <v/>
      </c>
      <c r="G449" s="557" t="str">
        <f t="shared" si="327"/>
        <v/>
      </c>
      <c r="H449" s="557" t="str">
        <f t="shared" si="327"/>
        <v/>
      </c>
      <c r="I449" s="557" t="str">
        <f t="shared" si="327"/>
        <v/>
      </c>
      <c r="J449" s="557" t="str">
        <f t="shared" si="327"/>
        <v/>
      </c>
      <c r="K449" s="557" t="str">
        <f>IF(E449="","",SUM(F449:J449))</f>
        <v/>
      </c>
      <c r="L449" s="557" t="str">
        <f t="shared" ref="L449:L456" si="328">IF(K449="","",IF(E449-K449=0,"OK","Review financial exposure"))</f>
        <v/>
      </c>
      <c r="M449" s="562" t="str">
        <f t="shared" ref="M449:M456" si="329">IF(SUM(F449:J449)=0,"",(H449+I449+J449)/(SUM(F449:J449)))</f>
        <v/>
      </c>
      <c r="N449" s="902">
        <f>N397</f>
        <v>0</v>
      </c>
      <c r="O449" s="562" t="str">
        <f t="shared" ref="O449:O456" si="330">IFERROR(SUMIFS($AA$397:$AA$442,$T$397:$T$442,$A449,$C$397:$C$442,$C449,$D$397:$D$442,"Climate-alignment target")/SUMIFS($AB$397:$AB$442,$T$397:$T$442,$A449,$C$397:$C$442,$C449,$D$397:$D$442,"Climate-alignment target"),"")</f>
        <v/>
      </c>
      <c r="P449" s="905" t="str">
        <f>IFERROR(IF($N449="","",SUMPRODUCT(K449:K452,O449:O452)/SUM(K449:K452)),"")</f>
        <v/>
      </c>
      <c r="Q449" s="973" t="str">
        <f>IFERROR(IF($N449="","",SUMPRODUCT(K453:K456,O453:O456)/SUM(K453:K456)),"")</f>
        <v/>
      </c>
      <c r="R449" s="908"/>
      <c r="S449" s="909"/>
      <c r="T449" s="897" t="str">
        <f>IF(R449="","",95%)</f>
        <v/>
      </c>
      <c r="U449" s="898" t="str">
        <f>IF(S449="","",IF(S449-T449&gt;=0,"OK","Minimum ambition not met, please increase ambition"))</f>
        <v/>
      </c>
      <c r="W449" s="1"/>
      <c r="Y449" s="107"/>
      <c r="AI449" s="120" t="s">
        <v>426</v>
      </c>
      <c r="AJ449" s="120" t="s">
        <v>427</v>
      </c>
    </row>
    <row r="450" spans="1:36" ht="32" hidden="1" customHeight="1" outlineLevel="3">
      <c r="A450" s="899" t="s">
        <v>121</v>
      </c>
      <c r="B450" s="900"/>
      <c r="C450" s="333" t="s">
        <v>369</v>
      </c>
      <c r="D450" s="901"/>
      <c r="E450" s="557" t="str">
        <f t="shared" si="326"/>
        <v/>
      </c>
      <c r="F450" s="557" t="str">
        <f t="shared" si="327"/>
        <v/>
      </c>
      <c r="G450" s="557" t="str">
        <f t="shared" si="327"/>
        <v/>
      </c>
      <c r="H450" s="557" t="str">
        <f t="shared" si="327"/>
        <v/>
      </c>
      <c r="I450" s="557" t="str">
        <f t="shared" si="327"/>
        <v/>
      </c>
      <c r="J450" s="557" t="str">
        <f t="shared" si="327"/>
        <v/>
      </c>
      <c r="K450" s="557" t="str">
        <f t="shared" ref="K450:K456" si="331">IF(E450="","",SUM(F450:J450))</f>
        <v/>
      </c>
      <c r="L450" s="557" t="str">
        <f t="shared" si="328"/>
        <v/>
      </c>
      <c r="M450" s="562" t="str">
        <f t="shared" si="329"/>
        <v/>
      </c>
      <c r="N450" s="903"/>
      <c r="O450" s="562" t="str">
        <f t="shared" si="330"/>
        <v/>
      </c>
      <c r="P450" s="906"/>
      <c r="Q450" s="974"/>
      <c r="R450" s="908"/>
      <c r="S450" s="909"/>
      <c r="T450" s="897"/>
      <c r="U450" s="898"/>
      <c r="W450" s="1"/>
      <c r="Y450" s="107"/>
    </row>
    <row r="451" spans="1:36" ht="32" hidden="1" customHeight="1" outlineLevel="3">
      <c r="A451" s="899" t="s">
        <v>130</v>
      </c>
      <c r="B451" s="900"/>
      <c r="C451" s="333" t="s">
        <v>369</v>
      </c>
      <c r="D451" s="901"/>
      <c r="E451" s="557" t="str">
        <f t="shared" si="326"/>
        <v/>
      </c>
      <c r="F451" s="557" t="str">
        <f t="shared" si="327"/>
        <v/>
      </c>
      <c r="G451" s="557" t="str">
        <f t="shared" si="327"/>
        <v/>
      </c>
      <c r="H451" s="557" t="str">
        <f t="shared" si="327"/>
        <v/>
      </c>
      <c r="I451" s="557" t="str">
        <f t="shared" si="327"/>
        <v/>
      </c>
      <c r="J451" s="557" t="str">
        <f t="shared" si="327"/>
        <v/>
      </c>
      <c r="K451" s="557" t="str">
        <f t="shared" si="331"/>
        <v/>
      </c>
      <c r="L451" s="557" t="str">
        <f t="shared" si="328"/>
        <v/>
      </c>
      <c r="M451" s="562" t="str">
        <f t="shared" si="329"/>
        <v/>
      </c>
      <c r="N451" s="903"/>
      <c r="O451" s="562" t="str">
        <f t="shared" si="330"/>
        <v/>
      </c>
      <c r="P451" s="906"/>
      <c r="Q451" s="974"/>
      <c r="R451" s="908"/>
      <c r="S451" s="909"/>
      <c r="T451" s="897"/>
      <c r="U451" s="898"/>
      <c r="W451" s="1"/>
      <c r="X451" s="107"/>
      <c r="Y451" s="108"/>
    </row>
    <row r="452" spans="1:36" ht="32" hidden="1" customHeight="1" outlineLevel="3">
      <c r="A452" s="899" t="s">
        <v>136</v>
      </c>
      <c r="B452" s="900"/>
      <c r="C452" s="333" t="s">
        <v>369</v>
      </c>
      <c r="D452" s="901"/>
      <c r="E452" s="557" t="str">
        <f t="shared" si="326"/>
        <v/>
      </c>
      <c r="F452" s="557" t="str">
        <f t="shared" si="327"/>
        <v/>
      </c>
      <c r="G452" s="557" t="str">
        <f t="shared" si="327"/>
        <v/>
      </c>
      <c r="H452" s="557" t="str">
        <f t="shared" si="327"/>
        <v/>
      </c>
      <c r="I452" s="557" t="str">
        <f t="shared" si="327"/>
        <v/>
      </c>
      <c r="J452" s="557" t="str">
        <f t="shared" si="327"/>
        <v/>
      </c>
      <c r="K452" s="557" t="str">
        <f t="shared" si="331"/>
        <v/>
      </c>
      <c r="L452" s="557" t="str">
        <f t="shared" si="328"/>
        <v/>
      </c>
      <c r="M452" s="562" t="str">
        <f t="shared" si="329"/>
        <v/>
      </c>
      <c r="N452" s="903"/>
      <c r="O452" s="562" t="str">
        <f t="shared" si="330"/>
        <v/>
      </c>
      <c r="P452" s="906"/>
      <c r="Q452" s="974"/>
      <c r="R452" s="908"/>
      <c r="S452" s="909"/>
      <c r="T452" s="897"/>
      <c r="U452" s="898"/>
      <c r="W452" s="1"/>
      <c r="X452" s="107"/>
      <c r="Y452" s="107"/>
    </row>
    <row r="453" spans="1:36" ht="32" hidden="1" customHeight="1" outlineLevel="3">
      <c r="A453" s="899" t="s">
        <v>113</v>
      </c>
      <c r="B453" s="900"/>
      <c r="C453" s="333" t="s">
        <v>372</v>
      </c>
      <c r="D453" s="901"/>
      <c r="E453" s="557" t="str">
        <f t="shared" si="326"/>
        <v/>
      </c>
      <c r="F453" s="557" t="str">
        <f t="shared" si="327"/>
        <v/>
      </c>
      <c r="G453" s="557" t="str">
        <f t="shared" si="327"/>
        <v/>
      </c>
      <c r="H453" s="557" t="str">
        <f t="shared" si="327"/>
        <v/>
      </c>
      <c r="I453" s="557" t="str">
        <f t="shared" si="327"/>
        <v/>
      </c>
      <c r="J453" s="557" t="str">
        <f t="shared" si="327"/>
        <v/>
      </c>
      <c r="K453" s="557" t="str">
        <f t="shared" si="331"/>
        <v/>
      </c>
      <c r="L453" s="557" t="str">
        <f t="shared" si="328"/>
        <v/>
      </c>
      <c r="M453" s="562" t="str">
        <f t="shared" si="329"/>
        <v/>
      </c>
      <c r="N453" s="903"/>
      <c r="O453" s="562" t="str">
        <f t="shared" si="330"/>
        <v/>
      </c>
      <c r="P453" s="906"/>
      <c r="Q453" s="974"/>
      <c r="R453" s="908"/>
      <c r="S453" s="909"/>
      <c r="T453" s="897"/>
      <c r="U453" s="898"/>
    </row>
    <row r="454" spans="1:36" ht="32" hidden="1" customHeight="1" outlineLevel="3">
      <c r="A454" s="899" t="s">
        <v>121</v>
      </c>
      <c r="B454" s="900"/>
      <c r="C454" s="333" t="s">
        <v>372</v>
      </c>
      <c r="D454" s="901"/>
      <c r="E454" s="557" t="str">
        <f t="shared" si="326"/>
        <v/>
      </c>
      <c r="F454" s="557" t="str">
        <f t="shared" si="327"/>
        <v/>
      </c>
      <c r="G454" s="557" t="str">
        <f t="shared" si="327"/>
        <v/>
      </c>
      <c r="H454" s="557" t="str">
        <f t="shared" si="327"/>
        <v/>
      </c>
      <c r="I454" s="557" t="str">
        <f t="shared" si="327"/>
        <v/>
      </c>
      <c r="J454" s="557" t="str">
        <f t="shared" si="327"/>
        <v/>
      </c>
      <c r="K454" s="557" t="str">
        <f t="shared" si="331"/>
        <v/>
      </c>
      <c r="L454" s="557" t="str">
        <f t="shared" si="328"/>
        <v/>
      </c>
      <c r="M454" s="562" t="str">
        <f t="shared" si="329"/>
        <v/>
      </c>
      <c r="N454" s="903"/>
      <c r="O454" s="562" t="str">
        <f t="shared" si="330"/>
        <v/>
      </c>
      <c r="P454" s="906"/>
      <c r="Q454" s="974"/>
      <c r="R454" s="908"/>
      <c r="S454" s="909"/>
      <c r="T454" s="897"/>
      <c r="U454" s="898"/>
    </row>
    <row r="455" spans="1:36" ht="32" hidden="1" customHeight="1" outlineLevel="3">
      <c r="A455" s="899" t="s">
        <v>130</v>
      </c>
      <c r="B455" s="900"/>
      <c r="C455" s="333" t="s">
        <v>372</v>
      </c>
      <c r="D455" s="901"/>
      <c r="E455" s="557" t="str">
        <f t="shared" si="326"/>
        <v/>
      </c>
      <c r="F455" s="557" t="str">
        <f t="shared" si="327"/>
        <v/>
      </c>
      <c r="G455" s="557" t="str">
        <f t="shared" si="327"/>
        <v/>
      </c>
      <c r="H455" s="557" t="str">
        <f t="shared" si="327"/>
        <v/>
      </c>
      <c r="I455" s="557" t="str">
        <f t="shared" si="327"/>
        <v/>
      </c>
      <c r="J455" s="557" t="str">
        <f t="shared" si="327"/>
        <v/>
      </c>
      <c r="K455" s="557" t="str">
        <f t="shared" si="331"/>
        <v/>
      </c>
      <c r="L455" s="557" t="str">
        <f t="shared" si="328"/>
        <v/>
      </c>
      <c r="M455" s="562" t="str">
        <f t="shared" si="329"/>
        <v/>
      </c>
      <c r="N455" s="903"/>
      <c r="O455" s="562" t="str">
        <f t="shared" si="330"/>
        <v/>
      </c>
      <c r="P455" s="906"/>
      <c r="Q455" s="974"/>
      <c r="R455" s="908"/>
      <c r="S455" s="909"/>
      <c r="T455" s="897"/>
      <c r="U455" s="898"/>
    </row>
    <row r="456" spans="1:36" ht="32" hidden="1" customHeight="1" outlineLevel="3">
      <c r="A456" s="899" t="s">
        <v>136</v>
      </c>
      <c r="B456" s="900"/>
      <c r="C456" s="333" t="s">
        <v>372</v>
      </c>
      <c r="D456" s="901"/>
      <c r="E456" s="557" t="str">
        <f t="shared" si="326"/>
        <v/>
      </c>
      <c r="F456" s="557" t="str">
        <f t="shared" si="327"/>
        <v/>
      </c>
      <c r="G456" s="557" t="str">
        <f t="shared" si="327"/>
        <v/>
      </c>
      <c r="H456" s="557" t="str">
        <f t="shared" si="327"/>
        <v/>
      </c>
      <c r="I456" s="557" t="str">
        <f t="shared" si="327"/>
        <v/>
      </c>
      <c r="J456" s="557" t="str">
        <f t="shared" si="327"/>
        <v/>
      </c>
      <c r="K456" s="557" t="str">
        <f t="shared" si="331"/>
        <v/>
      </c>
      <c r="L456" s="557" t="str">
        <f t="shared" si="328"/>
        <v/>
      </c>
      <c r="M456" s="562" t="str">
        <f t="shared" si="329"/>
        <v/>
      </c>
      <c r="N456" s="904"/>
      <c r="O456" s="562" t="str">
        <f t="shared" si="330"/>
        <v/>
      </c>
      <c r="P456" s="907"/>
      <c r="Q456" s="975"/>
      <c r="R456" s="908"/>
      <c r="S456" s="909"/>
      <c r="T456" s="897"/>
      <c r="U456" s="898"/>
    </row>
    <row r="457" spans="1:36" ht="15" customHeight="1"/>
    <row r="458" spans="1:36" ht="15" customHeight="1"/>
    <row r="459" spans="1:36" ht="15" customHeight="1"/>
    <row r="460" spans="1:36" ht="15" customHeight="1"/>
    <row r="461" spans="1:36" ht="22.25" customHeight="1" collapsed="1">
      <c r="A461" s="862" t="s">
        <v>428</v>
      </c>
      <c r="B461" s="862"/>
      <c r="C461" s="862"/>
      <c r="D461" s="862"/>
      <c r="E461" s="862"/>
      <c r="F461" s="862"/>
      <c r="G461" s="862"/>
      <c r="H461" s="862"/>
      <c r="I461" s="862"/>
      <c r="J461" s="862"/>
      <c r="K461" s="862"/>
      <c r="L461" s="862"/>
      <c r="M461" s="862"/>
      <c r="N461" s="862"/>
      <c r="O461" s="862"/>
      <c r="P461" s="862"/>
      <c r="Q461" s="862"/>
      <c r="R461" s="862"/>
      <c r="S461" s="862"/>
      <c r="T461" s="862"/>
      <c r="U461" s="862"/>
      <c r="V461" s="862"/>
      <c r="W461" s="71"/>
      <c r="X461" s="112"/>
      <c r="Y461" s="112"/>
      <c r="Z461" s="112"/>
      <c r="AA461" s="112"/>
    </row>
    <row r="462" spans="1:36" ht="14.25" hidden="1" customHeight="1" outlineLevel="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14"/>
      <c r="Y462" s="114"/>
      <c r="Z462" s="114"/>
      <c r="AA462" s="114"/>
    </row>
    <row r="463" spans="1:36" ht="84" hidden="1" customHeight="1" outlineLevel="1">
      <c r="A463" s="19"/>
      <c r="B463" s="891" t="s">
        <v>429</v>
      </c>
      <c r="C463" s="891"/>
      <c r="D463" s="891"/>
      <c r="E463" s="891"/>
      <c r="F463" s="17"/>
      <c r="G463" s="890" t="s">
        <v>430</v>
      </c>
      <c r="H463" s="891"/>
      <c r="I463" s="891"/>
      <c r="J463" s="17"/>
      <c r="K463" s="17"/>
      <c r="L463" s="17"/>
      <c r="M463" s="17"/>
      <c r="N463" s="17"/>
      <c r="O463" s="17"/>
      <c r="P463" s="17"/>
      <c r="Q463" s="17"/>
      <c r="R463" s="17"/>
      <c r="S463" s="17"/>
      <c r="T463" s="17"/>
      <c r="U463" s="17"/>
      <c r="V463" s="17"/>
      <c r="W463" s="17"/>
      <c r="X463" s="110"/>
      <c r="Y463" s="110"/>
      <c r="Z463" s="110"/>
      <c r="AA463" s="110"/>
    </row>
    <row r="464" spans="1:36" ht="6" hidden="1" customHeight="1" outlineLevel="1">
      <c r="A464" s="19"/>
      <c r="B464" s="555"/>
      <c r="C464" s="555"/>
      <c r="D464" s="555"/>
      <c r="E464" s="17"/>
      <c r="F464" s="17"/>
      <c r="G464" s="17"/>
      <c r="H464" s="17"/>
      <c r="I464" s="17"/>
      <c r="J464" s="17"/>
      <c r="K464" s="17"/>
      <c r="L464" s="17"/>
      <c r="M464" s="17"/>
      <c r="N464" s="17"/>
      <c r="O464" s="17"/>
      <c r="P464" s="17"/>
      <c r="Q464" s="17"/>
      <c r="R464" s="17"/>
      <c r="S464" s="17"/>
      <c r="T464" s="17"/>
      <c r="U464" s="17"/>
      <c r="V464" s="17"/>
      <c r="W464" s="17"/>
      <c r="X464" s="110"/>
      <c r="Y464" s="110"/>
      <c r="Z464" s="110"/>
      <c r="AA464" s="110"/>
    </row>
    <row r="465" spans="1:35" ht="37.5" hidden="1" customHeight="1" outlineLevel="1">
      <c r="A465" s="15"/>
      <c r="B465" s="887" t="s">
        <v>801</v>
      </c>
      <c r="C465" s="887"/>
      <c r="D465" s="314"/>
      <c r="E465" s="888" t="str">
        <f>IF(AND($D$465="Climate-Alignment Target Only",$D$466="No regional differentiation"),"Note: Start in row 470",IF(AND($D$465="Climate-Alignment Target Only",$D$466="Regional differentiation"),"Note: Start in row 482",IF(AND($D$465="Mix of Climate-Alignment and Sector Targets",$D$466="No regional differentiation"),"Note: Start in row 501",IF(AND($D$465="Mix of Climate-Alignment and Sector Targets",$D$466="Regional differentiation"),"Note: Start in row 543",""))))</f>
        <v/>
      </c>
      <c r="F465" s="3"/>
      <c r="G465" s="23" t="s">
        <v>803</v>
      </c>
      <c r="H465" s="23" t="s">
        <v>804</v>
      </c>
      <c r="I465" s="34" t="s">
        <v>805</v>
      </c>
      <c r="J465" s="15"/>
      <c r="K465" s="15"/>
      <c r="L465" s="15"/>
      <c r="M465" s="15"/>
      <c r="N465" s="15"/>
      <c r="O465" s="15"/>
      <c r="P465" s="15"/>
      <c r="Q465" s="15"/>
      <c r="R465" s="15"/>
      <c r="S465" s="15"/>
      <c r="T465" s="2"/>
      <c r="U465" s="2"/>
      <c r="V465" s="2"/>
      <c r="W465" s="2"/>
      <c r="X465" s="115"/>
      <c r="Y465" s="115"/>
      <c r="Z465" s="116"/>
      <c r="AA465" s="116"/>
    </row>
    <row r="466" spans="1:35" ht="42" hidden="1" customHeight="1" outlineLevel="1">
      <c r="A466" s="15"/>
      <c r="B466" s="887" t="s">
        <v>802</v>
      </c>
      <c r="C466" s="887"/>
      <c r="D466" s="314"/>
      <c r="E466" s="888"/>
      <c r="F466" s="15"/>
      <c r="G466" s="128" t="str">
        <f>IF($D465="","",'Financial activity types '!$F$11)</f>
        <v/>
      </c>
      <c r="H466" s="128" t="str">
        <f>IF($D465="","",'Financial activity types '!$C$13)</f>
        <v/>
      </c>
      <c r="I466" s="128" t="str">
        <f>IF($D465="","",'Financial activity types '!$C$7)</f>
        <v/>
      </c>
      <c r="J466" s="15"/>
      <c r="K466" s="15"/>
      <c r="L466" s="15"/>
      <c r="M466" s="15"/>
      <c r="N466" s="15"/>
      <c r="O466" s="15"/>
      <c r="P466" s="15"/>
      <c r="Q466" s="15"/>
      <c r="R466" s="15"/>
      <c r="S466" s="15"/>
      <c r="T466" s="2"/>
      <c r="U466" s="2"/>
      <c r="V466" s="2"/>
      <c r="W466" s="2"/>
      <c r="X466" s="115"/>
      <c r="Y466" s="115"/>
      <c r="Z466" s="116"/>
      <c r="AA466" s="116"/>
    </row>
    <row r="467" spans="1:35" ht="15" hidden="1" customHeight="1" outlineLevel="1"/>
    <row r="468" spans="1:35" ht="22.25" hidden="1" customHeight="1" outlineLevel="1" collapsed="1">
      <c r="A468" s="852" t="s">
        <v>355</v>
      </c>
      <c r="B468" s="852"/>
      <c r="C468" s="852"/>
      <c r="D468" s="852"/>
      <c r="E468" s="852"/>
      <c r="F468" s="852"/>
      <c r="G468" s="852"/>
      <c r="H468" s="852"/>
      <c r="I468" s="852"/>
      <c r="J468" s="852"/>
      <c r="K468" s="852"/>
      <c r="L468" s="852"/>
      <c r="M468" s="852"/>
      <c r="N468" s="852"/>
      <c r="O468" s="852"/>
      <c r="P468" s="852"/>
      <c r="Q468" s="852"/>
      <c r="R468" s="852"/>
      <c r="S468" s="852"/>
      <c r="T468" s="852"/>
      <c r="U468" s="852"/>
      <c r="V468" s="852"/>
      <c r="W468" s="71"/>
      <c r="X468" s="112"/>
      <c r="Y468" s="112"/>
      <c r="Z468" s="112"/>
      <c r="AA468" s="112"/>
    </row>
    <row r="469" spans="1:35" s="117" customFormat="1" ht="6.75" hidden="1" customHeight="1" outlineLevel="2">
      <c r="A469" s="63"/>
      <c r="B469" s="63"/>
      <c r="C469" s="63"/>
      <c r="D469" s="561"/>
      <c r="E469" s="889"/>
      <c r="F469" s="889"/>
      <c r="G469" s="561"/>
      <c r="H469" s="561"/>
      <c r="I469" s="561"/>
      <c r="J469" s="561"/>
      <c r="K469" s="561"/>
      <c r="L469" s="561"/>
      <c r="M469" s="561"/>
      <c r="N469" s="561"/>
      <c r="O469" s="561"/>
      <c r="P469" s="561"/>
      <c r="Q469" s="561"/>
      <c r="R469" s="561"/>
      <c r="S469" s="561"/>
      <c r="T469" s="561"/>
      <c r="U469" s="561"/>
      <c r="V469" s="561"/>
      <c r="W469" s="63"/>
    </row>
    <row r="470" spans="1:35" ht="15.75" hidden="1" customHeight="1" outlineLevel="2">
      <c r="A470" s="867" t="s">
        <v>356</v>
      </c>
      <c r="B470" s="867"/>
      <c r="C470" s="867"/>
      <c r="D470" s="867"/>
      <c r="E470" s="556"/>
      <c r="F470" s="556"/>
      <c r="G470" s="556"/>
      <c r="H470" s="556"/>
      <c r="I470" s="556"/>
      <c r="J470" s="556"/>
      <c r="K470" s="556"/>
      <c r="L470" s="556"/>
      <c r="M470" s="556"/>
      <c r="N470" s="556"/>
      <c r="O470" s="556"/>
      <c r="P470" s="556"/>
      <c r="Q470" s="556"/>
      <c r="R470" s="556"/>
      <c r="S470" s="556"/>
      <c r="T470" s="556"/>
      <c r="U470" s="556"/>
      <c r="V470" s="556"/>
      <c r="W470" s="19"/>
      <c r="X470" s="114"/>
      <c r="Y470" s="114"/>
      <c r="Z470" s="114"/>
      <c r="AA470" s="114"/>
    </row>
    <row r="471" spans="1:35" ht="32.75" hidden="1" customHeight="1" outlineLevel="2" collapsed="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14"/>
    </row>
    <row r="472" spans="1:35" ht="67.5" hidden="1" customHeight="1" outlineLevel="3">
      <c r="A472" s="126"/>
      <c r="B472" s="127"/>
      <c r="C472" s="15"/>
      <c r="D472" s="15"/>
      <c r="E472" s="15"/>
      <c r="F472" s="15"/>
      <c r="G472" s="15"/>
      <c r="H472" s="15"/>
      <c r="I472" s="15"/>
      <c r="J472" s="15"/>
      <c r="K472" s="15"/>
      <c r="L472" s="2"/>
      <c r="M472" s="859" t="s">
        <v>357</v>
      </c>
      <c r="N472" s="859"/>
      <c r="O472" s="859"/>
      <c r="P472" s="859"/>
      <c r="Q472" s="859"/>
      <c r="R472" s="859"/>
      <c r="S472" s="859"/>
      <c r="T472" s="859"/>
      <c r="U472" s="859"/>
      <c r="V472" s="859"/>
      <c r="AC472" s="972"/>
      <c r="AD472" s="972"/>
      <c r="AE472" s="972"/>
      <c r="AF472" s="972"/>
    </row>
    <row r="473" spans="1:35" ht="12.75" hidden="1" customHeight="1" outlineLevel="3">
      <c r="AC473" s="118"/>
      <c r="AD473" s="118"/>
      <c r="AE473" s="118"/>
      <c r="AF473" s="118"/>
    </row>
    <row r="474" spans="1:35" ht="34.5" hidden="1" customHeight="1" outlineLevel="3">
      <c r="A474" s="885" t="s">
        <v>99</v>
      </c>
      <c r="B474" s="885"/>
      <c r="C474" s="912" t="s">
        <v>364</v>
      </c>
      <c r="D474" s="885" t="s">
        <v>365</v>
      </c>
      <c r="E474" s="885"/>
      <c r="F474" s="885"/>
      <c r="G474" s="885"/>
      <c r="H474" s="885"/>
      <c r="I474" s="885"/>
      <c r="J474" s="885"/>
      <c r="K474" s="885"/>
      <c r="L474" s="798" t="s">
        <v>809</v>
      </c>
      <c r="M474" s="885" t="s">
        <v>366</v>
      </c>
      <c r="N474" s="885"/>
      <c r="O474" s="885"/>
      <c r="P474" s="885"/>
      <c r="Q474" s="885"/>
      <c r="R474" s="885"/>
      <c r="S474" s="885" t="s">
        <v>367</v>
      </c>
      <c r="T474" s="885"/>
      <c r="U474" s="885"/>
      <c r="V474" s="885"/>
      <c r="AD474" s="119"/>
    </row>
    <row r="475" spans="1:35" ht="52.5" hidden="1" customHeight="1" outlineLevel="3">
      <c r="A475" s="885"/>
      <c r="B475" s="885"/>
      <c r="C475" s="912"/>
      <c r="D475" s="36" t="s">
        <v>106</v>
      </c>
      <c r="E475" s="554" t="s">
        <v>101</v>
      </c>
      <c r="F475" s="554" t="s">
        <v>102</v>
      </c>
      <c r="G475" s="558" t="s">
        <v>103</v>
      </c>
      <c r="H475" s="558" t="s">
        <v>104</v>
      </c>
      <c r="I475" s="554" t="s">
        <v>105</v>
      </c>
      <c r="J475" s="798" t="s">
        <v>807</v>
      </c>
      <c r="K475" s="798" t="s">
        <v>808</v>
      </c>
      <c r="L475" s="798"/>
      <c r="M475" s="885" t="s">
        <v>810</v>
      </c>
      <c r="N475" s="798" t="s">
        <v>811</v>
      </c>
      <c r="O475" s="798" t="s">
        <v>812</v>
      </c>
      <c r="P475" s="798" t="s">
        <v>813</v>
      </c>
      <c r="Q475" s="869" t="s">
        <v>814</v>
      </c>
      <c r="R475" s="870"/>
      <c r="S475" s="885" t="s">
        <v>810</v>
      </c>
      <c r="T475" s="885" t="s">
        <v>811</v>
      </c>
      <c r="U475" s="885" t="s">
        <v>812</v>
      </c>
      <c r="V475" s="798" t="s">
        <v>813</v>
      </c>
      <c r="AD475" s="119"/>
    </row>
    <row r="476" spans="1:35" ht="17" hidden="1" outlineLevel="3">
      <c r="A476" s="885"/>
      <c r="B476" s="885"/>
      <c r="C476" s="912"/>
      <c r="D476" s="40" t="s">
        <v>819</v>
      </c>
      <c r="E476" s="928" t="s">
        <v>806</v>
      </c>
      <c r="F476" s="929"/>
      <c r="G476" s="929"/>
      <c r="H476" s="929"/>
      <c r="I476" s="929"/>
      <c r="J476" s="798"/>
      <c r="K476" s="798"/>
      <c r="L476" s="798"/>
      <c r="M476" s="885"/>
      <c r="N476" s="798"/>
      <c r="O476" s="798"/>
      <c r="P476" s="798"/>
      <c r="Q476" s="871"/>
      <c r="R476" s="872"/>
      <c r="S476" s="885"/>
      <c r="T476" s="885"/>
      <c r="U476" s="885"/>
      <c r="V476" s="798"/>
      <c r="AD476" s="119"/>
    </row>
    <row r="477" spans="1:35" ht="47" hidden="1" customHeight="1" outlineLevel="3">
      <c r="A477" s="954" t="s">
        <v>113</v>
      </c>
      <c r="B477" s="954"/>
      <c r="C477" s="901" t="s">
        <v>356</v>
      </c>
      <c r="D477" s="557" t="str" cm="1">
        <f t="array" ref="D477">IF($G$466="","",SUMPRODUCT(('INS Segmentation'!$M$20:$M$38=TRUE)*($A477='INS Segmentation'!$AK$20:$AK$38)*('Climate-Alignment Target'!D$475='INS Segmentation'!$Q$19:$V$19)*('INS Segmentation'!$Q$20:$V$38)))</f>
        <v/>
      </c>
      <c r="E477" s="557" t="str" cm="1">
        <f t="array" ref="E477">IF($G$466="","",SUMPRODUCT(('INS Segmentation'!$M$20:$M$38=TRUE)*($A477='INS Segmentation'!$AK$20:$AK$38)*('Climate-Alignment Target'!E$475='INS Segmentation'!$Q$19:$V$19)*('INS Segmentation'!$Q$20:$V$38)))</f>
        <v/>
      </c>
      <c r="F477" s="557" t="str" cm="1">
        <f t="array" ref="F477">IF($G$466="","",SUMPRODUCT(('INS Segmentation'!$M$20:$M$38=TRUE)*($A477='INS Segmentation'!$AK$20:$AK$38)*('Climate-Alignment Target'!F$475='INS Segmentation'!$Q$19:$V$19)*('INS Segmentation'!$Q$20:$V$38)))</f>
        <v/>
      </c>
      <c r="G477" s="557" t="str" cm="1">
        <f t="array" ref="G477">IF($G$466="","",SUMPRODUCT(('INS Segmentation'!$M$20:$M$38=TRUE)*($A477='INS Segmentation'!$AK$20:$AK$38)*('Climate-Alignment Target'!G$475='INS Segmentation'!$Q$19:$V$19)*('INS Segmentation'!$Q$20:$V$38)))</f>
        <v/>
      </c>
      <c r="H477" s="557" t="str" cm="1">
        <f t="array" ref="H477">IF($G$466="","",SUMPRODUCT(('INS Segmentation'!$M$20:$M$38=TRUE)*($A477='INS Segmentation'!$AK$20:$AK$38)*('Climate-Alignment Target'!H$475='INS Segmentation'!$Q$19:$V$19)*('INS Segmentation'!$Q$20:$V$38)))</f>
        <v/>
      </c>
      <c r="I477" s="557" t="str" cm="1">
        <f t="array" ref="I477">IF($G$466="","",SUMPRODUCT(('INS Segmentation'!$M$20:$M$38=TRUE)*($A477='INS Segmentation'!$AK$20:$AK$38)*('Climate-Alignment Target'!I$475='INS Segmentation'!$Q$19:$V$19)*('INS Segmentation'!$Q$20:$V$38)))</f>
        <v/>
      </c>
      <c r="J477" s="557">
        <f t="shared" ref="J477:J480" si="332">IF(D477=0,"",SUM(E477:I477))</f>
        <v>0</v>
      </c>
      <c r="K477" s="557" t="e">
        <f t="shared" ref="K477:K480" si="333">IF(D477=0,"",IF(D477-J477=0,"OK","Review financial exposure"))</f>
        <v>#VALUE!</v>
      </c>
      <c r="L477" s="562">
        <f>IF(SUM(E477:I477)=0,0,(G477+H477+I477)/(SUM(E477:I477)))</f>
        <v>0</v>
      </c>
      <c r="M477" s="915"/>
      <c r="N477" s="563"/>
      <c r="O477" s="562" t="str">
        <f>IF($M$477="","",IF(D477=0,"",IF(L477&gt;=$Z477,L477,(L477+($Z477-L477)/($Y477-$I$466)*($M$477-$I$466)))))</f>
        <v/>
      </c>
      <c r="P477" s="560" t="str">
        <f>IF(N477="","",IF(N477-O477&gt;=0,"OK","Minimum ambition not met, please increase ambition"))</f>
        <v/>
      </c>
      <c r="Q477" s="873" t="str">
        <f>IFERROR(IF(M477="","",SUMPRODUCT(J477:J480,N477:N480)/SUM(J477:J480)),"")</f>
        <v/>
      </c>
      <c r="R477" s="874"/>
      <c r="S477" s="955"/>
      <c r="T477" s="986"/>
      <c r="U477" s="897" t="str">
        <f>IF(S477="","",95%)</f>
        <v/>
      </c>
      <c r="V477" s="898" t="str">
        <f>IF(T477="","",IF(T477-U477&gt;=0,"OK","Minimum ambition not met, please increase ambition"))</f>
        <v/>
      </c>
      <c r="X477" s="113" t="s">
        <v>368</v>
      </c>
      <c r="Y477" s="113">
        <f t="shared" ref="Y477:Y480" si="334">_xlfn.XLOOKUP($X477,$AB$17:$AB$24,AE$17:AE$24,0,0)</f>
        <v>2035</v>
      </c>
      <c r="Z477" s="113">
        <f t="shared" ref="Z477:Z480" si="335">_xlfn.XLOOKUP($X477,$AB$17:$AB$24,AF$17:AF$24,0,0)</f>
        <v>0.95</v>
      </c>
      <c r="AD477" s="119"/>
      <c r="AI477" s="120" t="s">
        <v>431</v>
      </c>
    </row>
    <row r="478" spans="1:35" ht="47" hidden="1" customHeight="1" outlineLevel="3">
      <c r="A478" s="954" t="s">
        <v>121</v>
      </c>
      <c r="B478" s="954"/>
      <c r="C478" s="901"/>
      <c r="D478" s="557" t="str" cm="1">
        <f t="array" ref="D478">IF($G$466="","",SUMPRODUCT(('INS Segmentation'!$M$20:$M$38=TRUE)*($A478='INS Segmentation'!$AK$20:$AK$38)*('Climate-Alignment Target'!D$475='INS Segmentation'!$Q$19:$V$19)*('INS Segmentation'!$Q$20:$V$38)))</f>
        <v/>
      </c>
      <c r="E478" s="557" t="str" cm="1">
        <f t="array" ref="E478">IF($G$466="","",SUMPRODUCT(('INS Segmentation'!$M$20:$M$38=TRUE)*($A478='INS Segmentation'!$AK$20:$AK$38)*('Climate-Alignment Target'!E$475='INS Segmentation'!$Q$19:$V$19)*('INS Segmentation'!$Q$20:$V$38)))</f>
        <v/>
      </c>
      <c r="F478" s="557" t="str" cm="1">
        <f t="array" ref="F478">IF($G$466="","",SUMPRODUCT(('INS Segmentation'!$M$20:$M$38=TRUE)*($A478='INS Segmentation'!$AK$20:$AK$38)*('Climate-Alignment Target'!F$475='INS Segmentation'!$Q$19:$V$19)*('INS Segmentation'!$Q$20:$V$38)))</f>
        <v/>
      </c>
      <c r="G478" s="557" t="str" cm="1">
        <f t="array" ref="G478">IF($G$466="","",SUMPRODUCT(('INS Segmentation'!$M$20:$M$38=TRUE)*($A478='INS Segmentation'!$AK$20:$AK$38)*('Climate-Alignment Target'!G$475='INS Segmentation'!$Q$19:$V$19)*('INS Segmentation'!$Q$20:$V$38)))</f>
        <v/>
      </c>
      <c r="H478" s="557" t="str" cm="1">
        <f t="array" ref="H478">IF($G$466="","",SUMPRODUCT(('INS Segmentation'!$M$20:$M$38=TRUE)*($A478='INS Segmentation'!$AK$20:$AK$38)*('Climate-Alignment Target'!H$475='INS Segmentation'!$Q$19:$V$19)*('INS Segmentation'!$Q$20:$V$38)))</f>
        <v/>
      </c>
      <c r="I478" s="557" t="str" cm="1">
        <f t="array" ref="I478">IF($G$466="","",SUMPRODUCT(('INS Segmentation'!$M$20:$M$38=TRUE)*($A478='INS Segmentation'!$AK$20:$AK$38)*('Climate-Alignment Target'!I$475='INS Segmentation'!$Q$19:$V$19)*('INS Segmentation'!$Q$20:$V$38)))</f>
        <v/>
      </c>
      <c r="J478" s="557">
        <f t="shared" si="332"/>
        <v>0</v>
      </c>
      <c r="K478" s="557" t="e">
        <f t="shared" si="333"/>
        <v>#VALUE!</v>
      </c>
      <c r="L478" s="562">
        <f>IF(SUM(E478:I478)=0,0,(G478+H478+I478)/(SUM(E478:I478)))</f>
        <v>0</v>
      </c>
      <c r="M478" s="915"/>
      <c r="N478" s="563"/>
      <c r="O478" s="562" t="str">
        <f t="shared" ref="O478:O480" si="336">IF($M$477="","",IF(D478=0,"",IF(L478&gt;=$Z478,L478,(L478+($Z478-L478)/($Y478-$I$466)*($M$477-$I$466)))))</f>
        <v/>
      </c>
      <c r="P478" s="560" t="str">
        <f>IF(N478="","",IF(N478-O478&gt;=0,"OK","Minimum ambition not met, please increase ambition"))</f>
        <v/>
      </c>
      <c r="Q478" s="875"/>
      <c r="R478" s="876"/>
      <c r="S478" s="956"/>
      <c r="T478" s="986"/>
      <c r="U478" s="897"/>
      <c r="V478" s="898"/>
      <c r="X478" s="113" t="s">
        <v>373</v>
      </c>
      <c r="Y478" s="113">
        <f t="shared" si="334"/>
        <v>2040</v>
      </c>
      <c r="Z478" s="113">
        <f t="shared" si="335"/>
        <v>0.95</v>
      </c>
      <c r="AD478" s="119"/>
      <c r="AI478" s="120"/>
    </row>
    <row r="479" spans="1:35" ht="47" hidden="1" customHeight="1" outlineLevel="3">
      <c r="A479" s="954" t="s">
        <v>130</v>
      </c>
      <c r="B479" s="954"/>
      <c r="C479" s="901"/>
      <c r="D479" s="557" t="str" cm="1">
        <f t="array" ref="D479">IF($G$466="","",SUMPRODUCT(('INS Segmentation'!$M$20:$M$38=TRUE)*($A479='INS Segmentation'!$AK$20:$AK$38)*('Climate-Alignment Target'!D$475='INS Segmentation'!$Q$19:$V$19)*('INS Segmentation'!$Q$20:$V$38)))</f>
        <v/>
      </c>
      <c r="E479" s="557" t="str" cm="1">
        <f t="array" ref="E479">IF($G$466="","",SUMPRODUCT(('INS Segmentation'!$M$20:$M$38=TRUE)*($A479='INS Segmentation'!$AK$20:$AK$38)*('Climate-Alignment Target'!E$475='INS Segmentation'!$Q$19:$V$19)*('INS Segmentation'!$Q$20:$V$38)))</f>
        <v/>
      </c>
      <c r="F479" s="557" t="str" cm="1">
        <f t="array" ref="F479">IF($G$466="","",SUMPRODUCT(('INS Segmentation'!$M$20:$M$38=TRUE)*($A479='INS Segmentation'!$AK$20:$AK$38)*('Climate-Alignment Target'!F$475='INS Segmentation'!$Q$19:$V$19)*('INS Segmentation'!$Q$20:$V$38)))</f>
        <v/>
      </c>
      <c r="G479" s="557" t="str" cm="1">
        <f t="array" ref="G479">IF($G$466="","",SUMPRODUCT(('INS Segmentation'!$M$20:$M$38=TRUE)*($A479='INS Segmentation'!$AK$20:$AK$38)*('Climate-Alignment Target'!G$475='INS Segmentation'!$Q$19:$V$19)*('INS Segmentation'!$Q$20:$V$38)))</f>
        <v/>
      </c>
      <c r="H479" s="557" t="str" cm="1">
        <f t="array" ref="H479">IF($G$466="","",SUMPRODUCT(('INS Segmentation'!$M$20:$M$38=TRUE)*($A479='INS Segmentation'!$AK$20:$AK$38)*('Climate-Alignment Target'!H$475='INS Segmentation'!$Q$19:$V$19)*('INS Segmentation'!$Q$20:$V$38)))</f>
        <v/>
      </c>
      <c r="I479" s="557" t="str" cm="1">
        <f t="array" ref="I479">IF($G$466="","",SUMPRODUCT(('INS Segmentation'!$M$20:$M$38=TRUE)*($A479='INS Segmentation'!$AK$20:$AK$38)*('Climate-Alignment Target'!I$475='INS Segmentation'!$Q$19:$V$19)*('INS Segmentation'!$Q$20:$V$38)))</f>
        <v/>
      </c>
      <c r="J479" s="557">
        <f t="shared" si="332"/>
        <v>0</v>
      </c>
      <c r="K479" s="557" t="e">
        <f t="shared" si="333"/>
        <v>#VALUE!</v>
      </c>
      <c r="L479" s="562">
        <f>IF(SUM(E479:I479)=0,0,(G479+H479+I479)/(SUM(E479:I479)))</f>
        <v>0</v>
      </c>
      <c r="M479" s="915"/>
      <c r="N479" s="563"/>
      <c r="O479" s="562" t="str">
        <f t="shared" si="336"/>
        <v/>
      </c>
      <c r="P479" s="560" t="str">
        <f>IF(N479="","",IF(N479-O479&gt;=0,"OK","Minimum ambition not met, please increase ambition"))</f>
        <v/>
      </c>
      <c r="Q479" s="875"/>
      <c r="R479" s="876"/>
      <c r="S479" s="956"/>
      <c r="T479" s="986"/>
      <c r="U479" s="897"/>
      <c r="V479" s="898"/>
      <c r="X479" s="113" t="s">
        <v>376</v>
      </c>
      <c r="Y479" s="113">
        <f t="shared" si="334"/>
        <v>2040</v>
      </c>
      <c r="Z479" s="113">
        <f t="shared" si="335"/>
        <v>0.95</v>
      </c>
      <c r="AD479" s="119"/>
      <c r="AI479" s="120"/>
    </row>
    <row r="480" spans="1:35" ht="47" hidden="1" customHeight="1" outlineLevel="3">
      <c r="A480" s="954" t="s">
        <v>136</v>
      </c>
      <c r="B480" s="954"/>
      <c r="C480" s="901"/>
      <c r="D480" s="557" t="str" cm="1">
        <f t="array" ref="D480">IF($G$466="","",SUMPRODUCT(('INS Segmentation'!$M$20:$M$38=TRUE)*($A480='INS Segmentation'!$AK$20:$AK$38)*('Climate-Alignment Target'!D$475='INS Segmentation'!$Q$19:$V$19)*('INS Segmentation'!$Q$20:$V$38)))</f>
        <v/>
      </c>
      <c r="E480" s="557" t="str" cm="1">
        <f t="array" ref="E480">IF($G$466="","",SUMPRODUCT(('INS Segmentation'!$M$20:$M$38=TRUE)*($A480='INS Segmentation'!$AK$20:$AK$38)*('Climate-Alignment Target'!E$475='INS Segmentation'!$Q$19:$V$19)*('INS Segmentation'!$Q$20:$V$38)))</f>
        <v/>
      </c>
      <c r="F480" s="557" t="str" cm="1">
        <f t="array" ref="F480">IF($G$466="","",SUMPRODUCT(('INS Segmentation'!$M$20:$M$38=TRUE)*($A480='INS Segmentation'!$AK$20:$AK$38)*('Climate-Alignment Target'!F$475='INS Segmentation'!$Q$19:$V$19)*('INS Segmentation'!$Q$20:$V$38)))</f>
        <v/>
      </c>
      <c r="G480" s="557" t="str" cm="1">
        <f t="array" ref="G480">IF($G$466="","",SUMPRODUCT(('INS Segmentation'!$M$20:$M$38=TRUE)*($A480='INS Segmentation'!$AK$20:$AK$38)*('Climate-Alignment Target'!G$475='INS Segmentation'!$Q$19:$V$19)*('INS Segmentation'!$Q$20:$V$38)))</f>
        <v/>
      </c>
      <c r="H480" s="557" t="str" cm="1">
        <f t="array" ref="H480">IF($G$466="","",SUMPRODUCT(('INS Segmentation'!$M$20:$M$38=TRUE)*($A480='INS Segmentation'!$AK$20:$AK$38)*('Climate-Alignment Target'!H$475='INS Segmentation'!$Q$19:$V$19)*('INS Segmentation'!$Q$20:$V$38)))</f>
        <v/>
      </c>
      <c r="I480" s="557" t="str" cm="1">
        <f t="array" ref="I480">IF($G$466="","",SUMPRODUCT(('INS Segmentation'!$M$20:$M$38=TRUE)*($A480='INS Segmentation'!$AK$20:$AK$38)*('Climate-Alignment Target'!I$475='INS Segmentation'!$Q$19:$V$19)*('INS Segmentation'!$Q$20:$V$38)))</f>
        <v/>
      </c>
      <c r="J480" s="557">
        <f t="shared" si="332"/>
        <v>0</v>
      </c>
      <c r="K480" s="557" t="e">
        <f t="shared" si="333"/>
        <v>#VALUE!</v>
      </c>
      <c r="L480" s="562">
        <f>IF(SUM(E480:I480)=0,0,(G480+H480+I480)/(SUM(E480:I480)))</f>
        <v>0</v>
      </c>
      <c r="M480" s="915"/>
      <c r="N480" s="563"/>
      <c r="O480" s="562" t="str">
        <f t="shared" si="336"/>
        <v/>
      </c>
      <c r="P480" s="560" t="str">
        <f>IF(N480="","",IF(N480-O480&gt;=0,"OK","Minimum ambition not met, please increase ambition"))</f>
        <v/>
      </c>
      <c r="Q480" s="877"/>
      <c r="R480" s="878"/>
      <c r="S480" s="956"/>
      <c r="T480" s="986"/>
      <c r="U480" s="897"/>
      <c r="V480" s="898"/>
      <c r="X480" s="113" t="s">
        <v>378</v>
      </c>
      <c r="Y480" s="113">
        <f t="shared" si="334"/>
        <v>2050</v>
      </c>
      <c r="Z480" s="113">
        <f t="shared" si="335"/>
        <v>0.95</v>
      </c>
      <c r="AD480" s="119"/>
    </row>
    <row r="481" spans="1:36" ht="27.75" hidden="1" customHeight="1" outlineLevel="2">
      <c r="A481" s="315"/>
      <c r="B481" s="315"/>
      <c r="C481" s="316"/>
      <c r="D481" s="317"/>
      <c r="E481" s="318"/>
      <c r="F481" s="319"/>
      <c r="G481" s="319"/>
      <c r="H481" s="319"/>
      <c r="I481" s="319"/>
      <c r="J481" s="319"/>
      <c r="K481" s="319"/>
      <c r="L481" s="319"/>
      <c r="M481" s="319"/>
      <c r="N481" s="320"/>
      <c r="O481" s="318"/>
      <c r="P481" s="320"/>
      <c r="Q481" s="320"/>
      <c r="R481" s="320"/>
      <c r="S481" s="16"/>
      <c r="T481" s="321"/>
      <c r="U481" s="322"/>
      <c r="V481" s="320"/>
      <c r="W481" s="320"/>
      <c r="X481" s="323"/>
      <c r="AG481" s="119"/>
    </row>
    <row r="482" spans="1:36" ht="15.75" hidden="1" customHeight="1" outlineLevel="2">
      <c r="A482" s="867" t="s">
        <v>380</v>
      </c>
      <c r="B482" s="867"/>
      <c r="C482" s="867"/>
      <c r="D482" s="867"/>
      <c r="E482" s="556"/>
      <c r="F482" s="556"/>
      <c r="G482" s="556"/>
      <c r="H482" s="556"/>
      <c r="I482" s="556"/>
      <c r="J482" s="556"/>
      <c r="K482" s="556"/>
      <c r="L482" s="556"/>
      <c r="M482" s="556"/>
      <c r="N482" s="556"/>
      <c r="O482" s="556"/>
      <c r="P482" s="556"/>
      <c r="Q482" s="556"/>
      <c r="R482" s="556"/>
      <c r="S482" s="556"/>
      <c r="T482" s="556"/>
      <c r="U482" s="556"/>
      <c r="V482" s="556"/>
      <c r="W482" s="19"/>
      <c r="X482" s="114"/>
      <c r="Y482" s="114"/>
    </row>
    <row r="483" spans="1:36" ht="6" hidden="1" customHeight="1" outlineLevel="2">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14"/>
      <c r="Y483" s="114"/>
    </row>
    <row r="484" spans="1:36" ht="34.5" hidden="1" customHeight="1" outlineLevel="2" collapsed="1">
      <c r="A484" s="19"/>
      <c r="B484" s="19"/>
      <c r="C484" s="19"/>
      <c r="D484" s="19"/>
      <c r="E484" s="859" t="s">
        <v>381</v>
      </c>
      <c r="F484" s="859"/>
      <c r="G484" s="859"/>
      <c r="H484" s="859"/>
      <c r="I484" s="859"/>
      <c r="J484" s="19"/>
      <c r="K484" s="19"/>
      <c r="L484" s="19"/>
      <c r="M484" s="859" t="s">
        <v>357</v>
      </c>
      <c r="N484" s="859"/>
      <c r="O484" s="859"/>
      <c r="P484" s="859"/>
      <c r="Q484" s="859"/>
      <c r="R484" s="859"/>
      <c r="S484" s="859"/>
      <c r="T484" s="859"/>
      <c r="U484" s="859"/>
      <c r="V484" s="859"/>
    </row>
    <row r="485" spans="1:36" ht="15.75" hidden="1" customHeight="1" outlineLevel="3">
      <c r="A485" s="324"/>
      <c r="B485" s="324"/>
      <c r="C485" s="325"/>
      <c r="D485" s="326"/>
      <c r="E485" s="326"/>
      <c r="F485" s="326"/>
      <c r="G485" s="326"/>
      <c r="H485" s="326"/>
      <c r="I485" s="326"/>
      <c r="J485" s="326"/>
      <c r="K485" s="326"/>
      <c r="L485" s="326"/>
      <c r="M485" s="327"/>
      <c r="N485" s="327"/>
      <c r="O485" s="327"/>
      <c r="P485" s="328"/>
      <c r="Q485" s="328"/>
      <c r="R485" s="329"/>
      <c r="S485" s="16"/>
      <c r="T485" s="327"/>
      <c r="U485" s="16"/>
    </row>
    <row r="486" spans="1:36" ht="36" hidden="1" customHeight="1" outlineLevel="3">
      <c r="A486" s="960" t="s">
        <v>99</v>
      </c>
      <c r="B486" s="961"/>
      <c r="C486" s="964" t="s">
        <v>364</v>
      </c>
      <c r="D486" s="879" t="s">
        <v>365</v>
      </c>
      <c r="E486" s="868"/>
      <c r="F486" s="868"/>
      <c r="G486" s="868"/>
      <c r="H486" s="868"/>
      <c r="I486" s="868"/>
      <c r="J486" s="868"/>
      <c r="K486" s="880"/>
      <c r="L486" s="976" t="s">
        <v>809</v>
      </c>
      <c r="M486" s="885" t="s">
        <v>366</v>
      </c>
      <c r="N486" s="885"/>
      <c r="O486" s="885"/>
      <c r="P486" s="885"/>
      <c r="Q486" s="885"/>
      <c r="R486" s="885"/>
      <c r="S486" s="885" t="s">
        <v>367</v>
      </c>
      <c r="T486" s="885"/>
      <c r="U486" s="885"/>
      <c r="V486" s="885"/>
    </row>
    <row r="487" spans="1:36" ht="51" hidden="1" customHeight="1" outlineLevel="3">
      <c r="A487" s="962"/>
      <c r="B487" s="963"/>
      <c r="C487" s="965"/>
      <c r="D487" s="36" t="s">
        <v>106</v>
      </c>
      <c r="E487" s="330" t="s">
        <v>101</v>
      </c>
      <c r="F487" s="330" t="s">
        <v>102</v>
      </c>
      <c r="G487" s="331" t="s">
        <v>103</v>
      </c>
      <c r="H487" s="331" t="s">
        <v>104</v>
      </c>
      <c r="I487" s="330" t="s">
        <v>105</v>
      </c>
      <c r="J487" s="967" t="s">
        <v>807</v>
      </c>
      <c r="K487" s="967" t="s">
        <v>808</v>
      </c>
      <c r="L487" s="924"/>
      <c r="M487" s="885" t="s">
        <v>810</v>
      </c>
      <c r="N487" s="798" t="s">
        <v>811</v>
      </c>
      <c r="O487" s="967" t="s">
        <v>828</v>
      </c>
      <c r="P487" s="798" t="s">
        <v>813</v>
      </c>
      <c r="Q487" s="879" t="s">
        <v>816</v>
      </c>
      <c r="R487" s="880"/>
      <c r="S487" s="885" t="s">
        <v>810</v>
      </c>
      <c r="T487" s="885" t="s">
        <v>811</v>
      </c>
      <c r="U487" s="885" t="s">
        <v>812</v>
      </c>
      <c r="V487" s="798" t="s">
        <v>813</v>
      </c>
    </row>
    <row r="488" spans="1:36" ht="36" hidden="1" customHeight="1" outlineLevel="3">
      <c r="A488" s="962"/>
      <c r="B488" s="963"/>
      <c r="C488" s="966"/>
      <c r="D488" s="40" t="s">
        <v>819</v>
      </c>
      <c r="E488" s="969" t="s">
        <v>382</v>
      </c>
      <c r="F488" s="970"/>
      <c r="G488" s="970"/>
      <c r="H488" s="970"/>
      <c r="I488" s="971"/>
      <c r="J488" s="968"/>
      <c r="K488" s="968"/>
      <c r="L488" s="968"/>
      <c r="M488" s="885"/>
      <c r="N488" s="798"/>
      <c r="O488" s="968"/>
      <c r="P488" s="798"/>
      <c r="Q488" s="38" t="s">
        <v>369</v>
      </c>
      <c r="R488" s="35" t="s">
        <v>372</v>
      </c>
      <c r="S488" s="885"/>
      <c r="T488" s="885"/>
      <c r="U488" s="885"/>
      <c r="V488" s="798"/>
    </row>
    <row r="489" spans="1:36" ht="49.25" hidden="1" customHeight="1" outlineLevel="3">
      <c r="A489" s="936" t="s">
        <v>113</v>
      </c>
      <c r="B489" s="936"/>
      <c r="C489" s="332" t="s">
        <v>369</v>
      </c>
      <c r="D489" s="937" t="str">
        <f>IF($D$466="Regional differentiation",D477,"")</f>
        <v/>
      </c>
      <c r="E489" s="4"/>
      <c r="F489" s="4"/>
      <c r="G489" s="4"/>
      <c r="H489" s="4"/>
      <c r="I489" s="4"/>
      <c r="J489" s="557">
        <f>SUM(E489:I489)</f>
        <v>0</v>
      </c>
      <c r="K489" s="939" t="str">
        <f>IF(D489="","",IF(D489-J489-J490=0,"OK","Review financial exposure"))</f>
        <v/>
      </c>
      <c r="L489" s="562">
        <f t="shared" ref="L489:L495" si="337">IF(SUM(E489:I489)=0,0,(G489+H489+I489)/(SUM(E489:I489)))</f>
        <v>0</v>
      </c>
      <c r="M489" s="941"/>
      <c r="N489" s="563"/>
      <c r="O489" s="562" t="str">
        <f>IF($M$489="","",IF(D489=0,"",IF(L489&gt;=$Z489,L489,(L489+($Z489-L489)/($Y489-$I$466)*($M$489-$I$466)))))</f>
        <v/>
      </c>
      <c r="P489" s="338" t="str">
        <f>IF(N489="","",IF(N489-O489&gt;=0,"OK","Minimum ambition not met, please increase ambition"))</f>
        <v/>
      </c>
      <c r="Q489" s="906" t="str">
        <f>IFERROR(IF($M489="","",($N489*$J489+$N491*$J491+$N493*$J493+$N495*$J495)/SUMIF($C489:$C496,"Developed economies",$J489:$J496)),"")</f>
        <v/>
      </c>
      <c r="R489" s="905" t="str">
        <f>IFERROR(IF($M489="","",($N490*$J490+$N492*$J492+$N494*$J494+$N496*$J496)/SUMIF($C489:$C496,"Developing economies",$J489:$J496)),"")</f>
        <v/>
      </c>
      <c r="S489" s="944"/>
      <c r="T489" s="977"/>
      <c r="U489" s="980" t="str">
        <f>IF(S489="","",95%)</f>
        <v/>
      </c>
      <c r="V489" s="983" t="str">
        <f>IF(T489="","",IF(T489-U489&gt;=0,"OK","Minimum ambition not met, please increase ambition"))</f>
        <v/>
      </c>
      <c r="X489" s="113" t="s">
        <v>368</v>
      </c>
      <c r="Y489" s="113">
        <f t="shared" ref="Y489:Y496" si="338">_xlfn.XLOOKUP($X489,$AB$17:$AB$24,AE$17:AE$24,0,0)</f>
        <v>2035</v>
      </c>
      <c r="Z489" s="113">
        <f t="shared" ref="Z489:Z496" si="339">_xlfn.XLOOKUP($X489,$AB$17:$AB$24,AF$17:AF$24,0,0)</f>
        <v>0.95</v>
      </c>
      <c r="AI489" s="120" t="s">
        <v>432</v>
      </c>
      <c r="AJ489" s="120" t="s">
        <v>433</v>
      </c>
    </row>
    <row r="490" spans="1:36" ht="49.25" hidden="1" customHeight="1" outlineLevel="3">
      <c r="A490" s="936"/>
      <c r="B490" s="936"/>
      <c r="C490" s="332" t="s">
        <v>372</v>
      </c>
      <c r="D490" s="938"/>
      <c r="E490" s="334"/>
      <c r="F490" s="334"/>
      <c r="G490" s="334"/>
      <c r="H490" s="334"/>
      <c r="I490" s="334"/>
      <c r="J490" s="335">
        <f>SUM(E490:I490)</f>
        <v>0</v>
      </c>
      <c r="K490" s="940"/>
      <c r="L490" s="336">
        <f t="shared" si="337"/>
        <v>0</v>
      </c>
      <c r="M490" s="942"/>
      <c r="N490" s="337"/>
      <c r="O490" s="562" t="str">
        <f>IF($M$489="","",IF(D489=0,"",IF(L490&gt;=$Z490,L490,(L490+($Z490-L490)/($Y490-$I$466)*($M$489-$I$466)))))</f>
        <v/>
      </c>
      <c r="P490" s="338" t="str">
        <f t="shared" ref="P490:P496" si="340">IF(N490="","",IF(N490-O490&gt;=0,"OK","Minimum ambition not met, please increase ambition"))</f>
        <v/>
      </c>
      <c r="Q490" s="906"/>
      <c r="R490" s="906"/>
      <c r="S490" s="945"/>
      <c r="T490" s="978"/>
      <c r="U490" s="981"/>
      <c r="V490" s="984"/>
      <c r="X490" s="113" t="s">
        <v>371</v>
      </c>
      <c r="Y490" s="113">
        <f t="shared" si="338"/>
        <v>2035</v>
      </c>
      <c r="Z490" s="113">
        <f t="shared" si="339"/>
        <v>0.85</v>
      </c>
    </row>
    <row r="491" spans="1:36" ht="49.25" hidden="1" customHeight="1" outlineLevel="3">
      <c r="A491" s="936" t="s">
        <v>121</v>
      </c>
      <c r="B491" s="936"/>
      <c r="C491" s="332" t="s">
        <v>369</v>
      </c>
      <c r="D491" s="937" t="str">
        <f>IF($D$466="Regional differentiation",D478,"")</f>
        <v/>
      </c>
      <c r="E491" s="4"/>
      <c r="F491" s="4"/>
      <c r="G491" s="4"/>
      <c r="H491" s="4"/>
      <c r="I491" s="4"/>
      <c r="J491" s="557">
        <f t="shared" ref="J491:J496" si="341">SUM(E491:I491)</f>
        <v>0</v>
      </c>
      <c r="K491" s="939" t="str">
        <f>IF(D491="","",IF(D491-J491-J492=0,"OK","Review financial exposure"))</f>
        <v/>
      </c>
      <c r="L491" s="562">
        <f t="shared" si="337"/>
        <v>0</v>
      </c>
      <c r="M491" s="942"/>
      <c r="N491" s="563"/>
      <c r="O491" s="562" t="str">
        <f>IF($M$489="","",IF(D491=0,"",IF(L491&gt;=$Z491,L491,(L491+($Z491-L491)/($Y491-$I$466)*($M$489-$I$466)))))</f>
        <v/>
      </c>
      <c r="P491" s="338" t="str">
        <f t="shared" si="340"/>
        <v/>
      </c>
      <c r="Q491" s="906"/>
      <c r="R491" s="906"/>
      <c r="S491" s="945"/>
      <c r="T491" s="978"/>
      <c r="U491" s="981"/>
      <c r="V491" s="984"/>
      <c r="X491" s="113" t="s">
        <v>373</v>
      </c>
      <c r="Y491" s="113">
        <f t="shared" si="338"/>
        <v>2040</v>
      </c>
      <c r="Z491" s="113">
        <f t="shared" si="339"/>
        <v>0.95</v>
      </c>
    </row>
    <row r="492" spans="1:36" ht="49.25" hidden="1" customHeight="1" outlineLevel="3">
      <c r="A492" s="936"/>
      <c r="B492" s="936"/>
      <c r="C492" s="332" t="s">
        <v>372</v>
      </c>
      <c r="D492" s="938"/>
      <c r="E492" s="334"/>
      <c r="F492" s="334"/>
      <c r="G492" s="334"/>
      <c r="H492" s="334"/>
      <c r="I492" s="334"/>
      <c r="J492" s="335">
        <f t="shared" si="341"/>
        <v>0</v>
      </c>
      <c r="K492" s="940"/>
      <c r="L492" s="336">
        <f t="shared" si="337"/>
        <v>0</v>
      </c>
      <c r="M492" s="942"/>
      <c r="N492" s="337"/>
      <c r="O492" s="562" t="str">
        <f>IF($M$489="","",IF(D491=0,"",IF(L492&gt;=$Z492,L492,(L492+($Z492-L492)/($Y492-$I$466)*($M$489-$I$466)))))</f>
        <v/>
      </c>
      <c r="P492" s="338" t="str">
        <f t="shared" si="340"/>
        <v/>
      </c>
      <c r="Q492" s="906"/>
      <c r="R492" s="906"/>
      <c r="S492" s="945"/>
      <c r="T492" s="978"/>
      <c r="U492" s="981"/>
      <c r="V492" s="984"/>
      <c r="X492" s="113" t="s">
        <v>374</v>
      </c>
      <c r="Y492" s="113">
        <f t="shared" si="338"/>
        <v>2040</v>
      </c>
      <c r="Z492" s="113">
        <f t="shared" si="339"/>
        <v>0.85</v>
      </c>
    </row>
    <row r="493" spans="1:36" ht="49.25" hidden="1" customHeight="1" outlineLevel="3">
      <c r="A493" s="936" t="s">
        <v>130</v>
      </c>
      <c r="B493" s="936"/>
      <c r="C493" s="332" t="s">
        <v>369</v>
      </c>
      <c r="D493" s="937" t="str">
        <f>IF($D$466="Regional differentiation",D479,"")</f>
        <v/>
      </c>
      <c r="E493" s="4"/>
      <c r="F493" s="4"/>
      <c r="G493" s="4"/>
      <c r="H493" s="4"/>
      <c r="I493" s="4"/>
      <c r="J493" s="557">
        <f t="shared" si="341"/>
        <v>0</v>
      </c>
      <c r="K493" s="939" t="str">
        <f>IF(D493="","",IF(D493-J493-J494=0,"OK","Review financial exposure"))</f>
        <v/>
      </c>
      <c r="L493" s="562">
        <f t="shared" si="337"/>
        <v>0</v>
      </c>
      <c r="M493" s="942"/>
      <c r="N493" s="563"/>
      <c r="O493" s="562" t="str">
        <f>IF($M$489="","",IF(D493=0,"",IF(L493&gt;=$Z493,L493,(L493+($Z493-L493)/($Y493-$I$466)*($M$489-$I$466)))))</f>
        <v/>
      </c>
      <c r="P493" s="338" t="str">
        <f t="shared" si="340"/>
        <v/>
      </c>
      <c r="Q493" s="906" t="str">
        <f t="shared" ref="Q493" si="342">IF(M493="","",IF(AND(N493="",N494="",N495="",N496=""),SUMPRODUCT(J493:J496,O493:O496)/SUM(J493:J496),SUMPRODUCT(J493:J496,N493:N496)/SUM(J493:J496)))</f>
        <v/>
      </c>
      <c r="R493" s="906"/>
      <c r="S493" s="945"/>
      <c r="T493" s="978"/>
      <c r="U493" s="981"/>
      <c r="V493" s="984"/>
      <c r="X493" s="113" t="s">
        <v>376</v>
      </c>
      <c r="Y493" s="113">
        <f t="shared" si="338"/>
        <v>2040</v>
      </c>
      <c r="Z493" s="113">
        <f t="shared" si="339"/>
        <v>0.95</v>
      </c>
    </row>
    <row r="494" spans="1:36" ht="49.25" hidden="1" customHeight="1" outlineLevel="3">
      <c r="A494" s="936"/>
      <c r="B494" s="936"/>
      <c r="C494" s="332" t="s">
        <v>372</v>
      </c>
      <c r="D494" s="938"/>
      <c r="E494" s="334"/>
      <c r="F494" s="334"/>
      <c r="G494" s="334"/>
      <c r="H494" s="334"/>
      <c r="I494" s="334"/>
      <c r="J494" s="335">
        <f t="shared" si="341"/>
        <v>0</v>
      </c>
      <c r="K494" s="940"/>
      <c r="L494" s="336">
        <f t="shared" si="337"/>
        <v>0</v>
      </c>
      <c r="M494" s="942"/>
      <c r="N494" s="337"/>
      <c r="O494" s="562" t="str">
        <f>IF($M$489="","",IF(D493=0,"",IF(L494&gt;=$Z494,L494,(L494+($Z494-L494)/($Y494-$I$466)*($M$489-$I$466)))))</f>
        <v/>
      </c>
      <c r="P494" s="338" t="str">
        <f t="shared" si="340"/>
        <v/>
      </c>
      <c r="Q494" s="906"/>
      <c r="R494" s="906"/>
      <c r="S494" s="945"/>
      <c r="T494" s="978"/>
      <c r="U494" s="981"/>
      <c r="V494" s="984"/>
      <c r="X494" s="113" t="s">
        <v>377</v>
      </c>
      <c r="Y494" s="113">
        <f t="shared" si="338"/>
        <v>2040</v>
      </c>
      <c r="Z494" s="113">
        <f t="shared" si="339"/>
        <v>0.85</v>
      </c>
    </row>
    <row r="495" spans="1:36" ht="49.25" hidden="1" customHeight="1" outlineLevel="3">
      <c r="A495" s="936" t="s">
        <v>136</v>
      </c>
      <c r="B495" s="936"/>
      <c r="C495" s="332" t="s">
        <v>369</v>
      </c>
      <c r="D495" s="937" t="str">
        <f>IF($D$466="Regional differentiation",D480,"")</f>
        <v/>
      </c>
      <c r="E495" s="4"/>
      <c r="F495" s="4"/>
      <c r="G495" s="4"/>
      <c r="H495" s="4"/>
      <c r="I495" s="4"/>
      <c r="J495" s="557">
        <f t="shared" si="341"/>
        <v>0</v>
      </c>
      <c r="K495" s="939" t="str">
        <f>IF(D495="","",IF(D495-J495-J496=0,"OK","Review financial exposure"))</f>
        <v/>
      </c>
      <c r="L495" s="562">
        <f t="shared" si="337"/>
        <v>0</v>
      </c>
      <c r="M495" s="942"/>
      <c r="N495" s="563"/>
      <c r="O495" s="562" t="str">
        <f>IF($M$489="","",IF(D495=0,"",IF(L495&gt;=$Z495,L495,(L495+($Z495-L495)/($Y495-$I$466)*($M$489-$I$466)))))</f>
        <v/>
      </c>
      <c r="P495" s="338" t="str">
        <f t="shared" si="340"/>
        <v/>
      </c>
      <c r="Q495" s="906"/>
      <c r="R495" s="906"/>
      <c r="S495" s="945"/>
      <c r="T495" s="978"/>
      <c r="U495" s="981"/>
      <c r="V495" s="984"/>
      <c r="X495" s="113" t="s">
        <v>378</v>
      </c>
      <c r="Y495" s="113">
        <f t="shared" si="338"/>
        <v>2050</v>
      </c>
      <c r="Z495" s="113">
        <f t="shared" si="339"/>
        <v>0.95</v>
      </c>
    </row>
    <row r="496" spans="1:36" ht="49.25" hidden="1" customHeight="1" outlineLevel="3">
      <c r="A496" s="936"/>
      <c r="B496" s="953"/>
      <c r="C496" s="333" t="s">
        <v>372</v>
      </c>
      <c r="D496" s="938"/>
      <c r="E496" s="334"/>
      <c r="F496" s="334"/>
      <c r="G496" s="334"/>
      <c r="H496" s="334"/>
      <c r="I496" s="334"/>
      <c r="J496" s="335">
        <f t="shared" si="341"/>
        <v>0</v>
      </c>
      <c r="K496" s="940"/>
      <c r="L496" s="336">
        <f>IF(SUM(E496:I496)=0,0,(G496+H496+I496)/(SUM(E496:I496)))</f>
        <v>0</v>
      </c>
      <c r="M496" s="943"/>
      <c r="N496" s="337"/>
      <c r="O496" s="562" t="str">
        <f>IF($M$489="","",IF(D495=0,"",IF(L496&gt;=$Z496,L496,(L496+($Z496-L496)/($Y496-$I$466)*($M$489-$I$466)))))</f>
        <v/>
      </c>
      <c r="P496" s="338" t="str">
        <f t="shared" si="340"/>
        <v/>
      </c>
      <c r="Q496" s="907"/>
      <c r="R496" s="907"/>
      <c r="S496" s="946"/>
      <c r="T496" s="979"/>
      <c r="U496" s="982"/>
      <c r="V496" s="985"/>
      <c r="X496" s="113" t="s">
        <v>379</v>
      </c>
      <c r="Y496" s="113">
        <f t="shared" si="338"/>
        <v>2050</v>
      </c>
      <c r="Z496" s="113">
        <f t="shared" si="339"/>
        <v>0.85</v>
      </c>
    </row>
    <row r="497" spans="1:30" ht="15.75" hidden="1" customHeight="1" outlineLevel="1">
      <c r="A497" s="1"/>
      <c r="B497" s="1"/>
      <c r="C497" s="1"/>
      <c r="D497" s="1"/>
      <c r="E497" s="1"/>
      <c r="F497" s="1"/>
      <c r="G497" s="1"/>
      <c r="H497" s="1"/>
      <c r="I497" s="1"/>
      <c r="J497" s="1"/>
      <c r="K497" s="1"/>
      <c r="L497" s="1"/>
      <c r="M497" s="1"/>
      <c r="N497" s="1"/>
      <c r="O497" s="1"/>
      <c r="P497" s="1"/>
      <c r="Q497" s="1"/>
      <c r="R497" s="1"/>
      <c r="S497" s="1"/>
      <c r="T497" s="1"/>
      <c r="U497" s="1"/>
      <c r="V497" s="1"/>
      <c r="W497" s="1"/>
      <c r="X497" s="121"/>
      <c r="Y497" s="121"/>
      <c r="Z497" s="121"/>
      <c r="AA497" s="121"/>
    </row>
    <row r="498" spans="1:30" ht="15.75" hidden="1" customHeight="1" outlineLevel="1">
      <c r="A498" s="1"/>
      <c r="B498" s="1"/>
      <c r="C498" s="1"/>
      <c r="D498" s="1"/>
      <c r="E498" s="1"/>
      <c r="F498" s="1"/>
      <c r="G498" s="1"/>
      <c r="H498" s="1"/>
      <c r="I498" s="1"/>
      <c r="J498" s="1"/>
      <c r="K498" s="1"/>
      <c r="L498" s="1"/>
      <c r="M498" s="1"/>
      <c r="N498" s="1"/>
      <c r="O498" s="1"/>
      <c r="P498" s="1"/>
      <c r="Q498" s="1"/>
      <c r="R498" s="1"/>
      <c r="S498" s="1"/>
      <c r="T498" s="1"/>
      <c r="U498" s="1"/>
      <c r="V498" s="1"/>
      <c r="W498" s="1"/>
      <c r="X498" s="121"/>
      <c r="Y498" s="121"/>
      <c r="Z498" s="121"/>
      <c r="AA498" s="121"/>
    </row>
    <row r="499" spans="1:30" ht="15.75" hidden="1" customHeight="1" outlineLevel="1" collapsed="1">
      <c r="A499" s="852" t="s">
        <v>385</v>
      </c>
      <c r="B499" s="852"/>
      <c r="C499" s="852"/>
      <c r="D499" s="852"/>
      <c r="E499" s="852"/>
      <c r="F499" s="852"/>
      <c r="G499" s="852"/>
      <c r="H499" s="852"/>
      <c r="I499" s="852"/>
      <c r="J499" s="852"/>
      <c r="K499" s="852"/>
      <c r="L499" s="852"/>
      <c r="M499" s="852"/>
      <c r="N499" s="852"/>
      <c r="O499" s="852"/>
      <c r="P499" s="852"/>
      <c r="Q499" s="852"/>
      <c r="R499" s="852"/>
      <c r="S499" s="852"/>
      <c r="T499" s="852"/>
      <c r="U499" s="852"/>
      <c r="V499" s="852"/>
      <c r="W499" s="71"/>
      <c r="X499" s="112"/>
      <c r="Y499" s="112"/>
      <c r="Z499" s="112"/>
      <c r="AA499" s="112"/>
    </row>
    <row r="500" spans="1:30" ht="15.75" hidden="1" customHeight="1" outlineLevel="2">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14"/>
      <c r="Y500" s="114"/>
      <c r="Z500" s="114"/>
      <c r="AA500" s="114"/>
    </row>
    <row r="501" spans="1:30" ht="15.75" hidden="1" customHeight="1" outlineLevel="2" collapsed="1">
      <c r="A501" s="867" t="s">
        <v>356</v>
      </c>
      <c r="B501" s="867"/>
      <c r="C501" s="867"/>
      <c r="D501" s="556"/>
      <c r="E501" s="556"/>
      <c r="F501" s="556"/>
      <c r="G501" s="556"/>
      <c r="H501" s="556"/>
      <c r="I501" s="556"/>
      <c r="J501" s="556"/>
      <c r="K501" s="556"/>
      <c r="L501" s="556"/>
      <c r="M501" s="556"/>
      <c r="N501" s="556"/>
      <c r="O501" s="556"/>
      <c r="P501" s="556"/>
      <c r="Q501" s="556"/>
      <c r="R501" s="556"/>
      <c r="S501" s="556"/>
      <c r="T501" s="556"/>
      <c r="U501" s="556"/>
      <c r="V501" s="556"/>
      <c r="W501" s="19"/>
      <c r="X501" s="114"/>
      <c r="Y501" s="114"/>
      <c r="Z501" s="114"/>
      <c r="AA501" s="114"/>
    </row>
    <row r="502" spans="1:30" ht="6" hidden="1" customHeight="1" outlineLevel="3">
      <c r="B502" s="19"/>
      <c r="C502" s="19"/>
      <c r="D502" s="19"/>
      <c r="E502" s="19"/>
      <c r="F502" s="19"/>
      <c r="G502" s="19"/>
      <c r="H502" s="19"/>
      <c r="I502" s="19"/>
      <c r="J502" s="19"/>
      <c r="K502" s="19"/>
      <c r="L502" s="19"/>
      <c r="M502" s="19"/>
      <c r="N502" s="19"/>
      <c r="O502" s="19"/>
      <c r="P502" s="19"/>
      <c r="Q502" s="19"/>
      <c r="R502" s="19"/>
      <c r="S502" s="19"/>
      <c r="T502" s="19"/>
      <c r="U502" s="19"/>
      <c r="V502" s="19"/>
      <c r="W502" s="19"/>
      <c r="X502" s="114"/>
      <c r="Y502" s="114"/>
      <c r="Z502" s="114"/>
      <c r="AA502" s="114"/>
    </row>
    <row r="503" spans="1:30" s="122" customFormat="1" ht="20.25" hidden="1" customHeight="1" outlineLevel="3">
      <c r="A503" s="858" t="s">
        <v>386</v>
      </c>
      <c r="B503" s="858"/>
      <c r="C503" s="858"/>
      <c r="D503" s="858"/>
      <c r="E503" s="858"/>
      <c r="F503" s="858"/>
      <c r="G503" s="858"/>
      <c r="H503" s="858"/>
      <c r="I503" s="858"/>
      <c r="J503" s="858"/>
      <c r="K503" s="858"/>
      <c r="L503" s="858"/>
      <c r="M503" s="858"/>
      <c r="N503" s="858"/>
      <c r="O503" s="858"/>
      <c r="P503" s="858"/>
      <c r="Q503" s="858"/>
      <c r="R503" s="70"/>
      <c r="S503" s="70"/>
      <c r="T503" s="70"/>
      <c r="U503" s="70"/>
      <c r="V503" s="12"/>
      <c r="W503" s="12"/>
    </row>
    <row r="504" spans="1:30" ht="6" hidden="1" customHeight="1" outlineLevel="3">
      <c r="A504" s="1"/>
      <c r="B504" s="917"/>
      <c r="C504" s="917"/>
      <c r="D504" s="917"/>
      <c r="E504" s="917"/>
      <c r="F504" s="917"/>
      <c r="G504" s="917"/>
      <c r="H504" s="17"/>
      <c r="I504" s="17"/>
      <c r="J504" s="17"/>
      <c r="K504" s="17"/>
      <c r="L504" s="17"/>
      <c r="M504" s="17"/>
      <c r="N504" s="17"/>
      <c r="O504" s="17"/>
      <c r="P504" s="17"/>
      <c r="Q504" s="17"/>
      <c r="R504" s="17"/>
      <c r="S504" s="17"/>
      <c r="T504" s="17"/>
      <c r="U504" s="17"/>
      <c r="V504" s="17"/>
      <c r="W504" s="17"/>
      <c r="X504" s="110"/>
      <c r="Y504" s="110"/>
      <c r="Z504" s="110"/>
      <c r="AA504" s="110"/>
    </row>
    <row r="505" spans="1:30" ht="15.75" hidden="1" customHeight="1" outlineLevel="3">
      <c r="A505" s="918" t="s">
        <v>99</v>
      </c>
      <c r="B505" s="918" t="s">
        <v>387</v>
      </c>
      <c r="C505" s="934" t="s">
        <v>364</v>
      </c>
      <c r="D505" s="885" t="s">
        <v>818</v>
      </c>
      <c r="E505" s="885" t="s">
        <v>365</v>
      </c>
      <c r="F505" s="885"/>
      <c r="G505" s="885"/>
      <c r="H505" s="885"/>
      <c r="I505" s="885"/>
      <c r="J505" s="885"/>
      <c r="K505" s="885"/>
      <c r="L505" s="554"/>
      <c r="M505" s="798" t="s">
        <v>809</v>
      </c>
      <c r="N505" s="885" t="s">
        <v>366</v>
      </c>
      <c r="O505" s="885"/>
      <c r="P505" s="885"/>
      <c r="Q505" s="885"/>
      <c r="R505" s="13"/>
      <c r="S505" s="17"/>
      <c r="T505" s="17"/>
      <c r="U505" s="17"/>
      <c r="V505" s="17"/>
      <c r="W505" s="17"/>
      <c r="X505" s="110"/>
    </row>
    <row r="506" spans="1:30" ht="68" hidden="1" outlineLevel="3">
      <c r="A506" s="918"/>
      <c r="B506" s="918"/>
      <c r="C506" s="934"/>
      <c r="D506" s="885"/>
      <c r="E506" s="36" t="s">
        <v>106</v>
      </c>
      <c r="F506" s="554" t="s">
        <v>101</v>
      </c>
      <c r="G506" s="554" t="s">
        <v>102</v>
      </c>
      <c r="H506" s="558" t="s">
        <v>103</v>
      </c>
      <c r="I506" s="558" t="s">
        <v>104</v>
      </c>
      <c r="J506" s="554" t="s">
        <v>105</v>
      </c>
      <c r="K506" s="798" t="s">
        <v>807</v>
      </c>
      <c r="L506" s="798" t="s">
        <v>808</v>
      </c>
      <c r="M506" s="798"/>
      <c r="N506" s="885" t="s">
        <v>810</v>
      </c>
      <c r="O506" s="885" t="s">
        <v>811</v>
      </c>
      <c r="P506" s="798" t="s">
        <v>821</v>
      </c>
      <c r="Q506" s="798" t="s">
        <v>813</v>
      </c>
      <c r="R506" s="13"/>
      <c r="S506" s="17"/>
      <c r="T506" s="66"/>
      <c r="U506" s="67"/>
      <c r="V506" s="1"/>
      <c r="W506" s="17"/>
      <c r="X506" s="110"/>
      <c r="Y506" s="110"/>
      <c r="Z506" s="110"/>
    </row>
    <row r="507" spans="1:30" ht="15" hidden="1" customHeight="1" outlineLevel="3">
      <c r="A507" s="919"/>
      <c r="B507" s="919"/>
      <c r="C507" s="935"/>
      <c r="D507" s="885"/>
      <c r="E507" s="40" t="s">
        <v>819</v>
      </c>
      <c r="F507" s="928" t="s">
        <v>829</v>
      </c>
      <c r="G507" s="929"/>
      <c r="H507" s="929"/>
      <c r="I507" s="929"/>
      <c r="J507" s="929"/>
      <c r="K507" s="798"/>
      <c r="L507" s="798"/>
      <c r="M507" s="798"/>
      <c r="N507" s="885"/>
      <c r="O507" s="885"/>
      <c r="P507" s="798"/>
      <c r="Q507" s="798"/>
      <c r="R507" s="13"/>
      <c r="U507" s="1"/>
      <c r="V507" s="1"/>
      <c r="W507" s="26"/>
      <c r="X507" s="121"/>
      <c r="Y507" s="121"/>
      <c r="Z507" s="121"/>
      <c r="AA507" s="110"/>
      <c r="AB507" s="110" t="s">
        <v>388</v>
      </c>
      <c r="AC507" s="110" t="s">
        <v>389</v>
      </c>
      <c r="AD507" s="110" t="s">
        <v>390</v>
      </c>
    </row>
    <row r="508" spans="1:30" ht="52.25" hidden="1" customHeight="1" outlineLevel="3">
      <c r="A508" s="339" t="s">
        <v>113</v>
      </c>
      <c r="B508" s="340" t="s">
        <v>391</v>
      </c>
      <c r="C508" s="927" t="s">
        <v>356</v>
      </c>
      <c r="D508" s="333" t="str">
        <f>IF(SUMIF('INS Segmentation'!$AK$78:$AK$143,'Climate-Alignment Target'!AD508,'INS Segmentation'!$AL$78:$AL$143)&gt;0,"Climate-alignment target",IF(SUMIF('INS Segmentation'!$AK$78:$AK$143,'Climate-Alignment Target'!AD508,'INS Segmentation'!$AM$78:$AM$143)&gt;0,"Sector target","No target type selected"))</f>
        <v>No target type selected</v>
      </c>
      <c r="E508" s="557" cm="1">
        <f t="array" ref="E508">SUMPRODUCT(('INS Segmentation'!$M$78:$M$143=TRUE)*($AD508='INS Segmentation'!$AK$78:$AK$143)*('Climate-Alignment Target'!E$506='INS Segmentation'!$Q$77:$V$77)*('INS Segmentation'!$Q$78:$V$143))</f>
        <v>0</v>
      </c>
      <c r="F508" s="557" t="str" cm="1">
        <f t="array" ref="F508">IF($D508="Climate-alignment target",SUMPRODUCT(('INS Segmentation'!$M$78:$M$143=TRUE)*($AD508='INS Segmentation'!$AK$78:$AK$143)*('Climate-Alignment Target'!F$506='INS Segmentation'!$Q$77:$V$77)*('INS Segmentation'!$Q$78:$V$143)),"")</f>
        <v/>
      </c>
      <c r="G508" s="557" t="str" cm="1">
        <f t="array" ref="G508">IF($D508="Climate-alignment target",SUMPRODUCT(('INS Segmentation'!$M$78:$M$143=TRUE)*($AD508='INS Segmentation'!$AK$78:$AK$143)*('Climate-Alignment Target'!G$506='INS Segmentation'!$Q$77:$V$77)*('INS Segmentation'!$Q$78:$V$143)),"")</f>
        <v/>
      </c>
      <c r="H508" s="557" t="str" cm="1">
        <f t="array" ref="H508">IF($D508="Climate-alignment target",SUMPRODUCT(('INS Segmentation'!$M$78:$M$143=TRUE)*($AD508='INS Segmentation'!$AK$78:$AK$143)*('Climate-Alignment Target'!H$506='INS Segmentation'!$Q$77:$V$77)*('INS Segmentation'!$Q$78:$V$143)),"")</f>
        <v/>
      </c>
      <c r="I508" s="557" t="str" cm="1">
        <f t="array" ref="I508">IF($D508="Climate-alignment target",SUMPRODUCT(('INS Segmentation'!$M$78:$M$143=TRUE)*($AD508='INS Segmentation'!$AK$78:$AK$143)*('Climate-Alignment Target'!I$506='INS Segmentation'!$Q$77:$V$77)*('INS Segmentation'!$Q$78:$V$143)),"")</f>
        <v/>
      </c>
      <c r="J508" s="557" t="str" cm="1">
        <f t="array" ref="J508">IF($D508="Climate-alignment target",SUMPRODUCT(('INS Segmentation'!$M$78:$M$143=TRUE)*($AD508='INS Segmentation'!$AK$78:$AK$143)*('Climate-Alignment Target'!J$506='INS Segmentation'!$Q$77:$V$77)*('INS Segmentation'!$Q$78:$V$143)),"")</f>
        <v/>
      </c>
      <c r="K508" s="557" t="str">
        <f t="shared" ref="K508:K530" si="343">IF(D508&lt;&gt;"Climate-alignment target","",SUM(F508:J508))</f>
        <v/>
      </c>
      <c r="L508" s="557" t="str">
        <f>IF(AND(E508=K508,D508="Climate-alignment target"),"OK",IF(D508="Sector target","OK - covered by sector target",IF(AND(E508=0,D508="No target type selected"),"","Select a target type")))</f>
        <v/>
      </c>
      <c r="M508" s="562">
        <f t="shared" ref="M508:M525" si="344">IF(SUM(F508:J508)=0,0,SUM(H508:J508)/(SUM(F508:J508)))</f>
        <v>0</v>
      </c>
      <c r="N508" s="915"/>
      <c r="O508" s="563"/>
      <c r="P508" s="562" t="str">
        <f>IF(AND($D508="Climate-alignment target",$N$508&lt;&gt;""),IF(M508&gt;$Z508,M508,(M508+($Z508-M508)/($Y508-$I$466)*($N$508-$I$466))),"")</f>
        <v/>
      </c>
      <c r="Q508" s="560" t="str">
        <f>IF(O508="","",IF(O508-P508&gt;=0,"OK","Minimum ambition not met, please increase ambition"))</f>
        <v/>
      </c>
      <c r="R508" s="16"/>
      <c r="U508" s="1"/>
      <c r="V508" s="1"/>
      <c r="W508" s="26"/>
      <c r="X508" s="113" t="s">
        <v>368</v>
      </c>
      <c r="Y508" s="113">
        <f t="shared" ref="Y508:Y530" si="345">_xlfn.XLOOKUP($X508,$AB$17:$AB$24,AE$17:AE$24,0,0)</f>
        <v>2035</v>
      </c>
      <c r="Z508" s="113">
        <f t="shared" ref="Z508:Z530" si="346">_xlfn.XLOOKUP($X508,$AB$17:$AB$24,AF$17:AF$24,0,0)</f>
        <v>0.95</v>
      </c>
      <c r="AA508" s="121"/>
      <c r="AB508" s="121" t="str">
        <f>IF($D508&lt;&gt;"Climate-alignment target","",O508*K508)</f>
        <v/>
      </c>
      <c r="AC508" s="121" t="str">
        <f>IF($D508&lt;&gt;"Climate-alignment target","",K508)</f>
        <v/>
      </c>
      <c r="AD508" s="107" t="s">
        <v>171</v>
      </c>
    </row>
    <row r="509" spans="1:30" ht="52.25" hidden="1" customHeight="1" outlineLevel="3">
      <c r="A509" s="339" t="s">
        <v>113</v>
      </c>
      <c r="B509" s="340" t="s">
        <v>392</v>
      </c>
      <c r="C509" s="927"/>
      <c r="D509" s="333" t="str">
        <f>IF(SUMIF('INS Segmentation'!$AK$78:$AK$143,'Climate-Alignment Target'!AD509,'INS Segmentation'!$AL$78:$AL$143)&gt;0,"Climate-alignment target",IF(SUMIF('INS Segmentation'!$AK$78:$AK$143,'Climate-Alignment Target'!AD509,'INS Segmentation'!$AM$78:$AM$143)&gt;0,"Sector target","No target type selected"))</f>
        <v>No target type selected</v>
      </c>
      <c r="E509" s="557" cm="1">
        <f t="array" ref="E509">SUMPRODUCT(('INS Segmentation'!$M$78:$M$143=TRUE)*($AD509='INS Segmentation'!$AK$78:$AK$143)*('Climate-Alignment Target'!E$506='INS Segmentation'!$Q$77:$V$77)*('INS Segmentation'!$Q$78:$V$143))</f>
        <v>0</v>
      </c>
      <c r="F509" s="557" t="str" cm="1">
        <f t="array" ref="F509">IF($D509="Climate-alignment target",SUMPRODUCT(('INS Segmentation'!$M$78:$M$143=TRUE)*($AD509='INS Segmentation'!$AK$78:$AK$143)*('Climate-Alignment Target'!F$506='INS Segmentation'!$Q$77:$V$77)*('INS Segmentation'!$Q$78:$V$143)),"")</f>
        <v/>
      </c>
      <c r="G509" s="557" t="str" cm="1">
        <f t="array" ref="G509">IF($D509="Climate-alignment target",SUMPRODUCT(('INS Segmentation'!$M$78:$M$143=TRUE)*($AD509='INS Segmentation'!$AK$78:$AK$143)*('Climate-Alignment Target'!G$506='INS Segmentation'!$Q$77:$V$77)*('INS Segmentation'!$Q$78:$V$143)),"")</f>
        <v/>
      </c>
      <c r="H509" s="557" t="str" cm="1">
        <f t="array" ref="H509">IF($D509="Climate-alignment target",SUMPRODUCT(('INS Segmentation'!$M$78:$M$143=TRUE)*($AD509='INS Segmentation'!$AK$78:$AK$143)*('Climate-Alignment Target'!H$506='INS Segmentation'!$Q$77:$V$77)*('INS Segmentation'!$Q$78:$V$143)),"")</f>
        <v/>
      </c>
      <c r="I509" s="557" t="str" cm="1">
        <f t="array" ref="I509">IF($D509="Climate-alignment target",SUMPRODUCT(('INS Segmentation'!$M$78:$M$143=TRUE)*($AD509='INS Segmentation'!$AK$78:$AK$143)*('Climate-Alignment Target'!I$506='INS Segmentation'!$Q$77:$V$77)*('INS Segmentation'!$Q$78:$V$143)),"")</f>
        <v/>
      </c>
      <c r="J509" s="557" t="str" cm="1">
        <f t="array" ref="J509">IF($D509="Climate-alignment target",SUMPRODUCT(('INS Segmentation'!$M$78:$M$143=TRUE)*($AD509='INS Segmentation'!$AK$78:$AK$143)*('Climate-Alignment Target'!J$506='INS Segmentation'!$Q$77:$V$77)*('INS Segmentation'!$Q$78:$V$143)),"")</f>
        <v/>
      </c>
      <c r="K509" s="557" t="str">
        <f t="shared" si="343"/>
        <v/>
      </c>
      <c r="L509" s="557" t="str">
        <f t="shared" ref="L509:L530" si="347">IF(AND(E509=K509,D509="Climate-alignment target"),"OK",IF(D509="Sector target","OK - covered by sector target",IF(AND(E509=0,D509="No target type selected"),"","Select a target type")))</f>
        <v/>
      </c>
      <c r="M509" s="562">
        <f t="shared" si="344"/>
        <v>0</v>
      </c>
      <c r="N509" s="915"/>
      <c r="O509" s="563"/>
      <c r="P509" s="562" t="str">
        <f t="shared" ref="P509:P530" si="348">IF(AND($D509="Climate-alignment target",$N$508&lt;&gt;""),IF(M509&gt;$Z509,M509,(M509+($Z509-M509)/($Y509-$I$466)*($N$508-$I$466))),"")</f>
        <v/>
      </c>
      <c r="Q509" s="560" t="str">
        <f t="shared" ref="Q509:Q530" si="349">IF(O509="","",IF(O509-P509&gt;=0,"OK","Minimum ambition not met, please increase ambition"))</f>
        <v/>
      </c>
      <c r="R509" s="16"/>
      <c r="U509" s="1"/>
      <c r="V509" s="1"/>
      <c r="W509" s="26"/>
      <c r="X509" s="113" t="s">
        <v>368</v>
      </c>
      <c r="Y509" s="113">
        <f t="shared" si="345"/>
        <v>2035</v>
      </c>
      <c r="Z509" s="113">
        <f t="shared" si="346"/>
        <v>0.95</v>
      </c>
      <c r="AA509" s="121"/>
      <c r="AB509" s="121" t="str">
        <f t="shared" ref="AB509:AB530" si="350">IF($D509&lt;&gt;"Climate-alignment target","",O509*K509)</f>
        <v/>
      </c>
      <c r="AC509" s="121" t="str">
        <f t="shared" ref="AC509:AC530" si="351">IF($D509&lt;&gt;"Climate-alignment target","",K509)</f>
        <v/>
      </c>
      <c r="AD509" s="107" t="s">
        <v>172</v>
      </c>
    </row>
    <row r="510" spans="1:30" ht="52.25" hidden="1" customHeight="1" outlineLevel="3">
      <c r="A510" s="339" t="s">
        <v>121</v>
      </c>
      <c r="B510" s="340" t="s">
        <v>120</v>
      </c>
      <c r="C510" s="927"/>
      <c r="D510" s="333" t="str">
        <f>IF(SUMIF('INS Segmentation'!$AK$78:$AK$143,'Climate-Alignment Target'!AD510,'INS Segmentation'!$AL$78:$AL$143)&gt;0,"Climate-alignment target",IF(SUMIF('INS Segmentation'!$AK$78:$AK$143,'Climate-Alignment Target'!AD510,'INS Segmentation'!$AM$78:$AM$143)&gt;0,"Sector target","No target type selected"))</f>
        <v>No target type selected</v>
      </c>
      <c r="E510" s="557" cm="1">
        <f t="array" ref="E510">SUMPRODUCT(('INS Segmentation'!$M$78:$M$143=TRUE)*($AD510='INS Segmentation'!$AK$78:$AK$143)*('Climate-Alignment Target'!E$506='INS Segmentation'!$Q$77:$V$77)*('INS Segmentation'!$Q$78:$V$143))</f>
        <v>0</v>
      </c>
      <c r="F510" s="557" t="str" cm="1">
        <f t="array" ref="F510">IF($D510="Climate-alignment target",SUMPRODUCT(('INS Segmentation'!$M$78:$M$143=TRUE)*($AD510='INS Segmentation'!$AK$78:$AK$143)*('Climate-Alignment Target'!F$506='INS Segmentation'!$Q$77:$V$77)*('INS Segmentation'!$Q$78:$V$143)),"")</f>
        <v/>
      </c>
      <c r="G510" s="557" t="str" cm="1">
        <f t="array" ref="G510">IF($D510="Climate-alignment target",SUMPRODUCT(('INS Segmentation'!$M$78:$M$143=TRUE)*($AD510='INS Segmentation'!$AK$78:$AK$143)*('Climate-Alignment Target'!G$506='INS Segmentation'!$Q$77:$V$77)*('INS Segmentation'!$Q$78:$V$143)),"")</f>
        <v/>
      </c>
      <c r="H510" s="557" t="str" cm="1">
        <f t="array" ref="H510">IF($D510="Climate-alignment target",SUMPRODUCT(('INS Segmentation'!$M$78:$M$143=TRUE)*($AD510='INS Segmentation'!$AK$78:$AK$143)*('Climate-Alignment Target'!H$506='INS Segmentation'!$Q$77:$V$77)*('INS Segmentation'!$Q$78:$V$143)),"")</f>
        <v/>
      </c>
      <c r="I510" s="557" t="str" cm="1">
        <f t="array" ref="I510">IF($D510="Climate-alignment target",SUMPRODUCT(('INS Segmentation'!$M$78:$M$143=TRUE)*($AD510='INS Segmentation'!$AK$78:$AK$143)*('Climate-Alignment Target'!I$506='INS Segmentation'!$Q$77:$V$77)*('INS Segmentation'!$Q$78:$V$143)),"")</f>
        <v/>
      </c>
      <c r="J510" s="557" t="str" cm="1">
        <f t="array" ref="J510">IF($D510="Climate-alignment target",SUMPRODUCT(('INS Segmentation'!$M$78:$M$143=TRUE)*($AD510='INS Segmentation'!$AK$78:$AK$143)*('Climate-Alignment Target'!J$506='INS Segmentation'!$Q$77:$V$77)*('INS Segmentation'!$Q$78:$V$143)),"")</f>
        <v/>
      </c>
      <c r="K510" s="557" t="str">
        <f t="shared" si="343"/>
        <v/>
      </c>
      <c r="L510" s="557" t="str">
        <f t="shared" si="347"/>
        <v/>
      </c>
      <c r="M510" s="562">
        <f t="shared" si="344"/>
        <v>0</v>
      </c>
      <c r="N510" s="915"/>
      <c r="O510" s="563"/>
      <c r="P510" s="562" t="str">
        <f t="shared" si="348"/>
        <v/>
      </c>
      <c r="Q510" s="560" t="str">
        <f t="shared" si="349"/>
        <v/>
      </c>
      <c r="R510" s="16"/>
      <c r="U510" s="1"/>
      <c r="V510" s="1"/>
      <c r="W510" s="26"/>
      <c r="X510" s="113" t="s">
        <v>373</v>
      </c>
      <c r="Y510" s="113">
        <f t="shared" si="345"/>
        <v>2040</v>
      </c>
      <c r="Z510" s="113">
        <f t="shared" si="346"/>
        <v>0.95</v>
      </c>
      <c r="AA510" s="121"/>
      <c r="AB510" s="121" t="str">
        <f t="shared" si="350"/>
        <v/>
      </c>
      <c r="AC510" s="121" t="str">
        <f t="shared" si="351"/>
        <v/>
      </c>
      <c r="AD510" s="107" t="s">
        <v>173</v>
      </c>
    </row>
    <row r="511" spans="1:30" ht="52.25" hidden="1" customHeight="1" outlineLevel="3">
      <c r="A511" s="340" t="s">
        <v>121</v>
      </c>
      <c r="B511" s="340" t="s">
        <v>393</v>
      </c>
      <c r="C511" s="927"/>
      <c r="D511" s="333" t="str">
        <f>IF(SUMIF('INS Segmentation'!$AK$78:$AK$143,'Climate-Alignment Target'!AD511,'INS Segmentation'!$AL$78:$AL$143)&gt;0,"Climate-alignment target",IF(SUMIF('INS Segmentation'!$AK$78:$AK$143,'Climate-Alignment Target'!AD511,'INS Segmentation'!$AM$78:$AM$143)&gt;0,"Sector target","No target type selected"))</f>
        <v>No target type selected</v>
      </c>
      <c r="E511" s="557" cm="1">
        <f t="array" ref="E511">SUMPRODUCT(('INS Segmentation'!$M$78:$M$143=TRUE)*($AD511='INS Segmentation'!$AK$78:$AK$143)*('Climate-Alignment Target'!E$506='INS Segmentation'!$Q$77:$V$77)*('INS Segmentation'!$Q$78:$V$143))</f>
        <v>0</v>
      </c>
      <c r="F511" s="557" t="str" cm="1">
        <f t="array" ref="F511">IF($D511="Climate-alignment target",SUMPRODUCT(('INS Segmentation'!$M$78:$M$143=TRUE)*($AD511='INS Segmentation'!$AK$78:$AK$143)*('Climate-Alignment Target'!F$506='INS Segmentation'!$Q$77:$V$77)*('INS Segmentation'!$Q$78:$V$143)),"")</f>
        <v/>
      </c>
      <c r="G511" s="557" t="str" cm="1">
        <f t="array" ref="G511">IF($D511="Climate-alignment target",SUMPRODUCT(('INS Segmentation'!$M$78:$M$143=TRUE)*($AD511='INS Segmentation'!$AK$78:$AK$143)*('Climate-Alignment Target'!G$506='INS Segmentation'!$Q$77:$V$77)*('INS Segmentation'!$Q$78:$V$143)),"")</f>
        <v/>
      </c>
      <c r="H511" s="557" t="str" cm="1">
        <f t="array" ref="H511">IF($D511="Climate-alignment target",SUMPRODUCT(('INS Segmentation'!$M$78:$M$143=TRUE)*($AD511='INS Segmentation'!$AK$78:$AK$143)*('Climate-Alignment Target'!H$506='INS Segmentation'!$Q$77:$V$77)*('INS Segmentation'!$Q$78:$V$143)),"")</f>
        <v/>
      </c>
      <c r="I511" s="557" t="str" cm="1">
        <f t="array" ref="I511">IF($D511="Climate-alignment target",SUMPRODUCT(('INS Segmentation'!$M$78:$M$143=TRUE)*($AD511='INS Segmentation'!$AK$78:$AK$143)*('Climate-Alignment Target'!I$506='INS Segmentation'!$Q$77:$V$77)*('INS Segmentation'!$Q$78:$V$143)),"")</f>
        <v/>
      </c>
      <c r="J511" s="557" t="str" cm="1">
        <f t="array" ref="J511">IF($D511="Climate-alignment target",SUMPRODUCT(('INS Segmentation'!$M$78:$M$143=TRUE)*($AD511='INS Segmentation'!$AK$78:$AK$143)*('Climate-Alignment Target'!J$506='INS Segmentation'!$Q$77:$V$77)*('INS Segmentation'!$Q$78:$V$143)),"")</f>
        <v/>
      </c>
      <c r="K511" s="557" t="str">
        <f t="shared" si="343"/>
        <v/>
      </c>
      <c r="L511" s="557" t="str">
        <f t="shared" si="347"/>
        <v/>
      </c>
      <c r="M511" s="562">
        <f t="shared" si="344"/>
        <v>0</v>
      </c>
      <c r="N511" s="915"/>
      <c r="O511" s="563"/>
      <c r="P511" s="562" t="str">
        <f t="shared" si="348"/>
        <v/>
      </c>
      <c r="Q511" s="560" t="str">
        <f t="shared" si="349"/>
        <v/>
      </c>
      <c r="R511" s="16"/>
      <c r="U511" s="1"/>
      <c r="V511" s="1"/>
      <c r="W511" s="26"/>
      <c r="X511" s="113" t="s">
        <v>373</v>
      </c>
      <c r="Y511" s="113">
        <f t="shared" si="345"/>
        <v>2040</v>
      </c>
      <c r="Z511" s="113">
        <f t="shared" si="346"/>
        <v>0.95</v>
      </c>
      <c r="AA511" s="121"/>
      <c r="AB511" s="121" t="str">
        <f t="shared" si="350"/>
        <v/>
      </c>
      <c r="AC511" s="121" t="str">
        <f t="shared" si="351"/>
        <v/>
      </c>
      <c r="AD511" s="107" t="s">
        <v>178</v>
      </c>
    </row>
    <row r="512" spans="1:30" ht="52.25" hidden="1" customHeight="1" outlineLevel="3">
      <c r="A512" s="340" t="s">
        <v>136</v>
      </c>
      <c r="B512" s="340" t="s">
        <v>393</v>
      </c>
      <c r="C512" s="927"/>
      <c r="D512" s="333" t="str">
        <f>IF(SUMIF('INS Segmentation'!$AK$78:$AK$143,'Climate-Alignment Target'!AD512,'INS Segmentation'!$AL$78:$AL$143)&gt;0,"Climate-alignment target",IF(SUMIF('INS Segmentation'!$AK$78:$AK$143,'Climate-Alignment Target'!AD512,'INS Segmentation'!$AM$78:$AM$143)&gt;0,"Sector target","No target type selected"))</f>
        <v>No target type selected</v>
      </c>
      <c r="E512" s="557" cm="1">
        <f t="array" ref="E512">SUMPRODUCT(('INS Segmentation'!$M$78:$M$143=TRUE)*($AD512='INS Segmentation'!$AK$78:$AK$143)*('Climate-Alignment Target'!E$506='INS Segmentation'!$Q$77:$V$77)*('INS Segmentation'!$Q$78:$V$143))</f>
        <v>0</v>
      </c>
      <c r="F512" s="557" t="str" cm="1">
        <f t="array" ref="F512">IF($D512="Climate-alignment target",SUMPRODUCT(('INS Segmentation'!$M$78:$M$143=TRUE)*($AD512='INS Segmentation'!$AK$78:$AK$143)*('Climate-Alignment Target'!F$506='INS Segmentation'!$Q$77:$V$77)*('INS Segmentation'!$Q$78:$V$143)),"")</f>
        <v/>
      </c>
      <c r="G512" s="557" t="str" cm="1">
        <f t="array" ref="G512">IF($D512="Climate-alignment target",SUMPRODUCT(('INS Segmentation'!$M$78:$M$143=TRUE)*($AD512='INS Segmentation'!$AK$78:$AK$143)*('Climate-Alignment Target'!G$506='INS Segmentation'!$Q$77:$V$77)*('INS Segmentation'!$Q$78:$V$143)),"")</f>
        <v/>
      </c>
      <c r="H512" s="557" t="str" cm="1">
        <f t="array" ref="H512">IF($D512="Climate-alignment target",SUMPRODUCT(('INS Segmentation'!$M$78:$M$143=TRUE)*($AD512='INS Segmentation'!$AK$78:$AK$143)*('Climate-Alignment Target'!H$506='INS Segmentation'!$Q$77:$V$77)*('INS Segmentation'!$Q$78:$V$143)),"")</f>
        <v/>
      </c>
      <c r="I512" s="557" t="str" cm="1">
        <f t="array" ref="I512">IF($D512="Climate-alignment target",SUMPRODUCT(('INS Segmentation'!$M$78:$M$143=TRUE)*($AD512='INS Segmentation'!$AK$78:$AK$143)*('Climate-Alignment Target'!I$506='INS Segmentation'!$Q$77:$V$77)*('INS Segmentation'!$Q$78:$V$143)),"")</f>
        <v/>
      </c>
      <c r="J512" s="557" t="str" cm="1">
        <f t="array" ref="J512">IF($D512="Climate-alignment target",SUMPRODUCT(('INS Segmentation'!$M$78:$M$143=TRUE)*($AD512='INS Segmentation'!$AK$78:$AK$143)*('Climate-Alignment Target'!J$506='INS Segmentation'!$Q$77:$V$77)*('INS Segmentation'!$Q$78:$V$143)),"")</f>
        <v/>
      </c>
      <c r="K512" s="557" t="str">
        <f t="shared" si="343"/>
        <v/>
      </c>
      <c r="L512" s="557" t="str">
        <f t="shared" si="347"/>
        <v/>
      </c>
      <c r="M512" s="562">
        <f t="shared" si="344"/>
        <v>0</v>
      </c>
      <c r="N512" s="915"/>
      <c r="O512" s="563"/>
      <c r="P512" s="562" t="str">
        <f t="shared" si="348"/>
        <v/>
      </c>
      <c r="Q512" s="560" t="str">
        <f t="shared" si="349"/>
        <v/>
      </c>
      <c r="R512" s="16"/>
      <c r="U512" s="1"/>
      <c r="V512" s="1"/>
      <c r="W512" s="26"/>
      <c r="X512" s="113" t="s">
        <v>378</v>
      </c>
      <c r="Y512" s="113">
        <f t="shared" si="345"/>
        <v>2050</v>
      </c>
      <c r="Z512" s="113">
        <f t="shared" si="346"/>
        <v>0.95</v>
      </c>
      <c r="AA512" s="121"/>
      <c r="AB512" s="121" t="str">
        <f t="shared" si="350"/>
        <v/>
      </c>
      <c r="AC512" s="121" t="str">
        <f t="shared" si="351"/>
        <v/>
      </c>
      <c r="AD512" s="107" t="s">
        <v>216</v>
      </c>
    </row>
    <row r="513" spans="1:30" ht="52.25" hidden="1" customHeight="1" outlineLevel="3">
      <c r="A513" s="340" t="s">
        <v>121</v>
      </c>
      <c r="B513" s="340" t="s">
        <v>394</v>
      </c>
      <c r="C513" s="927"/>
      <c r="D513" s="333" t="str">
        <f>IF(SUMIF('INS Segmentation'!$AK$78:$AK$143,'Climate-Alignment Target'!AD513,'INS Segmentation'!$AL$78:$AL$143)&gt;0,"Climate-alignment target",IF(SUMIF('INS Segmentation'!$AK$78:$AK$143,'Climate-Alignment Target'!AD513,'INS Segmentation'!$AM$78:$AM$143)&gt;0,"Sector target","No target type selected"))</f>
        <v>No target type selected</v>
      </c>
      <c r="E513" s="557" cm="1">
        <f t="array" ref="E513">SUMPRODUCT(('INS Segmentation'!$M$78:$M$143=TRUE)*($AD513='INS Segmentation'!$AK$78:$AK$143)*('Climate-Alignment Target'!E$506='INS Segmentation'!$Q$77:$V$77)*('INS Segmentation'!$Q$78:$V$143))</f>
        <v>0</v>
      </c>
      <c r="F513" s="557" t="str" cm="1">
        <f t="array" ref="F513">IF($D513="Climate-alignment target",SUMPRODUCT(('INS Segmentation'!$M$78:$M$143=TRUE)*($AD513='INS Segmentation'!$AK$78:$AK$143)*('Climate-Alignment Target'!F$506='INS Segmentation'!$Q$77:$V$77)*('INS Segmentation'!$Q$78:$V$143)),"")</f>
        <v/>
      </c>
      <c r="G513" s="557" t="str" cm="1">
        <f t="array" ref="G513">IF($D513="Climate-alignment target",SUMPRODUCT(('INS Segmentation'!$M$78:$M$143=TRUE)*($AD513='INS Segmentation'!$AK$78:$AK$143)*('Climate-Alignment Target'!G$506='INS Segmentation'!$Q$77:$V$77)*('INS Segmentation'!$Q$78:$V$143)),"")</f>
        <v/>
      </c>
      <c r="H513" s="557" t="str" cm="1">
        <f t="array" ref="H513">IF($D513="Climate-alignment target",SUMPRODUCT(('INS Segmentation'!$M$78:$M$143=TRUE)*($AD513='INS Segmentation'!$AK$78:$AK$143)*('Climate-Alignment Target'!H$506='INS Segmentation'!$Q$77:$V$77)*('INS Segmentation'!$Q$78:$V$143)),"")</f>
        <v/>
      </c>
      <c r="I513" s="557" t="str" cm="1">
        <f t="array" ref="I513">IF($D513="Climate-alignment target",SUMPRODUCT(('INS Segmentation'!$M$78:$M$143=TRUE)*($AD513='INS Segmentation'!$AK$78:$AK$143)*('Climate-Alignment Target'!I$506='INS Segmentation'!$Q$77:$V$77)*('INS Segmentation'!$Q$78:$V$143)),"")</f>
        <v/>
      </c>
      <c r="J513" s="557" t="str" cm="1">
        <f t="array" ref="J513">IF($D513="Climate-alignment target",SUMPRODUCT(('INS Segmentation'!$M$78:$M$143=TRUE)*($AD513='INS Segmentation'!$AK$78:$AK$143)*('Climate-Alignment Target'!J$506='INS Segmentation'!$Q$77:$V$77)*('INS Segmentation'!$Q$78:$V$143)),"")</f>
        <v/>
      </c>
      <c r="K513" s="557" t="str">
        <f t="shared" si="343"/>
        <v/>
      </c>
      <c r="L513" s="557" t="str">
        <f t="shared" si="347"/>
        <v/>
      </c>
      <c r="M513" s="562">
        <f t="shared" si="344"/>
        <v>0</v>
      </c>
      <c r="N513" s="915"/>
      <c r="O513" s="563"/>
      <c r="P513" s="562" t="str">
        <f t="shared" si="348"/>
        <v/>
      </c>
      <c r="Q513" s="560" t="str">
        <f t="shared" si="349"/>
        <v/>
      </c>
      <c r="R513" s="16"/>
      <c r="U513" s="1"/>
      <c r="V513" s="1"/>
      <c r="W513" s="26"/>
      <c r="X513" s="113" t="s">
        <v>373</v>
      </c>
      <c r="Y513" s="113">
        <f t="shared" si="345"/>
        <v>2040</v>
      </c>
      <c r="Z513" s="113">
        <f t="shared" si="346"/>
        <v>0.95</v>
      </c>
      <c r="AA513" s="121"/>
      <c r="AB513" s="121" t="str">
        <f t="shared" si="350"/>
        <v/>
      </c>
      <c r="AC513" s="121" t="str">
        <f t="shared" si="351"/>
        <v/>
      </c>
      <c r="AD513" s="107" t="s">
        <v>182</v>
      </c>
    </row>
    <row r="514" spans="1:30" ht="52.25" hidden="1" customHeight="1" outlineLevel="3">
      <c r="A514" s="340" t="s">
        <v>136</v>
      </c>
      <c r="B514" s="340" t="s">
        <v>394</v>
      </c>
      <c r="C514" s="927"/>
      <c r="D514" s="333" t="str">
        <f>IF(SUMIF('INS Segmentation'!$AK$78:$AK$143,'Climate-Alignment Target'!AD514,'INS Segmentation'!$AL$78:$AL$143)&gt;0,"Climate-alignment target",IF(SUMIF('INS Segmentation'!$AK$78:$AK$143,'Climate-Alignment Target'!AD514,'INS Segmentation'!$AM$78:$AM$143)&gt;0,"Sector target","No target type selected"))</f>
        <v>No target type selected</v>
      </c>
      <c r="E514" s="557" cm="1">
        <f t="array" ref="E514">SUMPRODUCT(('INS Segmentation'!$M$78:$M$143=TRUE)*($AD514='INS Segmentation'!$AK$78:$AK$143)*('Climate-Alignment Target'!E$506='INS Segmentation'!$Q$77:$V$77)*('INS Segmentation'!$Q$78:$V$143))</f>
        <v>0</v>
      </c>
      <c r="F514" s="557" t="str" cm="1">
        <f t="array" ref="F514">IF($D514="Climate-alignment target",SUMPRODUCT(('INS Segmentation'!$M$78:$M$143=TRUE)*($AD514='INS Segmentation'!$AK$78:$AK$143)*('Climate-Alignment Target'!F$506='INS Segmentation'!$Q$77:$V$77)*('INS Segmentation'!$Q$78:$V$143)),"")</f>
        <v/>
      </c>
      <c r="G514" s="557" t="str" cm="1">
        <f t="array" ref="G514">IF($D514="Climate-alignment target",SUMPRODUCT(('INS Segmentation'!$M$78:$M$143=TRUE)*($AD514='INS Segmentation'!$AK$78:$AK$143)*('Climate-Alignment Target'!G$506='INS Segmentation'!$Q$77:$V$77)*('INS Segmentation'!$Q$78:$V$143)),"")</f>
        <v/>
      </c>
      <c r="H514" s="557" t="str" cm="1">
        <f t="array" ref="H514">IF($D514="Climate-alignment target",SUMPRODUCT(('INS Segmentation'!$M$78:$M$143=TRUE)*($AD514='INS Segmentation'!$AK$78:$AK$143)*('Climate-Alignment Target'!H$506='INS Segmentation'!$Q$77:$V$77)*('INS Segmentation'!$Q$78:$V$143)),"")</f>
        <v/>
      </c>
      <c r="I514" s="557" t="str" cm="1">
        <f t="array" ref="I514">IF($D514="Climate-alignment target",SUMPRODUCT(('INS Segmentation'!$M$78:$M$143=TRUE)*($AD514='INS Segmentation'!$AK$78:$AK$143)*('Climate-Alignment Target'!I$506='INS Segmentation'!$Q$77:$V$77)*('INS Segmentation'!$Q$78:$V$143)),"")</f>
        <v/>
      </c>
      <c r="J514" s="557" t="str" cm="1">
        <f t="array" ref="J514">IF($D514="Climate-alignment target",SUMPRODUCT(('INS Segmentation'!$M$78:$M$143=TRUE)*($AD514='INS Segmentation'!$AK$78:$AK$143)*('Climate-Alignment Target'!J$506='INS Segmentation'!$Q$77:$V$77)*('INS Segmentation'!$Q$78:$V$143)),"")</f>
        <v/>
      </c>
      <c r="K514" s="557" t="str">
        <f t="shared" si="343"/>
        <v/>
      </c>
      <c r="L514" s="557" t="str">
        <f t="shared" si="347"/>
        <v/>
      </c>
      <c r="M514" s="562">
        <f t="shared" si="344"/>
        <v>0</v>
      </c>
      <c r="N514" s="915"/>
      <c r="O514" s="563"/>
      <c r="P514" s="562" t="str">
        <f t="shared" si="348"/>
        <v/>
      </c>
      <c r="Q514" s="560" t="str">
        <f t="shared" si="349"/>
        <v/>
      </c>
      <c r="R514" s="16"/>
      <c r="U514" s="1"/>
      <c r="V514" s="1"/>
      <c r="W514" s="26"/>
      <c r="X514" s="113" t="s">
        <v>378</v>
      </c>
      <c r="Y514" s="113">
        <f t="shared" si="345"/>
        <v>2050</v>
      </c>
      <c r="Z514" s="113">
        <f t="shared" si="346"/>
        <v>0.95</v>
      </c>
      <c r="AA514" s="121"/>
      <c r="AB514" s="121" t="str">
        <f t="shared" si="350"/>
        <v/>
      </c>
      <c r="AC514" s="121" t="str">
        <f t="shared" si="351"/>
        <v/>
      </c>
      <c r="AD514" s="107" t="s">
        <v>218</v>
      </c>
    </row>
    <row r="515" spans="1:30" ht="52.25" hidden="1" customHeight="1" outlineLevel="3">
      <c r="A515" s="340" t="s">
        <v>121</v>
      </c>
      <c r="B515" s="340" t="s">
        <v>395</v>
      </c>
      <c r="C515" s="927"/>
      <c r="D515" s="333" t="str">
        <f>IF(SUMIF('INS Segmentation'!$AK$78:$AK$143,'Climate-Alignment Target'!AD515,'INS Segmentation'!$AL$78:$AL$143)&gt;0,"Climate-alignment target",IF(SUMIF('INS Segmentation'!$AK$78:$AK$143,'Climate-Alignment Target'!AD515,'INS Segmentation'!$AM$78:$AM$143)&gt;0,"Sector target","No target type selected"))</f>
        <v>No target type selected</v>
      </c>
      <c r="E515" s="557" cm="1">
        <f t="array" ref="E515">SUMPRODUCT(('INS Segmentation'!$M$78:$M$143=TRUE)*($AD515='INS Segmentation'!$AK$78:$AK$143)*('Climate-Alignment Target'!E$506='INS Segmentation'!$Q$77:$V$77)*('INS Segmentation'!$Q$78:$V$143))</f>
        <v>0</v>
      </c>
      <c r="F515" s="557" t="str" cm="1">
        <f t="array" ref="F515">IF($D515="Climate-alignment target",SUMPRODUCT(('INS Segmentation'!$M$78:$M$143=TRUE)*($AD515='INS Segmentation'!$AK$78:$AK$143)*('Climate-Alignment Target'!F$506='INS Segmentation'!$Q$77:$V$77)*('INS Segmentation'!$Q$78:$V$143)),"")</f>
        <v/>
      </c>
      <c r="G515" s="557" t="str" cm="1">
        <f t="array" ref="G515">IF($D515="Climate-alignment target",SUMPRODUCT(('INS Segmentation'!$M$78:$M$143=TRUE)*($AD515='INS Segmentation'!$AK$78:$AK$143)*('Climate-Alignment Target'!G$506='INS Segmentation'!$Q$77:$V$77)*('INS Segmentation'!$Q$78:$V$143)),"")</f>
        <v/>
      </c>
      <c r="H515" s="557" t="str" cm="1">
        <f t="array" ref="H515">IF($D515="Climate-alignment target",SUMPRODUCT(('INS Segmentation'!$M$78:$M$143=TRUE)*($AD515='INS Segmentation'!$AK$78:$AK$143)*('Climate-Alignment Target'!H$506='INS Segmentation'!$Q$77:$V$77)*('INS Segmentation'!$Q$78:$V$143)),"")</f>
        <v/>
      </c>
      <c r="I515" s="557" t="str" cm="1">
        <f t="array" ref="I515">IF($D515="Climate-alignment target",SUMPRODUCT(('INS Segmentation'!$M$78:$M$143=TRUE)*($AD515='INS Segmentation'!$AK$78:$AK$143)*('Climate-Alignment Target'!I$506='INS Segmentation'!$Q$77:$V$77)*('INS Segmentation'!$Q$78:$V$143)),"")</f>
        <v/>
      </c>
      <c r="J515" s="557" t="str" cm="1">
        <f t="array" ref="J515">IF($D515="Climate-alignment target",SUMPRODUCT(('INS Segmentation'!$M$78:$M$143=TRUE)*($AD515='INS Segmentation'!$AK$78:$AK$143)*('Climate-Alignment Target'!J$506='INS Segmentation'!$Q$77:$V$77)*('INS Segmentation'!$Q$78:$V$143)),"")</f>
        <v/>
      </c>
      <c r="K515" s="557" t="str">
        <f t="shared" si="343"/>
        <v/>
      </c>
      <c r="L515" s="557" t="str">
        <f t="shared" si="347"/>
        <v/>
      </c>
      <c r="M515" s="562">
        <f t="shared" si="344"/>
        <v>0</v>
      </c>
      <c r="N515" s="915"/>
      <c r="O515" s="563"/>
      <c r="P515" s="562" t="str">
        <f t="shared" si="348"/>
        <v/>
      </c>
      <c r="Q515" s="560" t="str">
        <f t="shared" si="349"/>
        <v/>
      </c>
      <c r="R515" s="16"/>
      <c r="U515" s="1"/>
      <c r="V515" s="1"/>
      <c r="W515" s="26"/>
      <c r="X515" s="113" t="s">
        <v>373</v>
      </c>
      <c r="Y515" s="113">
        <f t="shared" si="345"/>
        <v>2040</v>
      </c>
      <c r="Z515" s="113">
        <f t="shared" si="346"/>
        <v>0.95</v>
      </c>
      <c r="AA515" s="121"/>
      <c r="AB515" s="121" t="str">
        <f t="shared" si="350"/>
        <v/>
      </c>
      <c r="AC515" s="121" t="str">
        <f t="shared" si="351"/>
        <v/>
      </c>
      <c r="AD515" s="107" t="s">
        <v>187</v>
      </c>
    </row>
    <row r="516" spans="1:30" ht="52.25" hidden="1" customHeight="1" outlineLevel="3">
      <c r="A516" s="340" t="s">
        <v>136</v>
      </c>
      <c r="B516" s="340" t="s">
        <v>395</v>
      </c>
      <c r="C516" s="927"/>
      <c r="D516" s="333" t="str">
        <f>IF(SUMIF('INS Segmentation'!$AK$78:$AK$143,'Climate-Alignment Target'!AD516,'INS Segmentation'!$AL$78:$AL$143)&gt;0,"Climate-alignment target",IF(SUMIF('INS Segmentation'!$AK$78:$AK$143,'Climate-Alignment Target'!AD516,'INS Segmentation'!$AM$78:$AM$143)&gt;0,"Sector target","No target type selected"))</f>
        <v>No target type selected</v>
      </c>
      <c r="E516" s="557" cm="1">
        <f t="array" ref="E516">SUMPRODUCT(('INS Segmentation'!$M$78:$M$143=TRUE)*($AD516='INS Segmentation'!$AK$78:$AK$143)*('Climate-Alignment Target'!E$506='INS Segmentation'!$Q$77:$V$77)*('INS Segmentation'!$Q$78:$V$143))</f>
        <v>0</v>
      </c>
      <c r="F516" s="557" t="str" cm="1">
        <f t="array" ref="F516">IF($D516="Climate-alignment target",SUMPRODUCT(('INS Segmentation'!$M$78:$M$143=TRUE)*($AD516='INS Segmentation'!$AK$78:$AK$143)*('Climate-Alignment Target'!F$506='INS Segmentation'!$Q$77:$V$77)*('INS Segmentation'!$Q$78:$V$143)),"")</f>
        <v/>
      </c>
      <c r="G516" s="557" t="str" cm="1">
        <f t="array" ref="G516">IF($D516="Climate-alignment target",SUMPRODUCT(('INS Segmentation'!$M$78:$M$143=TRUE)*($AD516='INS Segmentation'!$AK$78:$AK$143)*('Climate-Alignment Target'!G$506='INS Segmentation'!$Q$77:$V$77)*('INS Segmentation'!$Q$78:$V$143)),"")</f>
        <v/>
      </c>
      <c r="H516" s="557" t="str" cm="1">
        <f t="array" ref="H516">IF($D516="Climate-alignment target",SUMPRODUCT(('INS Segmentation'!$M$78:$M$143=TRUE)*($AD516='INS Segmentation'!$AK$78:$AK$143)*('Climate-Alignment Target'!H$506='INS Segmentation'!$Q$77:$V$77)*('INS Segmentation'!$Q$78:$V$143)),"")</f>
        <v/>
      </c>
      <c r="I516" s="557" t="str" cm="1">
        <f t="array" ref="I516">IF($D516="Climate-alignment target",SUMPRODUCT(('INS Segmentation'!$M$78:$M$143=TRUE)*($AD516='INS Segmentation'!$AK$78:$AK$143)*('Climate-Alignment Target'!I$506='INS Segmentation'!$Q$77:$V$77)*('INS Segmentation'!$Q$78:$V$143)),"")</f>
        <v/>
      </c>
      <c r="J516" s="557" t="str" cm="1">
        <f t="array" ref="J516">IF($D516="Climate-alignment target",SUMPRODUCT(('INS Segmentation'!$M$78:$M$143=TRUE)*($AD516='INS Segmentation'!$AK$78:$AK$143)*('Climate-Alignment Target'!J$506='INS Segmentation'!$Q$77:$V$77)*('INS Segmentation'!$Q$78:$V$143)),"")</f>
        <v/>
      </c>
      <c r="K516" s="557" t="str">
        <f t="shared" si="343"/>
        <v/>
      </c>
      <c r="L516" s="557" t="str">
        <f t="shared" si="347"/>
        <v/>
      </c>
      <c r="M516" s="562">
        <f t="shared" si="344"/>
        <v>0</v>
      </c>
      <c r="N516" s="915"/>
      <c r="O516" s="563"/>
      <c r="P516" s="562" t="str">
        <f t="shared" si="348"/>
        <v/>
      </c>
      <c r="Q516" s="560" t="str">
        <f t="shared" si="349"/>
        <v/>
      </c>
      <c r="R516" s="16"/>
      <c r="U516" s="1"/>
      <c r="V516" s="1"/>
      <c r="W516" s="26"/>
      <c r="X516" s="113" t="s">
        <v>378</v>
      </c>
      <c r="Y516" s="113">
        <f t="shared" si="345"/>
        <v>2050</v>
      </c>
      <c r="Z516" s="113">
        <f t="shared" si="346"/>
        <v>0.95</v>
      </c>
      <c r="AA516" s="121"/>
      <c r="AB516" s="121" t="str">
        <f t="shared" si="350"/>
        <v/>
      </c>
      <c r="AC516" s="121" t="str">
        <f t="shared" si="351"/>
        <v/>
      </c>
      <c r="AD516" s="107" t="s">
        <v>220</v>
      </c>
    </row>
    <row r="517" spans="1:30" ht="52.25" hidden="1" customHeight="1" outlineLevel="3">
      <c r="A517" s="340" t="s">
        <v>121</v>
      </c>
      <c r="B517" s="340" t="s">
        <v>396</v>
      </c>
      <c r="C517" s="927"/>
      <c r="D517" s="333" t="str">
        <f>IF(SUMIF('INS Segmentation'!$AK$78:$AK$143,'Climate-Alignment Target'!AD517,'INS Segmentation'!$AL$78:$AL$143)&gt;0,"Climate-alignment target",IF(SUMIF('INS Segmentation'!$AK$78:$AK$143,'Climate-Alignment Target'!AD517,'INS Segmentation'!$AM$78:$AM$143)&gt;0,"Sector target","No target type selected"))</f>
        <v>No target type selected</v>
      </c>
      <c r="E517" s="557" cm="1">
        <f t="array" ref="E517">SUMPRODUCT(('INS Segmentation'!$M$78:$M$143=TRUE)*($AD517='INS Segmentation'!$AK$78:$AK$143)*('Climate-Alignment Target'!E$506='INS Segmentation'!$Q$77:$V$77)*('INS Segmentation'!$Q$78:$V$143))</f>
        <v>0</v>
      </c>
      <c r="F517" s="557" t="str" cm="1">
        <f t="array" ref="F517">IF($D517="Climate-alignment target",SUMPRODUCT(('INS Segmentation'!$M$78:$M$143=TRUE)*($AD517='INS Segmentation'!$AK$78:$AK$143)*('Climate-Alignment Target'!F$506='INS Segmentation'!$Q$77:$V$77)*('INS Segmentation'!$Q$78:$V$143)),"")</f>
        <v/>
      </c>
      <c r="G517" s="557" t="str" cm="1">
        <f t="array" ref="G517">IF($D517="Climate-alignment target",SUMPRODUCT(('INS Segmentation'!$M$78:$M$143=TRUE)*($AD517='INS Segmentation'!$AK$78:$AK$143)*('Climate-Alignment Target'!G$506='INS Segmentation'!$Q$77:$V$77)*('INS Segmentation'!$Q$78:$V$143)),"")</f>
        <v/>
      </c>
      <c r="H517" s="557" t="str" cm="1">
        <f t="array" ref="H517">IF($D517="Climate-alignment target",SUMPRODUCT(('INS Segmentation'!$M$78:$M$143=TRUE)*($AD517='INS Segmentation'!$AK$78:$AK$143)*('Climate-Alignment Target'!H$506='INS Segmentation'!$Q$77:$V$77)*('INS Segmentation'!$Q$78:$V$143)),"")</f>
        <v/>
      </c>
      <c r="I517" s="557" t="str" cm="1">
        <f t="array" ref="I517">IF($D517="Climate-alignment target",SUMPRODUCT(('INS Segmentation'!$M$78:$M$143=TRUE)*($AD517='INS Segmentation'!$AK$78:$AK$143)*('Climate-Alignment Target'!I$506='INS Segmentation'!$Q$77:$V$77)*('INS Segmentation'!$Q$78:$V$143)),"")</f>
        <v/>
      </c>
      <c r="J517" s="557" t="str" cm="1">
        <f t="array" ref="J517">IF($D517="Climate-alignment target",SUMPRODUCT(('INS Segmentation'!$M$78:$M$143=TRUE)*($AD517='INS Segmentation'!$AK$78:$AK$143)*('Climate-Alignment Target'!J$506='INS Segmentation'!$Q$77:$V$77)*('INS Segmentation'!$Q$78:$V$143)),"")</f>
        <v/>
      </c>
      <c r="K517" s="557" t="str">
        <f t="shared" si="343"/>
        <v/>
      </c>
      <c r="L517" s="557" t="str">
        <f t="shared" si="347"/>
        <v/>
      </c>
      <c r="M517" s="562">
        <f t="shared" si="344"/>
        <v>0</v>
      </c>
      <c r="N517" s="915"/>
      <c r="O517" s="563"/>
      <c r="P517" s="562" t="str">
        <f t="shared" si="348"/>
        <v/>
      </c>
      <c r="Q517" s="560" t="str">
        <f t="shared" si="349"/>
        <v/>
      </c>
      <c r="R517" s="16"/>
      <c r="U517" s="1"/>
      <c r="V517" s="1"/>
      <c r="W517" s="26"/>
      <c r="X517" s="113" t="s">
        <v>373</v>
      </c>
      <c r="Y517" s="113">
        <f t="shared" si="345"/>
        <v>2040</v>
      </c>
      <c r="Z517" s="113">
        <f t="shared" si="346"/>
        <v>0.95</v>
      </c>
      <c r="AA517" s="121"/>
      <c r="AB517" s="121" t="str">
        <f t="shared" si="350"/>
        <v/>
      </c>
      <c r="AC517" s="121" t="str">
        <f t="shared" si="351"/>
        <v/>
      </c>
      <c r="AD517" s="107" t="s">
        <v>193</v>
      </c>
    </row>
    <row r="518" spans="1:30" ht="52.25" hidden="1" customHeight="1" outlineLevel="3">
      <c r="A518" s="340" t="s">
        <v>136</v>
      </c>
      <c r="B518" s="340" t="s">
        <v>396</v>
      </c>
      <c r="C518" s="927"/>
      <c r="D518" s="333" t="str">
        <f>IF(SUMIF('INS Segmentation'!$AK$78:$AK$143,'Climate-Alignment Target'!AD518,'INS Segmentation'!$AL$78:$AL$143)&gt;0,"Climate-alignment target",IF(SUMIF('INS Segmentation'!$AK$78:$AK$143,'Climate-Alignment Target'!AD518,'INS Segmentation'!$AM$78:$AM$143)&gt;0,"Sector target","No target type selected"))</f>
        <v>No target type selected</v>
      </c>
      <c r="E518" s="557" cm="1">
        <f t="array" ref="E518">SUMPRODUCT(('INS Segmentation'!$M$78:$M$143=TRUE)*($AD518='INS Segmentation'!$AK$78:$AK$143)*('Climate-Alignment Target'!E$506='INS Segmentation'!$Q$77:$V$77)*('INS Segmentation'!$Q$78:$V$143))</f>
        <v>0</v>
      </c>
      <c r="F518" s="557" t="str" cm="1">
        <f t="array" ref="F518">IF($D518="Climate-alignment target",SUMPRODUCT(('INS Segmentation'!$M$78:$M$143=TRUE)*($AD518='INS Segmentation'!$AK$78:$AK$143)*('Climate-Alignment Target'!F$506='INS Segmentation'!$Q$77:$V$77)*('INS Segmentation'!$Q$78:$V$143)),"")</f>
        <v/>
      </c>
      <c r="G518" s="557" t="str" cm="1">
        <f t="array" ref="G518">IF($D518="Climate-alignment target",SUMPRODUCT(('INS Segmentation'!$M$78:$M$143=TRUE)*($AD518='INS Segmentation'!$AK$78:$AK$143)*('Climate-Alignment Target'!G$506='INS Segmentation'!$Q$77:$V$77)*('INS Segmentation'!$Q$78:$V$143)),"")</f>
        <v/>
      </c>
      <c r="H518" s="557" t="str" cm="1">
        <f t="array" ref="H518">IF($D518="Climate-alignment target",SUMPRODUCT(('INS Segmentation'!$M$78:$M$143=TRUE)*($AD518='INS Segmentation'!$AK$78:$AK$143)*('Climate-Alignment Target'!H$506='INS Segmentation'!$Q$77:$V$77)*('INS Segmentation'!$Q$78:$V$143)),"")</f>
        <v/>
      </c>
      <c r="I518" s="557" t="str" cm="1">
        <f t="array" ref="I518">IF($D518="Climate-alignment target",SUMPRODUCT(('INS Segmentation'!$M$78:$M$143=TRUE)*($AD518='INS Segmentation'!$AK$78:$AK$143)*('Climate-Alignment Target'!I$506='INS Segmentation'!$Q$77:$V$77)*('INS Segmentation'!$Q$78:$V$143)),"")</f>
        <v/>
      </c>
      <c r="J518" s="557" t="str" cm="1">
        <f t="array" ref="J518">IF($D518="Climate-alignment target",SUMPRODUCT(('INS Segmentation'!$M$78:$M$143=TRUE)*($AD518='INS Segmentation'!$AK$78:$AK$143)*('Climate-Alignment Target'!J$506='INS Segmentation'!$Q$77:$V$77)*('INS Segmentation'!$Q$78:$V$143)),"")</f>
        <v/>
      </c>
      <c r="K518" s="557" t="str">
        <f t="shared" si="343"/>
        <v/>
      </c>
      <c r="L518" s="557" t="str">
        <f t="shared" si="347"/>
        <v/>
      </c>
      <c r="M518" s="562">
        <f t="shared" si="344"/>
        <v>0</v>
      </c>
      <c r="N518" s="915"/>
      <c r="O518" s="563"/>
      <c r="P518" s="562" t="str">
        <f t="shared" si="348"/>
        <v/>
      </c>
      <c r="Q518" s="560" t="str">
        <f t="shared" si="349"/>
        <v/>
      </c>
      <c r="R518" s="16"/>
      <c r="U518" s="1"/>
      <c r="V518" s="1"/>
      <c r="W518" s="26"/>
      <c r="X518" s="113" t="s">
        <v>378</v>
      </c>
      <c r="Y518" s="113">
        <f t="shared" si="345"/>
        <v>2050</v>
      </c>
      <c r="Z518" s="113">
        <f t="shared" si="346"/>
        <v>0.95</v>
      </c>
      <c r="AA518" s="121"/>
      <c r="AB518" s="121" t="str">
        <f t="shared" si="350"/>
        <v/>
      </c>
      <c r="AC518" s="121" t="str">
        <f t="shared" si="351"/>
        <v/>
      </c>
      <c r="AD518" s="107" t="s">
        <v>221</v>
      </c>
    </row>
    <row r="519" spans="1:30" ht="52.25" hidden="1" customHeight="1" outlineLevel="3">
      <c r="A519" s="340" t="s">
        <v>121</v>
      </c>
      <c r="B519" s="340" t="s">
        <v>397</v>
      </c>
      <c r="C519" s="927"/>
      <c r="D519" s="333" t="str">
        <f>IF(SUMIF('INS Segmentation'!$AK$78:$AK$143,'Climate-Alignment Target'!AD519,'INS Segmentation'!$AL$78:$AL$143)&gt;0,"Climate-alignment target",IF(SUMIF('INS Segmentation'!$AK$78:$AK$143,'Climate-Alignment Target'!AD519,'INS Segmentation'!$AM$78:$AM$143)&gt;0,"Sector target","No target type selected"))</f>
        <v>No target type selected</v>
      </c>
      <c r="E519" s="557" cm="1">
        <f t="array" ref="E519">SUMPRODUCT(('INS Segmentation'!$M$78:$M$143=TRUE)*($AD519='INS Segmentation'!$AK$78:$AK$143)*('Climate-Alignment Target'!E$506='INS Segmentation'!$Q$77:$V$77)*('INS Segmentation'!$Q$78:$V$143))</f>
        <v>0</v>
      </c>
      <c r="F519" s="557" t="str" cm="1">
        <f t="array" ref="F519">IF($D519="Climate-alignment target",SUMPRODUCT(('INS Segmentation'!$M$78:$M$143=TRUE)*($AD519='INS Segmentation'!$AK$78:$AK$143)*('Climate-Alignment Target'!F$506='INS Segmentation'!$Q$77:$V$77)*('INS Segmentation'!$Q$78:$V$143)),"")</f>
        <v/>
      </c>
      <c r="G519" s="557" t="str" cm="1">
        <f t="array" ref="G519">IF($D519="Climate-alignment target",SUMPRODUCT(('INS Segmentation'!$M$78:$M$143=TRUE)*($AD519='INS Segmentation'!$AK$78:$AK$143)*('Climate-Alignment Target'!G$506='INS Segmentation'!$Q$77:$V$77)*('INS Segmentation'!$Q$78:$V$143)),"")</f>
        <v/>
      </c>
      <c r="H519" s="557" t="str" cm="1">
        <f t="array" ref="H519">IF($D519="Climate-alignment target",SUMPRODUCT(('INS Segmentation'!$M$78:$M$143=TRUE)*($AD519='INS Segmentation'!$AK$78:$AK$143)*('Climate-Alignment Target'!H$506='INS Segmentation'!$Q$77:$V$77)*('INS Segmentation'!$Q$78:$V$143)),"")</f>
        <v/>
      </c>
      <c r="I519" s="557" t="str" cm="1">
        <f t="array" ref="I519">IF($D519="Climate-alignment target",SUMPRODUCT(('INS Segmentation'!$M$78:$M$143=TRUE)*($AD519='INS Segmentation'!$AK$78:$AK$143)*('Climate-Alignment Target'!I$506='INS Segmentation'!$Q$77:$V$77)*('INS Segmentation'!$Q$78:$V$143)),"")</f>
        <v/>
      </c>
      <c r="J519" s="557" t="str" cm="1">
        <f t="array" ref="J519">IF($D519="Climate-alignment target",SUMPRODUCT(('INS Segmentation'!$M$78:$M$143=TRUE)*($AD519='INS Segmentation'!$AK$78:$AK$143)*('Climate-Alignment Target'!J$506='INS Segmentation'!$Q$77:$V$77)*('INS Segmentation'!$Q$78:$V$143)),"")</f>
        <v/>
      </c>
      <c r="K519" s="557" t="str">
        <f t="shared" si="343"/>
        <v/>
      </c>
      <c r="L519" s="557" t="str">
        <f t="shared" si="347"/>
        <v/>
      </c>
      <c r="M519" s="562">
        <f t="shared" si="344"/>
        <v>0</v>
      </c>
      <c r="N519" s="915"/>
      <c r="O519" s="563"/>
      <c r="P519" s="562" t="str">
        <f t="shared" si="348"/>
        <v/>
      </c>
      <c r="Q519" s="560" t="str">
        <f t="shared" si="349"/>
        <v/>
      </c>
      <c r="R519" s="16"/>
      <c r="U519" s="1"/>
      <c r="V519" s="1"/>
      <c r="W519" s="26"/>
      <c r="X519" s="113" t="s">
        <v>373</v>
      </c>
      <c r="Y519" s="113">
        <f t="shared" si="345"/>
        <v>2040</v>
      </c>
      <c r="Z519" s="113">
        <f t="shared" si="346"/>
        <v>0.95</v>
      </c>
      <c r="AA519" s="121"/>
      <c r="AB519" s="121" t="str">
        <f t="shared" si="350"/>
        <v/>
      </c>
      <c r="AC519" s="121" t="str">
        <f t="shared" si="351"/>
        <v/>
      </c>
      <c r="AD519" s="107" t="s">
        <v>197</v>
      </c>
    </row>
    <row r="520" spans="1:30" ht="52.25" hidden="1" customHeight="1" outlineLevel="3">
      <c r="A520" s="340" t="s">
        <v>136</v>
      </c>
      <c r="B520" s="340" t="s">
        <v>397</v>
      </c>
      <c r="C520" s="927"/>
      <c r="D520" s="333" t="str">
        <f>IF(SUMIF('INS Segmentation'!$AK$78:$AK$143,'Climate-Alignment Target'!AD520,'INS Segmentation'!$AL$78:$AL$143)&gt;0,"Climate-alignment target",IF(SUMIF('INS Segmentation'!$AK$78:$AK$143,'Climate-Alignment Target'!AD520,'INS Segmentation'!$AM$78:$AM$143)&gt;0,"Sector target","No target type selected"))</f>
        <v>No target type selected</v>
      </c>
      <c r="E520" s="557" cm="1">
        <f t="array" ref="E520">SUMPRODUCT(('INS Segmentation'!$M$78:$M$143=TRUE)*($AD520='INS Segmentation'!$AK$78:$AK$143)*('Climate-Alignment Target'!E$506='INS Segmentation'!$Q$77:$V$77)*('INS Segmentation'!$Q$78:$V$143))</f>
        <v>0</v>
      </c>
      <c r="F520" s="557" t="str" cm="1">
        <f t="array" ref="F520">IF($D520="Climate-alignment target",SUMPRODUCT(('INS Segmentation'!$M$78:$M$143=TRUE)*($AD520='INS Segmentation'!$AK$78:$AK$143)*('Climate-Alignment Target'!F$506='INS Segmentation'!$Q$77:$V$77)*('INS Segmentation'!$Q$78:$V$143)),"")</f>
        <v/>
      </c>
      <c r="G520" s="557" t="str" cm="1">
        <f t="array" ref="G520">IF($D520="Climate-alignment target",SUMPRODUCT(('INS Segmentation'!$M$78:$M$143=TRUE)*($AD520='INS Segmentation'!$AK$78:$AK$143)*('Climate-Alignment Target'!G$506='INS Segmentation'!$Q$77:$V$77)*('INS Segmentation'!$Q$78:$V$143)),"")</f>
        <v/>
      </c>
      <c r="H520" s="557" t="str" cm="1">
        <f t="array" ref="H520">IF($D520="Climate-alignment target",SUMPRODUCT(('INS Segmentation'!$M$78:$M$143=TRUE)*($AD520='INS Segmentation'!$AK$78:$AK$143)*('Climate-Alignment Target'!H$506='INS Segmentation'!$Q$77:$V$77)*('INS Segmentation'!$Q$78:$V$143)),"")</f>
        <v/>
      </c>
      <c r="I520" s="557" t="str" cm="1">
        <f t="array" ref="I520">IF($D520="Climate-alignment target",SUMPRODUCT(('INS Segmentation'!$M$78:$M$143=TRUE)*($AD520='INS Segmentation'!$AK$78:$AK$143)*('Climate-Alignment Target'!I$506='INS Segmentation'!$Q$77:$V$77)*('INS Segmentation'!$Q$78:$V$143)),"")</f>
        <v/>
      </c>
      <c r="J520" s="557" t="str" cm="1">
        <f t="array" ref="J520">IF($D520="Climate-alignment target",SUMPRODUCT(('INS Segmentation'!$M$78:$M$143=TRUE)*($AD520='INS Segmentation'!$AK$78:$AK$143)*('Climate-Alignment Target'!J$506='INS Segmentation'!$Q$77:$V$77)*('INS Segmentation'!$Q$78:$V$143)),"")</f>
        <v/>
      </c>
      <c r="K520" s="557" t="str">
        <f t="shared" si="343"/>
        <v/>
      </c>
      <c r="L520" s="557" t="str">
        <f t="shared" si="347"/>
        <v/>
      </c>
      <c r="M520" s="562">
        <f t="shared" si="344"/>
        <v>0</v>
      </c>
      <c r="N520" s="915"/>
      <c r="O520" s="563"/>
      <c r="P520" s="562" t="str">
        <f t="shared" si="348"/>
        <v/>
      </c>
      <c r="Q520" s="560" t="str">
        <f t="shared" si="349"/>
        <v/>
      </c>
      <c r="R520" s="16"/>
      <c r="U520" s="1"/>
      <c r="V520" s="1"/>
      <c r="W520" s="26"/>
      <c r="X520" s="113" t="s">
        <v>378</v>
      </c>
      <c r="Y520" s="113">
        <f t="shared" si="345"/>
        <v>2050</v>
      </c>
      <c r="Z520" s="113">
        <f t="shared" si="346"/>
        <v>0.95</v>
      </c>
      <c r="AA520" s="121"/>
      <c r="AB520" s="121" t="str">
        <f t="shared" si="350"/>
        <v/>
      </c>
      <c r="AC520" s="121" t="str">
        <f t="shared" si="351"/>
        <v/>
      </c>
      <c r="AD520" s="107" t="s">
        <v>222</v>
      </c>
    </row>
    <row r="521" spans="1:30" ht="52.25" hidden="1" customHeight="1" outlineLevel="3">
      <c r="A521" s="340" t="s">
        <v>121</v>
      </c>
      <c r="B521" s="340" t="s">
        <v>398</v>
      </c>
      <c r="C521" s="927"/>
      <c r="D521" s="333" t="str">
        <f>IF(SUMIF('INS Segmentation'!$AK$78:$AK$143,'Climate-Alignment Target'!AD521,'INS Segmentation'!$AL$78:$AL$143)&gt;0,"Climate-alignment target",IF(SUMIF('INS Segmentation'!$AK$78:$AK$143,'Climate-Alignment Target'!AD521,'INS Segmentation'!$AM$78:$AM$143)&gt;0,"Sector target","No target type selected"))</f>
        <v>No target type selected</v>
      </c>
      <c r="E521" s="557" cm="1">
        <f t="array" ref="E521">SUMPRODUCT(('INS Segmentation'!$M$78:$M$143=TRUE)*($AD521='INS Segmentation'!$AK$78:$AK$143)*('Climate-Alignment Target'!E$506='INS Segmentation'!$Q$77:$V$77)*('INS Segmentation'!$Q$78:$V$143))</f>
        <v>0</v>
      </c>
      <c r="F521" s="557" t="str" cm="1">
        <f t="array" ref="F521">IF($D521="Climate-alignment target",SUMPRODUCT(('INS Segmentation'!$M$78:$M$143=TRUE)*($AD521='INS Segmentation'!$AK$78:$AK$143)*('Climate-Alignment Target'!F$506='INS Segmentation'!$Q$77:$V$77)*('INS Segmentation'!$Q$78:$V$143)),"")</f>
        <v/>
      </c>
      <c r="G521" s="557" t="str" cm="1">
        <f t="array" ref="G521">IF($D521="Climate-alignment target",SUMPRODUCT(('INS Segmentation'!$M$78:$M$143=TRUE)*($AD521='INS Segmentation'!$AK$78:$AK$143)*('Climate-Alignment Target'!G$506='INS Segmentation'!$Q$77:$V$77)*('INS Segmentation'!$Q$78:$V$143)),"")</f>
        <v/>
      </c>
      <c r="H521" s="557" t="str" cm="1">
        <f t="array" ref="H521">IF($D521="Climate-alignment target",SUMPRODUCT(('INS Segmentation'!$M$78:$M$143=TRUE)*($AD521='INS Segmentation'!$AK$78:$AK$143)*('Climate-Alignment Target'!H$506='INS Segmentation'!$Q$77:$V$77)*('INS Segmentation'!$Q$78:$V$143)),"")</f>
        <v/>
      </c>
      <c r="I521" s="557" t="str" cm="1">
        <f t="array" ref="I521">IF($D521="Climate-alignment target",SUMPRODUCT(('INS Segmentation'!$M$78:$M$143=TRUE)*($AD521='INS Segmentation'!$AK$78:$AK$143)*('Climate-Alignment Target'!I$506='INS Segmentation'!$Q$77:$V$77)*('INS Segmentation'!$Q$78:$V$143)),"")</f>
        <v/>
      </c>
      <c r="J521" s="557" t="str" cm="1">
        <f t="array" ref="J521">IF($D521="Climate-alignment target",SUMPRODUCT(('INS Segmentation'!$M$78:$M$143=TRUE)*($AD521='INS Segmentation'!$AK$78:$AK$143)*('Climate-Alignment Target'!J$506='INS Segmentation'!$Q$77:$V$77)*('INS Segmentation'!$Q$78:$V$143)),"")</f>
        <v/>
      </c>
      <c r="K521" s="557" t="str">
        <f t="shared" si="343"/>
        <v/>
      </c>
      <c r="L521" s="557" t="str">
        <f t="shared" si="347"/>
        <v/>
      </c>
      <c r="M521" s="562">
        <f t="shared" si="344"/>
        <v>0</v>
      </c>
      <c r="N521" s="915"/>
      <c r="O521" s="563"/>
      <c r="P521" s="562" t="str">
        <f t="shared" si="348"/>
        <v/>
      </c>
      <c r="Q521" s="560" t="str">
        <f t="shared" si="349"/>
        <v/>
      </c>
      <c r="R521" s="16"/>
      <c r="U521" s="1"/>
      <c r="V521" s="1"/>
      <c r="W521" s="26"/>
      <c r="X521" s="113" t="s">
        <v>373</v>
      </c>
      <c r="Y521" s="113">
        <f t="shared" si="345"/>
        <v>2040</v>
      </c>
      <c r="Z521" s="113">
        <f t="shared" si="346"/>
        <v>0.95</v>
      </c>
      <c r="AA521" s="121"/>
      <c r="AB521" s="121" t="str">
        <f t="shared" si="350"/>
        <v/>
      </c>
      <c r="AC521" s="121" t="str">
        <f t="shared" si="351"/>
        <v/>
      </c>
      <c r="AD521" s="107" t="s">
        <v>202</v>
      </c>
    </row>
    <row r="522" spans="1:30" ht="52.25" hidden="1" customHeight="1" outlineLevel="3">
      <c r="A522" s="340" t="s">
        <v>136</v>
      </c>
      <c r="B522" s="340" t="s">
        <v>398</v>
      </c>
      <c r="C522" s="927"/>
      <c r="D522" s="333" t="str">
        <f>IF(SUMIF('INS Segmentation'!$AK$78:$AK$143,'Climate-Alignment Target'!AD522,'INS Segmentation'!$AL$78:$AL$143)&gt;0,"Climate-alignment target",IF(SUMIF('INS Segmentation'!$AK$78:$AK$143,'Climate-Alignment Target'!AD522,'INS Segmentation'!$AM$78:$AM$143)&gt;0,"Sector target","No target type selected"))</f>
        <v>No target type selected</v>
      </c>
      <c r="E522" s="557" cm="1">
        <f t="array" ref="E522">SUMPRODUCT(('INS Segmentation'!$M$78:$M$143=TRUE)*($AD522='INS Segmentation'!$AK$78:$AK$143)*('Climate-Alignment Target'!E$506='INS Segmentation'!$Q$77:$V$77)*('INS Segmentation'!$Q$78:$V$143))</f>
        <v>0</v>
      </c>
      <c r="F522" s="557" t="str" cm="1">
        <f t="array" ref="F522">IF($D522="Climate-alignment target",SUMPRODUCT(('INS Segmentation'!$M$78:$M$143=TRUE)*($AD522='INS Segmentation'!$AK$78:$AK$143)*('Climate-Alignment Target'!F$506='INS Segmentation'!$Q$77:$V$77)*('INS Segmentation'!$Q$78:$V$143)),"")</f>
        <v/>
      </c>
      <c r="G522" s="557" t="str" cm="1">
        <f t="array" ref="G522">IF($D522="Climate-alignment target",SUMPRODUCT(('INS Segmentation'!$M$78:$M$143=TRUE)*($AD522='INS Segmentation'!$AK$78:$AK$143)*('Climate-Alignment Target'!G$506='INS Segmentation'!$Q$77:$V$77)*('INS Segmentation'!$Q$78:$V$143)),"")</f>
        <v/>
      </c>
      <c r="H522" s="557" t="str" cm="1">
        <f t="array" ref="H522">IF($D522="Climate-alignment target",SUMPRODUCT(('INS Segmentation'!$M$78:$M$143=TRUE)*($AD522='INS Segmentation'!$AK$78:$AK$143)*('Climate-Alignment Target'!H$506='INS Segmentation'!$Q$77:$V$77)*('INS Segmentation'!$Q$78:$V$143)),"")</f>
        <v/>
      </c>
      <c r="I522" s="557" t="str" cm="1">
        <f t="array" ref="I522">IF($D522="Climate-alignment target",SUMPRODUCT(('INS Segmentation'!$M$78:$M$143=TRUE)*($AD522='INS Segmentation'!$AK$78:$AK$143)*('Climate-Alignment Target'!I$506='INS Segmentation'!$Q$77:$V$77)*('INS Segmentation'!$Q$78:$V$143)),"")</f>
        <v/>
      </c>
      <c r="J522" s="557" t="str" cm="1">
        <f t="array" ref="J522">IF($D522="Climate-alignment target",SUMPRODUCT(('INS Segmentation'!$M$78:$M$143=TRUE)*($AD522='INS Segmentation'!$AK$78:$AK$143)*('Climate-Alignment Target'!J$506='INS Segmentation'!$Q$77:$V$77)*('INS Segmentation'!$Q$78:$V$143)),"")</f>
        <v/>
      </c>
      <c r="K522" s="557" t="str">
        <f t="shared" si="343"/>
        <v/>
      </c>
      <c r="L522" s="557" t="str">
        <f t="shared" si="347"/>
        <v/>
      </c>
      <c r="M522" s="562">
        <f t="shared" si="344"/>
        <v>0</v>
      </c>
      <c r="N522" s="915"/>
      <c r="O522" s="563"/>
      <c r="P522" s="562" t="str">
        <f t="shared" si="348"/>
        <v/>
      </c>
      <c r="Q522" s="560" t="str">
        <f t="shared" si="349"/>
        <v/>
      </c>
      <c r="R522" s="16"/>
      <c r="U522" s="1"/>
      <c r="V522" s="1"/>
      <c r="W522" s="26"/>
      <c r="X522" s="113" t="s">
        <v>378</v>
      </c>
      <c r="Y522" s="113">
        <f t="shared" si="345"/>
        <v>2050</v>
      </c>
      <c r="Z522" s="113">
        <f t="shared" si="346"/>
        <v>0.95</v>
      </c>
      <c r="AA522" s="121"/>
      <c r="AB522" s="121" t="str">
        <f t="shared" si="350"/>
        <v/>
      </c>
      <c r="AC522" s="121" t="str">
        <f t="shared" si="351"/>
        <v/>
      </c>
      <c r="AD522" s="107" t="s">
        <v>223</v>
      </c>
    </row>
    <row r="523" spans="1:30" ht="52.25" hidden="1" customHeight="1" outlineLevel="3">
      <c r="A523" s="340" t="s">
        <v>121</v>
      </c>
      <c r="B523" s="340" t="s">
        <v>399</v>
      </c>
      <c r="C523" s="927"/>
      <c r="D523" s="333" t="str">
        <f>IF(SUMIF('INS Segmentation'!$AK$78:$AK$143,'Climate-Alignment Target'!AD523,'INS Segmentation'!$AL$78:$AL$143)&gt;0,"Climate-alignment target",IF(SUMIF('INS Segmentation'!$AK$78:$AK$143,'Climate-Alignment Target'!AD523,'INS Segmentation'!$AM$78:$AM$143)&gt;0,"Sector target","No target type selected"))</f>
        <v>No target type selected</v>
      </c>
      <c r="E523" s="557" cm="1">
        <f t="array" ref="E523">SUMPRODUCT(('INS Segmentation'!$M$78:$M$143=TRUE)*($AD523='INS Segmentation'!$AK$78:$AK$143)*('Climate-Alignment Target'!E$506='INS Segmentation'!$Q$77:$V$77)*('INS Segmentation'!$Q$78:$V$143))</f>
        <v>0</v>
      </c>
      <c r="F523" s="557" t="str" cm="1">
        <f t="array" ref="F523">IF($D523="Climate-alignment target",SUMPRODUCT(('INS Segmentation'!$M$78:$M$143=TRUE)*($AD523='INS Segmentation'!$AK$78:$AK$143)*('Climate-Alignment Target'!F$506='INS Segmentation'!$Q$77:$V$77)*('INS Segmentation'!$Q$78:$V$143)),"")</f>
        <v/>
      </c>
      <c r="G523" s="557" t="str" cm="1">
        <f t="array" ref="G523">IF($D523="Climate-alignment target",SUMPRODUCT(('INS Segmentation'!$M$78:$M$143=TRUE)*($AD523='INS Segmentation'!$AK$78:$AK$143)*('Climate-Alignment Target'!G$506='INS Segmentation'!$Q$77:$V$77)*('INS Segmentation'!$Q$78:$V$143)),"")</f>
        <v/>
      </c>
      <c r="H523" s="557" t="str" cm="1">
        <f t="array" ref="H523">IF($D523="Climate-alignment target",SUMPRODUCT(('INS Segmentation'!$M$78:$M$143=TRUE)*($AD523='INS Segmentation'!$AK$78:$AK$143)*('Climate-Alignment Target'!H$506='INS Segmentation'!$Q$77:$V$77)*('INS Segmentation'!$Q$78:$V$143)),"")</f>
        <v/>
      </c>
      <c r="I523" s="557" t="str" cm="1">
        <f t="array" ref="I523">IF($D523="Climate-alignment target",SUMPRODUCT(('INS Segmentation'!$M$78:$M$143=TRUE)*($AD523='INS Segmentation'!$AK$78:$AK$143)*('Climate-Alignment Target'!I$506='INS Segmentation'!$Q$77:$V$77)*('INS Segmentation'!$Q$78:$V$143)),"")</f>
        <v/>
      </c>
      <c r="J523" s="557" t="str" cm="1">
        <f t="array" ref="J523">IF($D523="Climate-alignment target",SUMPRODUCT(('INS Segmentation'!$M$78:$M$143=TRUE)*($AD523='INS Segmentation'!$AK$78:$AK$143)*('Climate-Alignment Target'!J$506='INS Segmentation'!$Q$77:$V$77)*('INS Segmentation'!$Q$78:$V$143)),"")</f>
        <v/>
      </c>
      <c r="K523" s="557" t="str">
        <f t="shared" si="343"/>
        <v/>
      </c>
      <c r="L523" s="557" t="str">
        <f t="shared" si="347"/>
        <v/>
      </c>
      <c r="M523" s="562">
        <f t="shared" si="344"/>
        <v>0</v>
      </c>
      <c r="N523" s="915"/>
      <c r="O523" s="563"/>
      <c r="P523" s="562" t="str">
        <f t="shared" si="348"/>
        <v/>
      </c>
      <c r="Q523" s="560" t="str">
        <f t="shared" si="349"/>
        <v/>
      </c>
      <c r="R523" s="16"/>
      <c r="U523" s="1"/>
      <c r="V523" s="1"/>
      <c r="W523" s="26"/>
      <c r="X523" s="113" t="s">
        <v>373</v>
      </c>
      <c r="Y523" s="113">
        <f t="shared" si="345"/>
        <v>2040</v>
      </c>
      <c r="Z523" s="113">
        <f t="shared" si="346"/>
        <v>0.95</v>
      </c>
      <c r="AA523" s="121"/>
      <c r="AB523" s="121" t="str">
        <f t="shared" si="350"/>
        <v/>
      </c>
      <c r="AC523" s="121" t="str">
        <f t="shared" si="351"/>
        <v/>
      </c>
      <c r="AD523" s="107" t="s">
        <v>207</v>
      </c>
    </row>
    <row r="524" spans="1:30" ht="52.25" hidden="1" customHeight="1" outlineLevel="3">
      <c r="A524" s="340" t="s">
        <v>136</v>
      </c>
      <c r="B524" s="340" t="s">
        <v>399</v>
      </c>
      <c r="C524" s="927"/>
      <c r="D524" s="333" t="str">
        <f>IF(SUMIF('INS Segmentation'!$AK$78:$AK$143,'Climate-Alignment Target'!AD524,'INS Segmentation'!$AL$78:$AL$143)&gt;0,"Climate-alignment target",IF(SUMIF('INS Segmentation'!$AK$78:$AK$143,'Climate-Alignment Target'!AD524,'INS Segmentation'!$AM$78:$AM$143)&gt;0,"Sector target","No target type selected"))</f>
        <v>No target type selected</v>
      </c>
      <c r="E524" s="557" cm="1">
        <f t="array" ref="E524">SUMPRODUCT(('INS Segmentation'!$M$78:$M$143=TRUE)*($AD524='INS Segmentation'!$AK$78:$AK$143)*('Climate-Alignment Target'!E$506='INS Segmentation'!$Q$77:$V$77)*('INS Segmentation'!$Q$78:$V$143))</f>
        <v>0</v>
      </c>
      <c r="F524" s="557" t="str" cm="1">
        <f t="array" ref="F524">IF($D524="Climate-alignment target",SUMPRODUCT(('INS Segmentation'!$M$78:$M$143=TRUE)*($AD524='INS Segmentation'!$AK$78:$AK$143)*('Climate-Alignment Target'!F$506='INS Segmentation'!$Q$77:$V$77)*('INS Segmentation'!$Q$78:$V$143)),"")</f>
        <v/>
      </c>
      <c r="G524" s="557" t="str" cm="1">
        <f t="array" ref="G524">IF($D524="Climate-alignment target",SUMPRODUCT(('INS Segmentation'!$M$78:$M$143=TRUE)*($AD524='INS Segmentation'!$AK$78:$AK$143)*('Climate-Alignment Target'!G$506='INS Segmentation'!$Q$77:$V$77)*('INS Segmentation'!$Q$78:$V$143)),"")</f>
        <v/>
      </c>
      <c r="H524" s="557" t="str" cm="1">
        <f t="array" ref="H524">IF($D524="Climate-alignment target",SUMPRODUCT(('INS Segmentation'!$M$78:$M$143=TRUE)*($AD524='INS Segmentation'!$AK$78:$AK$143)*('Climate-Alignment Target'!H$506='INS Segmentation'!$Q$77:$V$77)*('INS Segmentation'!$Q$78:$V$143)),"")</f>
        <v/>
      </c>
      <c r="I524" s="557" t="str" cm="1">
        <f t="array" ref="I524">IF($D524="Climate-alignment target",SUMPRODUCT(('INS Segmentation'!$M$78:$M$143=TRUE)*($AD524='INS Segmentation'!$AK$78:$AK$143)*('Climate-Alignment Target'!I$506='INS Segmentation'!$Q$77:$V$77)*('INS Segmentation'!$Q$78:$V$143)),"")</f>
        <v/>
      </c>
      <c r="J524" s="557" t="str" cm="1">
        <f t="array" ref="J524">IF($D524="Climate-alignment target",SUMPRODUCT(('INS Segmentation'!$M$78:$M$143=TRUE)*($AD524='INS Segmentation'!$AK$78:$AK$143)*('Climate-Alignment Target'!J$506='INS Segmentation'!$Q$77:$V$77)*('INS Segmentation'!$Q$78:$V$143)),"")</f>
        <v/>
      </c>
      <c r="K524" s="557" t="str">
        <f t="shared" si="343"/>
        <v/>
      </c>
      <c r="L524" s="557" t="str">
        <f t="shared" si="347"/>
        <v/>
      </c>
      <c r="M524" s="562">
        <f t="shared" si="344"/>
        <v>0</v>
      </c>
      <c r="N524" s="915"/>
      <c r="O524" s="563"/>
      <c r="P524" s="562" t="str">
        <f t="shared" si="348"/>
        <v/>
      </c>
      <c r="Q524" s="560" t="str">
        <f t="shared" si="349"/>
        <v/>
      </c>
      <c r="R524" s="16"/>
      <c r="U524" s="1"/>
      <c r="V524" s="1"/>
      <c r="W524" s="26"/>
      <c r="X524" s="113" t="s">
        <v>378</v>
      </c>
      <c r="Y524" s="113">
        <f t="shared" si="345"/>
        <v>2050</v>
      </c>
      <c r="Z524" s="113">
        <f t="shared" si="346"/>
        <v>0.95</v>
      </c>
      <c r="AA524" s="121"/>
      <c r="AB524" s="121" t="str">
        <f t="shared" si="350"/>
        <v/>
      </c>
      <c r="AC524" s="121" t="str">
        <f t="shared" si="351"/>
        <v/>
      </c>
      <c r="AD524" s="107" t="s">
        <v>224</v>
      </c>
    </row>
    <row r="525" spans="1:30" ht="52.25" hidden="1" customHeight="1" outlineLevel="3">
      <c r="A525" s="340" t="s">
        <v>121</v>
      </c>
      <c r="B525" s="340" t="s">
        <v>400</v>
      </c>
      <c r="C525" s="927"/>
      <c r="D525" s="333" t="str">
        <f>IF(SUMIF('INS Segmentation'!$AK$78:$AK$143,'Climate-Alignment Target'!AD525,'INS Segmentation'!$AL$78:$AL$143)&gt;0,"Climate-alignment target",IF(SUMIF('INS Segmentation'!$AK$78:$AK$143,'Climate-Alignment Target'!AD525,'INS Segmentation'!$AM$78:$AM$143)&gt;0,"Sector target","No target type selected"))</f>
        <v>No target type selected</v>
      </c>
      <c r="E525" s="557" cm="1">
        <f t="array" ref="E525">SUMPRODUCT(('INS Segmentation'!$M$78:$M$143=TRUE)*($AD525='INS Segmentation'!$AK$78:$AK$143)*('Climate-Alignment Target'!E$506='INS Segmentation'!$Q$77:$V$77)*('INS Segmentation'!$Q$78:$V$143))</f>
        <v>0</v>
      </c>
      <c r="F525" s="557" t="str" cm="1">
        <f t="array" ref="F525">IF($D525="Climate-alignment target",SUMPRODUCT(('INS Segmentation'!$M$78:$M$143=TRUE)*($AD525='INS Segmentation'!$AK$78:$AK$143)*('Climate-Alignment Target'!F$506='INS Segmentation'!$Q$77:$V$77)*('INS Segmentation'!$Q$78:$V$143)),"")</f>
        <v/>
      </c>
      <c r="G525" s="557" t="str" cm="1">
        <f t="array" ref="G525">IF($D525="Climate-alignment target",SUMPRODUCT(('INS Segmentation'!$M$78:$M$143=TRUE)*($AD525='INS Segmentation'!$AK$78:$AK$143)*('Climate-Alignment Target'!G$506='INS Segmentation'!$Q$77:$V$77)*('INS Segmentation'!$Q$78:$V$143)),"")</f>
        <v/>
      </c>
      <c r="H525" s="557" t="str" cm="1">
        <f t="array" ref="H525">IF($D525="Climate-alignment target",SUMPRODUCT(('INS Segmentation'!$M$78:$M$143=TRUE)*($AD525='INS Segmentation'!$AK$78:$AK$143)*('Climate-Alignment Target'!H$506='INS Segmentation'!$Q$77:$V$77)*('INS Segmentation'!$Q$78:$V$143)),"")</f>
        <v/>
      </c>
      <c r="I525" s="557" t="str" cm="1">
        <f t="array" ref="I525">IF($D525="Climate-alignment target",SUMPRODUCT(('INS Segmentation'!$M$78:$M$143=TRUE)*($AD525='INS Segmentation'!$AK$78:$AK$143)*('Climate-Alignment Target'!I$506='INS Segmentation'!$Q$77:$V$77)*('INS Segmentation'!$Q$78:$V$143)),"")</f>
        <v/>
      </c>
      <c r="J525" s="557" t="str" cm="1">
        <f t="array" ref="J525">IF($D525="Climate-alignment target",SUMPRODUCT(('INS Segmentation'!$M$78:$M$143=TRUE)*($AD525='INS Segmentation'!$AK$78:$AK$143)*('Climate-Alignment Target'!J$506='INS Segmentation'!$Q$77:$V$77)*('INS Segmentation'!$Q$78:$V$143)),"")</f>
        <v/>
      </c>
      <c r="K525" s="557" t="str">
        <f t="shared" si="343"/>
        <v/>
      </c>
      <c r="L525" s="557" t="str">
        <f t="shared" si="347"/>
        <v/>
      </c>
      <c r="M525" s="562">
        <f t="shared" si="344"/>
        <v>0</v>
      </c>
      <c r="N525" s="915"/>
      <c r="O525" s="563"/>
      <c r="P525" s="562" t="str">
        <f t="shared" si="348"/>
        <v/>
      </c>
      <c r="Q525" s="560" t="str">
        <f t="shared" si="349"/>
        <v/>
      </c>
      <c r="R525" s="16"/>
      <c r="U525" s="1"/>
      <c r="V525" s="1"/>
      <c r="W525" s="26"/>
      <c r="X525" s="113" t="s">
        <v>373</v>
      </c>
      <c r="Y525" s="113">
        <f t="shared" si="345"/>
        <v>2040</v>
      </c>
      <c r="Z525" s="113">
        <f t="shared" si="346"/>
        <v>0.95</v>
      </c>
      <c r="AA525" s="121"/>
      <c r="AB525" s="121" t="str">
        <f t="shared" si="350"/>
        <v/>
      </c>
      <c r="AC525" s="121" t="str">
        <f t="shared" si="351"/>
        <v/>
      </c>
      <c r="AD525" s="107" t="s">
        <v>211</v>
      </c>
    </row>
    <row r="526" spans="1:30" ht="52.25" hidden="1" customHeight="1" outlineLevel="3">
      <c r="A526" s="340" t="s">
        <v>136</v>
      </c>
      <c r="B526" s="340" t="s">
        <v>400</v>
      </c>
      <c r="C526" s="927"/>
      <c r="D526" s="333" t="str">
        <f>IF(SUMIF('INS Segmentation'!$AK$78:$AK$143,'Climate-Alignment Target'!AD526,'INS Segmentation'!$AL$78:$AL$143)&gt;0,"Climate-alignment target",IF(SUMIF('INS Segmentation'!$AK$78:$AK$143,'Climate-Alignment Target'!AD526,'INS Segmentation'!$AM$78:$AM$143)&gt;0,"Sector target","No target type selected"))</f>
        <v>No target type selected</v>
      </c>
      <c r="E526" s="557" cm="1">
        <f t="array" ref="E526">SUMPRODUCT(('INS Segmentation'!$M$78:$M$143=TRUE)*($AD526='INS Segmentation'!$AK$78:$AK$143)*('Climate-Alignment Target'!E$506='INS Segmentation'!$Q$77:$V$77)*('INS Segmentation'!$Q$78:$V$143))</f>
        <v>0</v>
      </c>
      <c r="F526" s="557" t="str" cm="1">
        <f t="array" ref="F526">IF($D526="Climate-alignment target",SUMPRODUCT(('INS Segmentation'!$M$78:$M$143=TRUE)*($AD526='INS Segmentation'!$AK$78:$AK$143)*('Climate-Alignment Target'!F$506='INS Segmentation'!$Q$77:$V$77)*('INS Segmentation'!$Q$78:$V$143)),"")</f>
        <v/>
      </c>
      <c r="G526" s="557" t="str" cm="1">
        <f t="array" ref="G526">IF($D526="Climate-alignment target",SUMPRODUCT(('INS Segmentation'!$M$78:$M$143=TRUE)*($AD526='INS Segmentation'!$AK$78:$AK$143)*('Climate-Alignment Target'!G$506='INS Segmentation'!$Q$77:$V$77)*('INS Segmentation'!$Q$78:$V$143)),"")</f>
        <v/>
      </c>
      <c r="H526" s="557" t="str" cm="1">
        <f t="array" ref="H526">IF($D526="Climate-alignment target",SUMPRODUCT(('INS Segmentation'!$M$78:$M$143=TRUE)*($AD526='INS Segmentation'!$AK$78:$AK$143)*('Climate-Alignment Target'!H$506='INS Segmentation'!$Q$77:$V$77)*('INS Segmentation'!$Q$78:$V$143)),"")</f>
        <v/>
      </c>
      <c r="I526" s="557" t="str" cm="1">
        <f t="array" ref="I526">IF($D526="Climate-alignment target",SUMPRODUCT(('INS Segmentation'!$M$78:$M$143=TRUE)*($AD526='INS Segmentation'!$AK$78:$AK$143)*('Climate-Alignment Target'!I$506='INS Segmentation'!$Q$77:$V$77)*('INS Segmentation'!$Q$78:$V$143)),"")</f>
        <v/>
      </c>
      <c r="J526" s="557" t="str" cm="1">
        <f t="array" ref="J526">IF($D526="Climate-alignment target",SUMPRODUCT(('INS Segmentation'!$M$78:$M$143=TRUE)*($AD526='INS Segmentation'!$AK$78:$AK$143)*('Climate-Alignment Target'!J$506='INS Segmentation'!$Q$77:$V$77)*('INS Segmentation'!$Q$78:$V$143)),"")</f>
        <v/>
      </c>
      <c r="K526" s="557" t="str">
        <f t="shared" si="343"/>
        <v/>
      </c>
      <c r="L526" s="557" t="str">
        <f t="shared" si="347"/>
        <v/>
      </c>
      <c r="M526" s="562">
        <f>IF(SUM(F526:J526)=0,0,SUM(H526:J526)/(SUM(F526:J526)))</f>
        <v>0</v>
      </c>
      <c r="N526" s="915"/>
      <c r="O526" s="563"/>
      <c r="P526" s="562" t="str">
        <f t="shared" si="348"/>
        <v/>
      </c>
      <c r="Q526" s="560" t="str">
        <f t="shared" si="349"/>
        <v/>
      </c>
      <c r="R526" s="16"/>
      <c r="U526" s="1"/>
      <c r="V526" s="1"/>
      <c r="W526" s="26"/>
      <c r="X526" s="113" t="s">
        <v>378</v>
      </c>
      <c r="Y526" s="113">
        <f t="shared" si="345"/>
        <v>2050</v>
      </c>
      <c r="Z526" s="113">
        <f t="shared" si="346"/>
        <v>0.95</v>
      </c>
      <c r="AA526" s="121"/>
      <c r="AB526" s="121" t="str">
        <f t="shared" si="350"/>
        <v/>
      </c>
      <c r="AC526" s="121" t="str">
        <f t="shared" si="351"/>
        <v/>
      </c>
      <c r="AD526" s="107" t="s">
        <v>226</v>
      </c>
    </row>
    <row r="527" spans="1:30" ht="52.25" hidden="1" customHeight="1" outlineLevel="3">
      <c r="A527" s="340" t="s">
        <v>136</v>
      </c>
      <c r="B527" s="340" t="s">
        <v>416</v>
      </c>
      <c r="C527" s="927"/>
      <c r="D527" s="333" t="str">
        <f>IF(SUMIF('INS Segmentation'!$AK$78:$AK$143,'Climate-Alignment Target'!AD527,'INS Segmentation'!$AL$78:$AL$143)&gt;0,"Climate-alignment target",IF(SUMIF('INS Segmentation'!$AK$78:$AK$143,'Climate-Alignment Target'!AD527,'INS Segmentation'!$AM$78:$AM$143)&gt;0,"Sector target","No target type selected"))</f>
        <v>No target type selected</v>
      </c>
      <c r="E527" s="557" cm="1">
        <f t="array" ref="E527">SUMPRODUCT(('INS Segmentation'!$M$78:$M$143=TRUE)*($AD527='INS Segmentation'!$AK$78:$AK$143)*('Climate-Alignment Target'!E$506='INS Segmentation'!$Q$77:$V$77)*('INS Segmentation'!$Q$78:$V$143))</f>
        <v>0</v>
      </c>
      <c r="F527" s="557" t="str" cm="1">
        <f t="array" ref="F527">IF($D527="Climate-alignment target",SUMPRODUCT(('INS Segmentation'!$M$78:$M$143=TRUE)*($AD527='INS Segmentation'!$AK$78:$AK$143)*('Climate-Alignment Target'!F$506='INS Segmentation'!$Q$77:$V$77)*('INS Segmentation'!$Q$78:$V$143)),"")</f>
        <v/>
      </c>
      <c r="G527" s="557" t="str" cm="1">
        <f t="array" ref="G527">IF($D527="Climate-alignment target",SUMPRODUCT(('INS Segmentation'!$M$78:$M$143=TRUE)*($AD527='INS Segmentation'!$AK$78:$AK$143)*('Climate-Alignment Target'!G$506='INS Segmentation'!$Q$77:$V$77)*('INS Segmentation'!$Q$78:$V$143)),"")</f>
        <v/>
      </c>
      <c r="H527" s="557" t="str" cm="1">
        <f t="array" ref="H527">IF($D527="Climate-alignment target",SUMPRODUCT(('INS Segmentation'!$M$78:$M$143=TRUE)*($AD527='INS Segmentation'!$AK$78:$AK$143)*('Climate-Alignment Target'!H$506='INS Segmentation'!$Q$77:$V$77)*('INS Segmentation'!$Q$78:$V$143)),"")</f>
        <v/>
      </c>
      <c r="I527" s="557" t="str" cm="1">
        <f t="array" ref="I527">IF($D527="Climate-alignment target",SUMPRODUCT(('INS Segmentation'!$M$78:$M$143=TRUE)*($AD527='INS Segmentation'!$AK$78:$AK$143)*('Climate-Alignment Target'!I$506='INS Segmentation'!$Q$77:$V$77)*('INS Segmentation'!$Q$78:$V$143)),"")</f>
        <v/>
      </c>
      <c r="J527" s="557" t="str" cm="1">
        <f t="array" ref="J527">IF($D527="Climate-alignment target",SUMPRODUCT(('INS Segmentation'!$M$78:$M$143=TRUE)*($AD527='INS Segmentation'!$AK$78:$AK$143)*('Climate-Alignment Target'!J$506='INS Segmentation'!$Q$77:$V$77)*('INS Segmentation'!$Q$78:$V$143)),"")</f>
        <v/>
      </c>
      <c r="K527" s="557" t="str">
        <f t="shared" si="343"/>
        <v/>
      </c>
      <c r="L527" s="557" t="str">
        <f t="shared" si="347"/>
        <v/>
      </c>
      <c r="M527" s="562">
        <f>IF(SUM(F527:J527)=0,0,SUM(H527:J527)/(SUM(F527:J527)))</f>
        <v>0</v>
      </c>
      <c r="N527" s="915"/>
      <c r="O527" s="563"/>
      <c r="P527" s="562" t="str">
        <f t="shared" si="348"/>
        <v/>
      </c>
      <c r="Q527" s="560" t="str">
        <f t="shared" si="349"/>
        <v/>
      </c>
      <c r="R527" s="16"/>
      <c r="U527" s="1"/>
      <c r="V527" s="1"/>
      <c r="W527" s="26"/>
      <c r="X527" s="113" t="s">
        <v>378</v>
      </c>
      <c r="Y527" s="113">
        <f t="shared" si="345"/>
        <v>2050</v>
      </c>
      <c r="Z527" s="113">
        <f t="shared" si="346"/>
        <v>0.95</v>
      </c>
      <c r="AA527" s="121"/>
      <c r="AB527" s="121" t="str">
        <f t="shared" si="350"/>
        <v/>
      </c>
      <c r="AC527" s="121" t="str">
        <f t="shared" si="351"/>
        <v/>
      </c>
      <c r="AD527" s="107" t="s">
        <v>265</v>
      </c>
    </row>
    <row r="528" spans="1:30" ht="52.25" hidden="1" customHeight="1" outlineLevel="3">
      <c r="A528" s="340" t="s">
        <v>136</v>
      </c>
      <c r="B528" s="340" t="s">
        <v>401</v>
      </c>
      <c r="C528" s="927"/>
      <c r="D528" s="333" t="str">
        <f>IF(SUMIF('INS Segmentation'!$AK$78:$AK$143,'Climate-Alignment Target'!AD528,'INS Segmentation'!$AL$78:$AL$143)&gt;0,"Climate-alignment target",IF(SUMIF('INS Segmentation'!$AK$78:$AK$143,'Climate-Alignment Target'!AD528,'INS Segmentation'!$AM$78:$AM$143)&gt;0,"Sector target","No target type selected"))</f>
        <v>No target type selected</v>
      </c>
      <c r="E528" s="557" cm="1">
        <f t="array" ref="E528">SUMPRODUCT(('INS Segmentation'!$M$78:$M$143=TRUE)*($AD528='INS Segmentation'!$AK$78:$AK$143)*('Climate-Alignment Target'!E$506='INS Segmentation'!$Q$77:$V$77)*('INS Segmentation'!$Q$78:$V$143))</f>
        <v>0</v>
      </c>
      <c r="F528" s="557" t="str" cm="1">
        <f t="array" ref="F528">IF($D528="Climate-alignment target",SUMPRODUCT(('INS Segmentation'!$M$78:$M$143=TRUE)*($AD528='INS Segmentation'!$AK$78:$AK$143)*('Climate-Alignment Target'!F$506='INS Segmentation'!$Q$77:$V$77)*('INS Segmentation'!$Q$78:$V$143)),"")</f>
        <v/>
      </c>
      <c r="G528" s="557" t="str" cm="1">
        <f t="array" ref="G528">IF($D528="Climate-alignment target",SUMPRODUCT(('INS Segmentation'!$M$78:$M$143=TRUE)*($AD528='INS Segmentation'!$AK$78:$AK$143)*('Climate-Alignment Target'!G$506='INS Segmentation'!$Q$77:$V$77)*('INS Segmentation'!$Q$78:$V$143)),"")</f>
        <v/>
      </c>
      <c r="H528" s="557" t="str" cm="1">
        <f t="array" ref="H528">IF($D528="Climate-alignment target",SUMPRODUCT(('INS Segmentation'!$M$78:$M$143=TRUE)*($AD528='INS Segmentation'!$AK$78:$AK$143)*('Climate-Alignment Target'!H$506='INS Segmentation'!$Q$77:$V$77)*('INS Segmentation'!$Q$78:$V$143)),"")</f>
        <v/>
      </c>
      <c r="I528" s="557" t="str" cm="1">
        <f t="array" ref="I528">IF($D528="Climate-alignment target",SUMPRODUCT(('INS Segmentation'!$M$78:$M$143=TRUE)*($AD528='INS Segmentation'!$AK$78:$AK$143)*('Climate-Alignment Target'!I$506='INS Segmentation'!$Q$77:$V$77)*('INS Segmentation'!$Q$78:$V$143)),"")</f>
        <v/>
      </c>
      <c r="J528" s="557" t="str" cm="1">
        <f t="array" ref="J528">IF($D528="Climate-alignment target",SUMPRODUCT(('INS Segmentation'!$M$78:$M$143=TRUE)*($AD528='INS Segmentation'!$AK$78:$AK$143)*('Climate-Alignment Target'!J$506='INS Segmentation'!$Q$77:$V$77)*('INS Segmentation'!$Q$78:$V$143)),"")</f>
        <v/>
      </c>
      <c r="K528" s="557" t="str">
        <f t="shared" si="343"/>
        <v/>
      </c>
      <c r="L528" s="557" t="str">
        <f t="shared" si="347"/>
        <v/>
      </c>
      <c r="M528" s="562">
        <f>IF(SUM(F528:J528)=0,0,SUM(H528:J528)/(SUM(F528:J528)))</f>
        <v>0</v>
      </c>
      <c r="N528" s="915"/>
      <c r="O528" s="563"/>
      <c r="P528" s="562" t="str">
        <f t="shared" si="348"/>
        <v/>
      </c>
      <c r="Q528" s="560" t="str">
        <f t="shared" si="349"/>
        <v/>
      </c>
      <c r="R528" s="16"/>
      <c r="U528" s="1"/>
      <c r="V528" s="1"/>
      <c r="W528" s="26"/>
      <c r="X528" s="113" t="s">
        <v>378</v>
      </c>
      <c r="Y528" s="113">
        <f t="shared" si="345"/>
        <v>2050</v>
      </c>
      <c r="Z528" s="113">
        <f t="shared" si="346"/>
        <v>0.95</v>
      </c>
      <c r="AA528" s="121"/>
      <c r="AB528" s="121" t="str">
        <f t="shared" si="350"/>
        <v/>
      </c>
      <c r="AC528" s="121" t="str">
        <f t="shared" si="351"/>
        <v/>
      </c>
      <c r="AD528" s="107" t="s">
        <v>228</v>
      </c>
    </row>
    <row r="529" spans="1:35" ht="52.25" hidden="1" customHeight="1" outlineLevel="3">
      <c r="A529" s="340" t="s">
        <v>136</v>
      </c>
      <c r="B529" s="340" t="s">
        <v>135</v>
      </c>
      <c r="C529" s="927"/>
      <c r="D529" s="333" t="str">
        <f>IF(SUMIF('INS Segmentation'!$AK$78:$AK$143,'Climate-Alignment Target'!AD529,'INS Segmentation'!$AL$78:$AL$143)&gt;0,"Climate-alignment target",IF(SUMIF('INS Segmentation'!$AK$78:$AK$143,'Climate-Alignment Target'!AD529,'INS Segmentation'!$AM$78:$AM$143)&gt;0,"Sector target","No target type selected"))</f>
        <v>No target type selected</v>
      </c>
      <c r="E529" s="557" cm="1">
        <f t="array" ref="E529">SUMPRODUCT(('INS Segmentation'!$M$78:$M$143=TRUE)*($AD529='INS Segmentation'!$AK$78:$AK$143)*('Climate-Alignment Target'!E$506='INS Segmentation'!$Q$77:$V$77)*('INS Segmentation'!$Q$78:$V$143))</f>
        <v>0</v>
      </c>
      <c r="F529" s="557" t="str" cm="1">
        <f t="array" ref="F529">IF($D529="Climate-alignment target",SUMPRODUCT(('INS Segmentation'!$M$78:$M$143=TRUE)*($AD529='INS Segmentation'!$AK$78:$AK$143)*('Climate-Alignment Target'!F$506='INS Segmentation'!$Q$77:$V$77)*('INS Segmentation'!$Q$78:$V$143)),"")</f>
        <v/>
      </c>
      <c r="G529" s="557" t="str" cm="1">
        <f t="array" ref="G529">IF($D529="Climate-alignment target",SUMPRODUCT(('INS Segmentation'!$M$78:$M$143=TRUE)*($AD529='INS Segmentation'!$AK$78:$AK$143)*('Climate-Alignment Target'!G$506='INS Segmentation'!$Q$77:$V$77)*('INS Segmentation'!$Q$78:$V$143)),"")</f>
        <v/>
      </c>
      <c r="H529" s="557" t="str" cm="1">
        <f t="array" ref="H529">IF($D529="Climate-alignment target",SUMPRODUCT(('INS Segmentation'!$M$78:$M$143=TRUE)*($AD529='INS Segmentation'!$AK$78:$AK$143)*('Climate-Alignment Target'!H$506='INS Segmentation'!$Q$77:$V$77)*('INS Segmentation'!$Q$78:$V$143)),"")</f>
        <v/>
      </c>
      <c r="I529" s="557" t="str" cm="1">
        <f t="array" ref="I529">IF($D529="Climate-alignment target",SUMPRODUCT(('INS Segmentation'!$M$78:$M$143=TRUE)*($AD529='INS Segmentation'!$AK$78:$AK$143)*('Climate-Alignment Target'!I$506='INS Segmentation'!$Q$77:$V$77)*('INS Segmentation'!$Q$78:$V$143)),"")</f>
        <v/>
      </c>
      <c r="J529" s="557" t="str" cm="1">
        <f t="array" ref="J529">IF($D529="Climate-alignment target",SUMPRODUCT(('INS Segmentation'!$M$78:$M$143=TRUE)*($AD529='INS Segmentation'!$AK$78:$AK$143)*('Climate-Alignment Target'!J$506='INS Segmentation'!$Q$77:$V$77)*('INS Segmentation'!$Q$78:$V$143)),"")</f>
        <v/>
      </c>
      <c r="K529" s="557" t="str">
        <f t="shared" ref="K529" si="352">IF(D529&lt;&gt;"Climate-alignment target","",SUM(F529:J529))</f>
        <v/>
      </c>
      <c r="L529" s="557" t="str">
        <f t="shared" ref="L529" si="353">IF(AND(E529=K529,D529="Climate-alignment target"),"OK",IF(D529="Sector target","OK - covered by sector target",IF(AND(E529=0,D529="No target type selected"),"","Select a target type")))</f>
        <v/>
      </c>
      <c r="M529" s="562">
        <f>IF(SUM(F529:J529)=0,0,SUM(H529:J529)/(SUM(F529:J529)))</f>
        <v>0</v>
      </c>
      <c r="N529" s="915"/>
      <c r="O529" s="563"/>
      <c r="P529" s="562" t="str">
        <f t="shared" ref="P529" si="354">IF(AND($D529="Climate-alignment target",$N$508&lt;&gt;""),IF(M529&gt;$Z529,M529,(M529+($Z529-M529)/($Y529-$I$466)*($N$508-$I$466))),"")</f>
        <v/>
      </c>
      <c r="Q529" s="560" t="str">
        <f t="shared" ref="Q529" si="355">IF(O529="","",IF(O529-P529&gt;=0,"OK","Minimum ambition not met, please increase ambition"))</f>
        <v/>
      </c>
      <c r="R529" s="16"/>
      <c r="U529" s="1"/>
      <c r="V529" s="1"/>
      <c r="W529" s="26"/>
      <c r="X529" s="113" t="s">
        <v>378</v>
      </c>
      <c r="Y529" s="113">
        <f t="shared" ref="Y529" si="356">_xlfn.XLOOKUP($X529,$AB$17:$AB$24,AE$17:AE$24,0,0)</f>
        <v>2050</v>
      </c>
      <c r="Z529" s="113">
        <f t="shared" ref="Z529" si="357">_xlfn.XLOOKUP($X529,$AB$17:$AB$24,AF$17:AF$24,0,0)</f>
        <v>0.95</v>
      </c>
      <c r="AA529" s="121"/>
      <c r="AB529" s="121" t="str">
        <f t="shared" ref="AB529" si="358">IF($D529&lt;&gt;"Climate-alignment target","",O529*K529)</f>
        <v/>
      </c>
      <c r="AC529" s="121" t="str">
        <f t="shared" ref="AC529" si="359">IF($D529&lt;&gt;"Climate-alignment target","",K529)</f>
        <v/>
      </c>
      <c r="AD529" s="107" t="s">
        <v>214</v>
      </c>
    </row>
    <row r="530" spans="1:35" ht="52.25" hidden="1" customHeight="1" outlineLevel="3">
      <c r="A530" s="340" t="s">
        <v>130</v>
      </c>
      <c r="B530" s="340" t="s">
        <v>129</v>
      </c>
      <c r="C530" s="927"/>
      <c r="D530" s="333" t="str">
        <f>IF(SUMIF('INS Segmentation'!$AK$78:$AK$143,'Climate-Alignment Target'!AD530,'INS Segmentation'!$AL$78:$AL$143)&gt;0,"Climate-alignment target",IF(SUMIF('INS Segmentation'!$AK$78:$AK$143,'Climate-Alignment Target'!AD530,'INS Segmentation'!$AM$78:$AM$143)&gt;0,"Sector target","No target type selected"))</f>
        <v>No target type selected</v>
      </c>
      <c r="E530" s="557" cm="1">
        <f t="array" ref="E530">SUMPRODUCT(('INS Segmentation'!$M$78:$M$143=TRUE)*($AD530='INS Segmentation'!$AK$78:$AK$143)*('Climate-Alignment Target'!E$506='INS Segmentation'!$Q$77:$V$77)*('INS Segmentation'!$Q$78:$V$143))</f>
        <v>0</v>
      </c>
      <c r="F530" s="557" t="str" cm="1">
        <f t="array" ref="F530">IF($D530="Climate-alignment target",SUMPRODUCT(('INS Segmentation'!$M$78:$M$143=TRUE)*($AD530='INS Segmentation'!$AK$78:$AK$143)*('Climate-Alignment Target'!F$506='INS Segmentation'!$Q$77:$V$77)*('INS Segmentation'!$Q$78:$V$143)),"")</f>
        <v/>
      </c>
      <c r="G530" s="557" t="str" cm="1">
        <f t="array" ref="G530">IF($D530="Climate-alignment target",SUMPRODUCT(('INS Segmentation'!$M$78:$M$143=TRUE)*($AD530='INS Segmentation'!$AK$78:$AK$143)*('Climate-Alignment Target'!G$506='INS Segmentation'!$Q$77:$V$77)*('INS Segmentation'!$Q$78:$V$143)),"")</f>
        <v/>
      </c>
      <c r="H530" s="557" t="str" cm="1">
        <f t="array" ref="H530">IF($D530="Climate-alignment target",SUMPRODUCT(('INS Segmentation'!$M$78:$M$143=TRUE)*($AD530='INS Segmentation'!$AK$78:$AK$143)*('Climate-Alignment Target'!H$506='INS Segmentation'!$Q$77:$V$77)*('INS Segmentation'!$Q$78:$V$143)),"")</f>
        <v/>
      </c>
      <c r="I530" s="557" t="str" cm="1">
        <f t="array" ref="I530">IF($D530="Climate-alignment target",SUMPRODUCT(('INS Segmentation'!$M$78:$M$143=TRUE)*($AD530='INS Segmentation'!$AK$78:$AK$143)*('Climate-Alignment Target'!I$506='INS Segmentation'!$Q$77:$V$77)*('INS Segmentation'!$Q$78:$V$143)),"")</f>
        <v/>
      </c>
      <c r="J530" s="557" t="str" cm="1">
        <f t="array" ref="J530">IF($D530="Climate-alignment target",SUMPRODUCT(('INS Segmentation'!$M$78:$M$143=TRUE)*($AD530='INS Segmentation'!$AK$78:$AK$143)*('Climate-Alignment Target'!J$506='INS Segmentation'!$Q$77:$V$77)*('INS Segmentation'!$Q$78:$V$143)),"")</f>
        <v/>
      </c>
      <c r="K530" s="557" t="str">
        <f t="shared" si="343"/>
        <v/>
      </c>
      <c r="L530" s="557" t="str">
        <f t="shared" si="347"/>
        <v/>
      </c>
      <c r="M530" s="562">
        <f>IF(SUM(F530:J530)=0,0,SUM(H530:J530)/(SUM(F530:J530)))</f>
        <v>0</v>
      </c>
      <c r="N530" s="915"/>
      <c r="O530" s="563"/>
      <c r="P530" s="562" t="str">
        <f t="shared" si="348"/>
        <v/>
      </c>
      <c r="Q530" s="560" t="str">
        <f t="shared" si="349"/>
        <v/>
      </c>
      <c r="R530" s="16"/>
      <c r="U530" s="1"/>
      <c r="V530" s="1"/>
      <c r="W530" s="26"/>
      <c r="X530" s="113" t="s">
        <v>376</v>
      </c>
      <c r="Y530" s="113">
        <f t="shared" si="345"/>
        <v>2040</v>
      </c>
      <c r="Z530" s="113">
        <f t="shared" si="346"/>
        <v>0.95</v>
      </c>
      <c r="AA530" s="121"/>
      <c r="AB530" s="121" t="str">
        <f t="shared" si="350"/>
        <v/>
      </c>
      <c r="AC530" s="121" t="str">
        <f t="shared" si="351"/>
        <v/>
      </c>
      <c r="AD530" s="107" t="s">
        <v>213</v>
      </c>
    </row>
    <row r="531" spans="1:35" ht="15" hidden="1" customHeight="1" outlineLevel="3">
      <c r="B531" s="1"/>
      <c r="C531" s="1"/>
      <c r="D531" s="1"/>
      <c r="E531" s="1"/>
      <c r="F531" s="1"/>
      <c r="G531" s="20"/>
      <c r="H531" s="1"/>
      <c r="I531" s="1"/>
      <c r="Q531" s="608"/>
      <c r="R531" s="608"/>
      <c r="S531" s="608"/>
      <c r="T531" s="608"/>
      <c r="Z531" s="121"/>
      <c r="AB531" s="121"/>
      <c r="AC531" s="121"/>
    </row>
    <row r="532" spans="1:35" ht="15" hidden="1" customHeight="1" outlineLevel="3">
      <c r="A532" s="858" t="s">
        <v>402</v>
      </c>
      <c r="B532" s="858"/>
      <c r="C532" s="858"/>
      <c r="D532" s="858"/>
      <c r="E532" s="858"/>
      <c r="F532" s="858"/>
      <c r="G532" s="858"/>
      <c r="H532" s="858"/>
      <c r="I532" s="858"/>
      <c r="J532" s="858"/>
      <c r="K532" s="858"/>
      <c r="L532" s="858"/>
      <c r="M532" s="858"/>
      <c r="N532" s="858"/>
      <c r="O532" s="858"/>
      <c r="P532" s="858"/>
      <c r="Q532" s="858"/>
      <c r="R532" s="858"/>
      <c r="S532" s="858"/>
      <c r="T532" s="858"/>
      <c r="U532" s="70"/>
      <c r="V532" s="70"/>
      <c r="W532" s="70"/>
      <c r="X532" s="123"/>
      <c r="AB532" s="121"/>
      <c r="AC532" s="121"/>
    </row>
    <row r="533" spans="1:35" ht="6.75" hidden="1" customHeight="1" outlineLevel="3">
      <c r="B533" s="1"/>
      <c r="C533" s="1"/>
      <c r="D533" s="1"/>
      <c r="E533" s="1"/>
      <c r="F533" s="1"/>
      <c r="G533" s="21"/>
      <c r="H533" s="1"/>
      <c r="I533" s="1"/>
      <c r="N533" s="608"/>
      <c r="O533" s="608"/>
      <c r="P533" s="608"/>
      <c r="Z533" s="121"/>
      <c r="AA533" s="121"/>
      <c r="AB533" s="121"/>
      <c r="AC533" s="121"/>
    </row>
    <row r="534" spans="1:35" ht="30" hidden="1" customHeight="1" outlineLevel="3">
      <c r="A534" s="885" t="s">
        <v>99</v>
      </c>
      <c r="B534" s="885"/>
      <c r="C534" s="912" t="s">
        <v>364</v>
      </c>
      <c r="D534" s="798" t="s">
        <v>403</v>
      </c>
      <c r="E534" s="885" t="s">
        <v>365</v>
      </c>
      <c r="F534" s="885"/>
      <c r="G534" s="885"/>
      <c r="H534" s="885"/>
      <c r="I534" s="885"/>
      <c r="J534" s="885"/>
      <c r="K534" s="885"/>
      <c r="L534" s="885"/>
      <c r="M534" s="798" t="s">
        <v>809</v>
      </c>
      <c r="N534" s="885" t="s">
        <v>366</v>
      </c>
      <c r="O534" s="885"/>
      <c r="P534" s="885"/>
      <c r="Q534" s="834" t="s">
        <v>367</v>
      </c>
      <c r="R534" s="868"/>
      <c r="S534" s="868"/>
      <c r="T534" s="835"/>
      <c r="W534" s="1"/>
      <c r="X534" s="121"/>
      <c r="AB534" s="121"/>
      <c r="AC534" s="121"/>
    </row>
    <row r="535" spans="1:35" ht="68" hidden="1" outlineLevel="3">
      <c r="A535" s="885"/>
      <c r="B535" s="885"/>
      <c r="C535" s="912"/>
      <c r="D535" s="798"/>
      <c r="E535" s="36" t="s">
        <v>106</v>
      </c>
      <c r="F535" s="554" t="s">
        <v>101</v>
      </c>
      <c r="G535" s="554" t="s">
        <v>102</v>
      </c>
      <c r="H535" s="558" t="s">
        <v>103</v>
      </c>
      <c r="I535" s="558" t="s">
        <v>104</v>
      </c>
      <c r="J535" s="554" t="s">
        <v>105</v>
      </c>
      <c r="K535" s="798" t="s">
        <v>807</v>
      </c>
      <c r="L535" s="798" t="s">
        <v>808</v>
      </c>
      <c r="M535" s="798"/>
      <c r="N535" s="885" t="s">
        <v>822</v>
      </c>
      <c r="O535" s="885" t="s">
        <v>826</v>
      </c>
      <c r="P535" s="885" t="s">
        <v>824</v>
      </c>
      <c r="Q535" s="885" t="s">
        <v>810</v>
      </c>
      <c r="R535" s="885" t="s">
        <v>811</v>
      </c>
      <c r="S535" s="885" t="s">
        <v>812</v>
      </c>
      <c r="T535" s="798" t="s">
        <v>813</v>
      </c>
      <c r="V535" s="1"/>
      <c r="W535" s="68"/>
      <c r="AB535" s="121"/>
      <c r="AC535" s="121"/>
    </row>
    <row r="536" spans="1:35" ht="30" hidden="1" customHeight="1" outlineLevel="3">
      <c r="A536" s="885"/>
      <c r="B536" s="885"/>
      <c r="C536" s="912"/>
      <c r="D536" s="798"/>
      <c r="E536" s="40" t="s">
        <v>819</v>
      </c>
      <c r="F536" s="928" t="s">
        <v>806</v>
      </c>
      <c r="G536" s="929"/>
      <c r="H536" s="929"/>
      <c r="I536" s="929"/>
      <c r="J536" s="929"/>
      <c r="K536" s="798"/>
      <c r="L536" s="798"/>
      <c r="M536" s="798"/>
      <c r="N536" s="885"/>
      <c r="O536" s="885"/>
      <c r="P536" s="885"/>
      <c r="Q536" s="885"/>
      <c r="R536" s="885"/>
      <c r="S536" s="885"/>
      <c r="T536" s="798"/>
      <c r="V536" s="1"/>
      <c r="W536" s="68"/>
      <c r="AB536" s="121"/>
      <c r="AC536" s="121"/>
    </row>
    <row r="537" spans="1:35" ht="30" hidden="1" customHeight="1" outlineLevel="3">
      <c r="A537" s="916" t="s">
        <v>113</v>
      </c>
      <c r="B537" s="916"/>
      <c r="C537" s="901" t="s">
        <v>356</v>
      </c>
      <c r="D537" s="930" t="s">
        <v>404</v>
      </c>
      <c r="E537" s="557">
        <f>SUMIFS(K$508:K$530,$A$508:$A$530,$A537)</f>
        <v>0</v>
      </c>
      <c r="F537" s="557">
        <f t="shared" ref="F537:J540" si="360">SUMIFS(F$508:F$530,$A$508:$A$530,$A537,$D$508:$D$530,$D$231)</f>
        <v>0</v>
      </c>
      <c r="G537" s="557">
        <f t="shared" si="360"/>
        <v>0</v>
      </c>
      <c r="H537" s="557">
        <f t="shared" si="360"/>
        <v>0</v>
      </c>
      <c r="I537" s="557">
        <f t="shared" si="360"/>
        <v>0</v>
      </c>
      <c r="J537" s="557">
        <f t="shared" si="360"/>
        <v>0</v>
      </c>
      <c r="K537" s="557" t="str">
        <f t="shared" ref="K537:K540" si="361">IF(E537=0,"",SUM(F537:J537))</f>
        <v/>
      </c>
      <c r="L537" s="557" t="str">
        <f>IF(E537=0,"",IF(E537-K537=0,"OK","Review financial exposure"))</f>
        <v/>
      </c>
      <c r="M537" s="562">
        <f>IF(SUM(F537:J537)=0,0,(H537+I537+J537)/(SUM(F537:J537)))</f>
        <v>0</v>
      </c>
      <c r="N537" s="902">
        <f>N508</f>
        <v>0</v>
      </c>
      <c r="O537" s="562" t="str">
        <f>IFERROR(SUMIF($A$508:$A$530,$A537,$AB$508:$AB$530)/SUMIF($A$508:$A$530,$A537,$AC$508:$AC$530),"")</f>
        <v/>
      </c>
      <c r="P537" s="933" t="str">
        <f>IFERROR(SUMPRODUCT(O537:O540,E537:E540)/SUM(E537:E540),"")</f>
        <v/>
      </c>
      <c r="Q537" s="908"/>
      <c r="R537" s="909"/>
      <c r="S537" s="897" t="str">
        <f>IF(Q537="","",95%)</f>
        <v/>
      </c>
      <c r="T537" s="898" t="str">
        <f>IF(R537="","",IF(R537-S537&gt;=0,"OK","Minimum ambition not met, please increase ambition"))</f>
        <v/>
      </c>
      <c r="V537" s="1"/>
      <c r="W537" s="68"/>
      <c r="X537" s="107"/>
      <c r="AB537" s="121"/>
      <c r="AC537" s="121"/>
      <c r="AI537" s="120" t="s">
        <v>434</v>
      </c>
    </row>
    <row r="538" spans="1:35" ht="30" hidden="1" customHeight="1" outlineLevel="3">
      <c r="A538" s="916" t="s">
        <v>121</v>
      </c>
      <c r="B538" s="916"/>
      <c r="C538" s="901"/>
      <c r="D538" s="931"/>
      <c r="E538" s="557">
        <f>SUMIFS(K$508:K$530,$A$508:$A$530,$A538)</f>
        <v>0</v>
      </c>
      <c r="F538" s="557">
        <f t="shared" si="360"/>
        <v>0</v>
      </c>
      <c r="G538" s="557">
        <f t="shared" si="360"/>
        <v>0</v>
      </c>
      <c r="H538" s="557">
        <f t="shared" si="360"/>
        <v>0</v>
      </c>
      <c r="I538" s="557">
        <f t="shared" si="360"/>
        <v>0</v>
      </c>
      <c r="J538" s="557">
        <f t="shared" si="360"/>
        <v>0</v>
      </c>
      <c r="K538" s="557" t="str">
        <f t="shared" si="361"/>
        <v/>
      </c>
      <c r="L538" s="557" t="str">
        <f t="shared" ref="L538:L540" si="362">IF(E538=0,"",IF(E538-K538=0,"OK","Review financial exposure"))</f>
        <v/>
      </c>
      <c r="M538" s="562">
        <f>IF(SUM(F538:J538)=0,0,(H538+I538+J538)/(SUM(F538:J538)))</f>
        <v>0</v>
      </c>
      <c r="N538" s="903"/>
      <c r="O538" s="562" t="str">
        <f>IFERROR(SUMIF($A$508:$A$530,$A538,$AB$508:$AB$530)/SUMIF($A$508:$A$530,$A538,$AC$508:$AC$530),"")</f>
        <v/>
      </c>
      <c r="P538" s="933"/>
      <c r="Q538" s="908"/>
      <c r="R538" s="909"/>
      <c r="S538" s="897"/>
      <c r="T538" s="898"/>
      <c r="V538" s="1"/>
      <c r="W538" s="68"/>
      <c r="X538" s="107"/>
      <c r="AB538" s="121"/>
      <c r="AC538" s="121"/>
    </row>
    <row r="539" spans="1:35" ht="30" hidden="1" customHeight="1" outlineLevel="3">
      <c r="A539" s="916" t="s">
        <v>130</v>
      </c>
      <c r="B539" s="916"/>
      <c r="C539" s="901"/>
      <c r="D539" s="931"/>
      <c r="E539" s="557">
        <f>SUMIFS(K$508:K$530,$A$508:$A$530,$A539)</f>
        <v>0</v>
      </c>
      <c r="F539" s="557">
        <f t="shared" si="360"/>
        <v>0</v>
      </c>
      <c r="G539" s="557">
        <f t="shared" si="360"/>
        <v>0</v>
      </c>
      <c r="H539" s="557">
        <f t="shared" si="360"/>
        <v>0</v>
      </c>
      <c r="I539" s="557">
        <f t="shared" si="360"/>
        <v>0</v>
      </c>
      <c r="J539" s="557">
        <f t="shared" si="360"/>
        <v>0</v>
      </c>
      <c r="K539" s="557" t="str">
        <f t="shared" si="361"/>
        <v/>
      </c>
      <c r="L539" s="557" t="str">
        <f t="shared" si="362"/>
        <v/>
      </c>
      <c r="M539" s="562">
        <f>IF(SUM(F539:J539)=0,0,(H539+I539+J539)/(SUM(F539:J539)))</f>
        <v>0</v>
      </c>
      <c r="N539" s="903"/>
      <c r="O539" s="562" t="str">
        <f>IFERROR(SUMIF($A$508:$A$530,$A539,$AB$508:$AB$530)/SUMIF($A$508:$A$530,$A539,$AC$508:$AC$530),"")</f>
        <v/>
      </c>
      <c r="P539" s="933"/>
      <c r="Q539" s="908"/>
      <c r="R539" s="909"/>
      <c r="S539" s="897"/>
      <c r="T539" s="898"/>
      <c r="V539" s="1"/>
      <c r="W539" s="24"/>
      <c r="X539" s="108"/>
      <c r="Y539" s="108"/>
      <c r="Z539" s="108"/>
      <c r="AA539" s="108"/>
      <c r="AB539" s="121"/>
      <c r="AC539" s="121"/>
    </row>
    <row r="540" spans="1:35" ht="30" hidden="1" customHeight="1" outlineLevel="3">
      <c r="A540" s="916" t="s">
        <v>136</v>
      </c>
      <c r="B540" s="916"/>
      <c r="C540" s="901"/>
      <c r="D540" s="932"/>
      <c r="E540" s="557">
        <f>SUMIFS(K$508:K$530,$A$508:$A$530,$A540)</f>
        <v>0</v>
      </c>
      <c r="F540" s="557">
        <f t="shared" si="360"/>
        <v>0</v>
      </c>
      <c r="G540" s="557">
        <f t="shared" si="360"/>
        <v>0</v>
      </c>
      <c r="H540" s="557">
        <f t="shared" si="360"/>
        <v>0</v>
      </c>
      <c r="I540" s="557">
        <f t="shared" si="360"/>
        <v>0</v>
      </c>
      <c r="J540" s="557">
        <f t="shared" si="360"/>
        <v>0</v>
      </c>
      <c r="K540" s="557" t="str">
        <f t="shared" si="361"/>
        <v/>
      </c>
      <c r="L540" s="557" t="str">
        <f t="shared" si="362"/>
        <v/>
      </c>
      <c r="M540" s="562">
        <f>IF(SUM(F540:J540)=0,0,(H540+I540+J540)/(SUM(F540:J540)))</f>
        <v>0</v>
      </c>
      <c r="N540" s="904"/>
      <c r="O540" s="562" t="str">
        <f>IFERROR(SUMIF($A$508:$A$530,$A540,$AB$508:$AB$530)/SUMIF($A$508:$A$530,$A540,$AC$508:$AC$530),"")</f>
        <v/>
      </c>
      <c r="P540" s="933"/>
      <c r="Q540" s="908"/>
      <c r="R540" s="909"/>
      <c r="S540" s="897"/>
      <c r="T540" s="898"/>
      <c r="V540" s="1"/>
      <c r="W540" s="24"/>
      <c r="X540" s="107"/>
      <c r="AB540" s="121"/>
      <c r="AC540" s="121"/>
    </row>
    <row r="541" spans="1:35" ht="13.5" hidden="1" customHeight="1" outlineLevel="2">
      <c r="AB541" s="121"/>
      <c r="AC541" s="121"/>
    </row>
    <row r="542" spans="1:35" ht="13.5" hidden="1" customHeight="1" outlineLevel="2">
      <c r="AB542" s="121"/>
      <c r="AC542" s="121"/>
    </row>
    <row r="543" spans="1:35" ht="15.75" hidden="1" customHeight="1" outlineLevel="2" collapsed="1">
      <c r="A543" s="867" t="s">
        <v>380</v>
      </c>
      <c r="B543" s="867"/>
      <c r="C543" s="867"/>
      <c r="D543" s="556"/>
      <c r="E543" s="556"/>
      <c r="F543" s="64"/>
      <c r="G543" s="64"/>
      <c r="H543" s="64"/>
      <c r="I543" s="64"/>
      <c r="J543" s="64"/>
      <c r="K543" s="64"/>
      <c r="L543" s="64"/>
      <c r="M543" s="64"/>
      <c r="N543" s="64"/>
      <c r="O543" s="64"/>
      <c r="P543" s="64"/>
      <c r="Q543" s="64"/>
      <c r="R543" s="64"/>
      <c r="S543" s="64"/>
      <c r="T543" s="64"/>
      <c r="U543" s="64"/>
      <c r="V543" s="64"/>
      <c r="AB543" s="121"/>
      <c r="AC543" s="121"/>
    </row>
    <row r="544" spans="1:35" ht="13.5" hidden="1" customHeight="1" outlineLevel="3">
      <c r="A544" s="1"/>
      <c r="B544" s="1"/>
      <c r="C544" s="18"/>
      <c r="D544" s="1"/>
      <c r="E544" s="1"/>
      <c r="AB544" s="121"/>
      <c r="AC544" s="121"/>
    </row>
    <row r="545" spans="1:29" s="122" customFormat="1" ht="20.25" hidden="1" customHeight="1" outlineLevel="3">
      <c r="A545" s="858" t="s">
        <v>406</v>
      </c>
      <c r="B545" s="858"/>
      <c r="C545" s="858"/>
      <c r="D545" s="858"/>
      <c r="E545" s="858"/>
      <c r="F545" s="858"/>
      <c r="G545" s="858"/>
      <c r="H545" s="858"/>
      <c r="I545" s="858"/>
      <c r="J545" s="858"/>
      <c r="K545" s="858"/>
      <c r="L545" s="858"/>
      <c r="M545" s="858"/>
      <c r="N545" s="858"/>
      <c r="O545" s="858"/>
      <c r="P545" s="858"/>
      <c r="Q545" s="858"/>
      <c r="R545" s="70"/>
      <c r="S545" s="70"/>
      <c r="T545" s="70"/>
      <c r="U545" s="12"/>
      <c r="V545" s="12"/>
      <c r="W545" s="12"/>
      <c r="AB545" s="121"/>
      <c r="AC545" s="121"/>
    </row>
    <row r="546" spans="1:29" ht="6" hidden="1" customHeight="1" outlineLevel="3">
      <c r="A546" s="1"/>
      <c r="B546" s="917"/>
      <c r="C546" s="917"/>
      <c r="D546" s="917"/>
      <c r="E546" s="917"/>
      <c r="F546" s="917"/>
      <c r="G546" s="917"/>
      <c r="H546" s="17"/>
      <c r="I546" s="17"/>
      <c r="J546" s="17"/>
      <c r="K546" s="17"/>
      <c r="L546" s="17"/>
      <c r="M546" s="17"/>
      <c r="N546" s="17"/>
      <c r="O546" s="17"/>
      <c r="P546" s="17"/>
      <c r="Q546" s="17"/>
      <c r="R546" s="17"/>
      <c r="S546" s="17"/>
      <c r="T546" s="17"/>
      <c r="U546" s="17"/>
      <c r="V546" s="17"/>
      <c r="W546" s="17"/>
      <c r="X546" s="110"/>
      <c r="Y546" s="110"/>
      <c r="Z546" s="110"/>
      <c r="AA546" s="110"/>
      <c r="AB546" s="121"/>
      <c r="AC546" s="121"/>
    </row>
    <row r="547" spans="1:29" ht="15.75" hidden="1" customHeight="1" outlineLevel="3">
      <c r="A547" s="918" t="s">
        <v>99</v>
      </c>
      <c r="B547" s="918" t="s">
        <v>387</v>
      </c>
      <c r="C547" s="920" t="s">
        <v>364</v>
      </c>
      <c r="D547" s="918" t="s">
        <v>818</v>
      </c>
      <c r="E547" s="885" t="s">
        <v>365</v>
      </c>
      <c r="F547" s="885"/>
      <c r="G547" s="885"/>
      <c r="H547" s="885"/>
      <c r="I547" s="885"/>
      <c r="J547" s="885"/>
      <c r="K547" s="885"/>
      <c r="L547" s="885"/>
      <c r="M547" s="798" t="s">
        <v>809</v>
      </c>
      <c r="N547" s="887" t="s">
        <v>366</v>
      </c>
      <c r="O547" s="887"/>
      <c r="P547" s="887"/>
      <c r="Q547" s="887"/>
      <c r="R547" s="13"/>
      <c r="S547" s="17"/>
      <c r="T547" s="17"/>
      <c r="U547" s="17"/>
      <c r="V547" s="17"/>
      <c r="W547" s="17"/>
      <c r="X547" s="110"/>
      <c r="AB547" s="121"/>
      <c r="AC547" s="121"/>
    </row>
    <row r="548" spans="1:29" ht="90.75" hidden="1" customHeight="1" outlineLevel="3">
      <c r="A548" s="918"/>
      <c r="B548" s="918"/>
      <c r="C548" s="920"/>
      <c r="D548" s="918"/>
      <c r="E548" s="36" t="s">
        <v>106</v>
      </c>
      <c r="F548" s="554" t="s">
        <v>101</v>
      </c>
      <c r="G548" s="554" t="s">
        <v>102</v>
      </c>
      <c r="H548" s="558" t="s">
        <v>103</v>
      </c>
      <c r="I548" s="558" t="s">
        <v>104</v>
      </c>
      <c r="J548" s="554" t="s">
        <v>105</v>
      </c>
      <c r="K548" s="798" t="s">
        <v>807</v>
      </c>
      <c r="L548" s="798" t="s">
        <v>808</v>
      </c>
      <c r="M548" s="798"/>
      <c r="N548" s="922" t="s">
        <v>810</v>
      </c>
      <c r="O548" s="923" t="s">
        <v>811</v>
      </c>
      <c r="P548" s="922" t="s">
        <v>821</v>
      </c>
      <c r="Q548" s="924" t="s">
        <v>813</v>
      </c>
      <c r="R548" s="13"/>
      <c r="S548" s="17"/>
      <c r="T548" s="66"/>
      <c r="U548" s="67"/>
      <c r="V548" s="1"/>
      <c r="W548" s="27"/>
      <c r="X548" s="110"/>
      <c r="Y548" s="110"/>
      <c r="Z548" s="110"/>
      <c r="AB548" s="121"/>
      <c r="AC548" s="121"/>
    </row>
    <row r="549" spans="1:29" ht="21" hidden="1" customHeight="1" outlineLevel="3">
      <c r="A549" s="919"/>
      <c r="B549" s="919"/>
      <c r="C549" s="921"/>
      <c r="D549" s="919"/>
      <c r="E549" s="40" t="s">
        <v>819</v>
      </c>
      <c r="F549" s="925" t="s">
        <v>817</v>
      </c>
      <c r="G549" s="926"/>
      <c r="H549" s="926"/>
      <c r="I549" s="926"/>
      <c r="J549" s="926"/>
      <c r="K549" s="798"/>
      <c r="L549" s="798"/>
      <c r="M549" s="798"/>
      <c r="N549" s="922"/>
      <c r="O549" s="924"/>
      <c r="P549" s="922"/>
      <c r="Q549" s="924"/>
      <c r="R549" s="13"/>
      <c r="U549" s="1"/>
      <c r="V549" s="1"/>
      <c r="W549" s="27"/>
      <c r="X549" s="110"/>
      <c r="Y549" s="110"/>
      <c r="Z549" s="110"/>
      <c r="AA549" s="110" t="s">
        <v>388</v>
      </c>
      <c r="AB549" s="121"/>
      <c r="AC549" s="121"/>
    </row>
    <row r="550" spans="1:29" ht="46.25" hidden="1" customHeight="1" outlineLevel="3">
      <c r="A550" s="894" t="s">
        <v>113</v>
      </c>
      <c r="B550" s="886" t="s">
        <v>391</v>
      </c>
      <c r="C550" s="333" t="s">
        <v>369</v>
      </c>
      <c r="D550" s="333" t="str">
        <f>_xlfn.XLOOKUP(AC550,$AD$508:$AD$530,$D$508:$D$530,"No target",0)</f>
        <v>No target type selected</v>
      </c>
      <c r="E550" s="884" cm="1">
        <f t="array" ref="E550">SUMPRODUCT(('INS Segmentation'!$M$78:$M$143=TRUE)*($AC550='INS Segmentation'!$AK$78:$AK$143)*('Climate-Alignment Target'!E$548='INS Segmentation'!$Q$77:$V$77)*('INS Segmentation'!$Q$78:$V$143))</f>
        <v>0</v>
      </c>
      <c r="F550" s="5"/>
      <c r="G550" s="5"/>
      <c r="H550" s="5"/>
      <c r="I550" s="5"/>
      <c r="J550" s="5"/>
      <c r="K550" s="557" t="str">
        <f>IF(D550&lt;&gt;"Climate-alignment target","",SUM(F550:J550))</f>
        <v/>
      </c>
      <c r="L550" s="712" t="str">
        <f>IF(K550="","",IF(E550=(K550+K551),"OK",IF(D550="Sector target","OK - covered by sector target",IF(AND(E550=0,D550="No target type selected"),"OK","Review financial exposure"))))</f>
        <v/>
      </c>
      <c r="M550" s="562">
        <f>IF(SUM(F550:J550)=0,0,SUM(H550:J550)/(SUM(F550:J550)))</f>
        <v>0</v>
      </c>
      <c r="N550" s="915"/>
      <c r="O550" s="563"/>
      <c r="P550" s="562" t="str">
        <f t="shared" ref="P550:P595" si="363">IF(AND($D550="Climate-alignment target",$N$550&lt;&gt;""),IF(M550&gt;$Z550,M550,(M550+($Z550-M550)/($Y550-$I$9)*($N$92-$I$9))),"")</f>
        <v/>
      </c>
      <c r="Q550" s="560" t="str">
        <f>IF(O550="","",IF(O550-P550&gt;=0,"OK","Minimum ambition not met, please increase ambition"))</f>
        <v/>
      </c>
      <c r="R550" s="16"/>
      <c r="T550" s="121" t="s">
        <v>113</v>
      </c>
      <c r="U550" s="1"/>
      <c r="V550" s="1"/>
      <c r="W550" s="26"/>
      <c r="X550" s="113" t="s">
        <v>368</v>
      </c>
      <c r="Y550" s="113">
        <f t="shared" ref="Y550:Y595" si="364">_xlfn.XLOOKUP($X550,$AB$17:$AB$24,AE$17:AE$24,0,0)</f>
        <v>2035</v>
      </c>
      <c r="Z550" s="113">
        <f t="shared" ref="Z550:Z595" si="365">_xlfn.XLOOKUP($X550,$AB$17:$AB$24,AF$17:AF$24,0,0)</f>
        <v>0.95</v>
      </c>
      <c r="AA550" s="121" t="str">
        <f>IF($D550&lt;&gt;"Climate-alignment target","",O550*K550)</f>
        <v/>
      </c>
      <c r="AB550" s="121" t="str">
        <f>IF($D550&lt;&gt;"Climate-alignment target","",K550)</f>
        <v/>
      </c>
      <c r="AC550" s="107" t="s">
        <v>171</v>
      </c>
    </row>
    <row r="551" spans="1:29" ht="46.25" hidden="1" customHeight="1" outlineLevel="3">
      <c r="A551" s="895"/>
      <c r="B551" s="886"/>
      <c r="C551" s="333" t="s">
        <v>372</v>
      </c>
      <c r="D551" s="333" t="str">
        <f>D550</f>
        <v>No target type selected</v>
      </c>
      <c r="E551" s="713"/>
      <c r="F551" s="5"/>
      <c r="G551" s="5"/>
      <c r="H551" s="5"/>
      <c r="I551" s="5"/>
      <c r="J551" s="5"/>
      <c r="K551" s="557" t="str">
        <f>IF(D551&lt;&gt;"Climate-alignment target","",SUM(F551:J551))</f>
        <v/>
      </c>
      <c r="L551" s="713"/>
      <c r="M551" s="562">
        <f>IF(SUM(F551:J551)=0,0,SUM(H551:J551)/(SUM(F551:J551)))</f>
        <v>0</v>
      </c>
      <c r="N551" s="915"/>
      <c r="O551" s="563"/>
      <c r="P551" s="562" t="str">
        <f t="shared" si="363"/>
        <v/>
      </c>
      <c r="Q551" s="560" t="str">
        <f t="shared" ref="Q551:Q595" si="366">IF(O551="","",IF(O551-P551&gt;=0,"OK","Minimum ambition not met, please increase ambition"))</f>
        <v/>
      </c>
      <c r="R551" s="16"/>
      <c r="T551" s="121" t="s">
        <v>113</v>
      </c>
      <c r="U551" s="1"/>
      <c r="V551" s="1"/>
      <c r="W551" s="26"/>
      <c r="X551" s="113" t="s">
        <v>371</v>
      </c>
      <c r="Y551" s="113">
        <f t="shared" si="364"/>
        <v>2035</v>
      </c>
      <c r="Z551" s="113">
        <f t="shared" si="365"/>
        <v>0.85</v>
      </c>
      <c r="AA551" s="121" t="str">
        <f t="shared" ref="AA551:AA595" si="367">IF($D551&lt;&gt;"Climate-alignment target","",O551*K551)</f>
        <v/>
      </c>
      <c r="AB551" s="121" t="str">
        <f t="shared" ref="AB551:AB595" si="368">IF($D551&lt;&gt;"Climate-alignment target","",K551)</f>
        <v/>
      </c>
      <c r="AC551" s="107"/>
    </row>
    <row r="552" spans="1:29" ht="46.25" hidden="1" customHeight="1" outlineLevel="3">
      <c r="A552" s="895"/>
      <c r="B552" s="886" t="s">
        <v>392</v>
      </c>
      <c r="C552" s="333" t="s">
        <v>369</v>
      </c>
      <c r="D552" s="333" t="str">
        <f t="shared" ref="D552" si="369">_xlfn.XLOOKUP(AC552,$AD$508:$AD$530,$D$508:$D$530,"No target",0)</f>
        <v>No target type selected</v>
      </c>
      <c r="E552" s="884" cm="1">
        <f t="array" ref="E552">SUMPRODUCT(('INS Segmentation'!$M$78:$M$143=TRUE)*($AC552='INS Segmentation'!$AK$78:$AK$143)*('Climate-Alignment Target'!E$548='INS Segmentation'!$Q$77:$V$77)*('INS Segmentation'!$Q$78:$V$143))</f>
        <v>0</v>
      </c>
      <c r="F552" s="5"/>
      <c r="G552" s="5"/>
      <c r="H552" s="5"/>
      <c r="I552" s="5"/>
      <c r="J552" s="5"/>
      <c r="K552" s="557" t="str">
        <f t="shared" ref="K552:K595" si="370">IF(D552&lt;&gt;"Climate-alignment target","",SUM(F552:J552))</f>
        <v/>
      </c>
      <c r="L552" s="712" t="str">
        <f>IF(K552="","",IF(E552=(K552+K553),"OK",IF(D552="Sector target","OK - covered by sector target",IF(AND(E552=0,D552="No target type selected"),"OK","Review financial exposure"))))</f>
        <v/>
      </c>
      <c r="M552" s="562">
        <f>IF(SUM(F552:J552)=0,0,SUM(H552:J552)/(SUM(F552:J552)))</f>
        <v>0</v>
      </c>
      <c r="N552" s="915"/>
      <c r="O552" s="563"/>
      <c r="P552" s="562" t="str">
        <f t="shared" si="363"/>
        <v/>
      </c>
      <c r="Q552" s="560" t="str">
        <f t="shared" si="366"/>
        <v/>
      </c>
      <c r="R552" s="16"/>
      <c r="T552" s="121" t="s">
        <v>113</v>
      </c>
      <c r="U552" s="1"/>
      <c r="V552" s="1"/>
      <c r="W552" s="26"/>
      <c r="X552" s="113" t="s">
        <v>368</v>
      </c>
      <c r="Y552" s="113">
        <f t="shared" si="364"/>
        <v>2035</v>
      </c>
      <c r="Z552" s="113">
        <f t="shared" si="365"/>
        <v>0.95</v>
      </c>
      <c r="AA552" s="121" t="str">
        <f t="shared" si="367"/>
        <v/>
      </c>
      <c r="AB552" s="121" t="str">
        <f t="shared" si="368"/>
        <v/>
      </c>
      <c r="AC552" s="107" t="s">
        <v>172</v>
      </c>
    </row>
    <row r="553" spans="1:29" ht="46.25" hidden="1" customHeight="1" outlineLevel="3">
      <c r="A553" s="896"/>
      <c r="B553" s="886"/>
      <c r="C553" s="333" t="s">
        <v>372</v>
      </c>
      <c r="D553" s="333" t="str">
        <f t="shared" ref="D553" si="371">D552</f>
        <v>No target type selected</v>
      </c>
      <c r="E553" s="713"/>
      <c r="F553" s="5"/>
      <c r="G553" s="5"/>
      <c r="H553" s="5"/>
      <c r="I553" s="5"/>
      <c r="J553" s="5"/>
      <c r="K553" s="557" t="str">
        <f t="shared" si="370"/>
        <v/>
      </c>
      <c r="L553" s="713"/>
      <c r="M553" s="562">
        <f>IF(SUM(F553:J553)=0,0,SUM(H553:J553)/(SUM(F553:J553)))</f>
        <v>0</v>
      </c>
      <c r="N553" s="915"/>
      <c r="O553" s="563"/>
      <c r="P553" s="562" t="str">
        <f t="shared" si="363"/>
        <v/>
      </c>
      <c r="Q553" s="560" t="str">
        <f t="shared" si="366"/>
        <v/>
      </c>
      <c r="R553" s="16"/>
      <c r="T553" s="121" t="s">
        <v>113</v>
      </c>
      <c r="U553" s="1"/>
      <c r="V553" s="1"/>
      <c r="W553" s="26"/>
      <c r="X553" s="113" t="s">
        <v>371</v>
      </c>
      <c r="Y553" s="113">
        <f t="shared" si="364"/>
        <v>2035</v>
      </c>
      <c r="Z553" s="113">
        <f t="shared" si="365"/>
        <v>0.85</v>
      </c>
      <c r="AA553" s="121" t="str">
        <f t="shared" si="367"/>
        <v/>
      </c>
      <c r="AB553" s="121" t="str">
        <f t="shared" si="368"/>
        <v/>
      </c>
      <c r="AC553" s="107"/>
    </row>
    <row r="554" spans="1:29" ht="46.25" hidden="1" customHeight="1" outlineLevel="3">
      <c r="A554" s="863" t="s">
        <v>121</v>
      </c>
      <c r="B554" s="340" t="s">
        <v>120</v>
      </c>
      <c r="C554" s="333" t="s">
        <v>369</v>
      </c>
      <c r="D554" s="333" t="str">
        <f t="shared" ref="D554" si="372">_xlfn.XLOOKUP(AC554,$AD$508:$AD$530,$D$508:$D$530,"No target",0)</f>
        <v>No target type selected</v>
      </c>
      <c r="E554" s="884" cm="1">
        <f t="array" ref="E554">SUMPRODUCT(('INS Segmentation'!$M$78:$M$143=TRUE)*($AC554='INS Segmentation'!$AK$78:$AK$143)*('Climate-Alignment Target'!E$548='INS Segmentation'!$Q$77:$V$77)*('INS Segmentation'!$Q$78:$V$143))</f>
        <v>0</v>
      </c>
      <c r="F554" s="5"/>
      <c r="G554" s="5"/>
      <c r="H554" s="5"/>
      <c r="I554" s="5"/>
      <c r="J554" s="5"/>
      <c r="K554" s="557" t="str">
        <f t="shared" si="370"/>
        <v/>
      </c>
      <c r="L554" s="712" t="str">
        <f>IF(K554="","",IF(E554=(K554+K555),"OK",IF(D554="Sector target","OK - covered by sector target",IF(AND(E554=0,D554="No target type selected"),"OK","Review financial exposure"))))</f>
        <v/>
      </c>
      <c r="M554" s="562">
        <f t="shared" ref="M554:M595" si="373">IF(SUM(F554:J554)=0,0,SUM(H554:J554)/(SUM(F554:J554)))</f>
        <v>0</v>
      </c>
      <c r="N554" s="915"/>
      <c r="O554" s="563"/>
      <c r="P554" s="562" t="str">
        <f t="shared" si="363"/>
        <v/>
      </c>
      <c r="Q554" s="560" t="str">
        <f t="shared" si="366"/>
        <v/>
      </c>
      <c r="R554" s="16"/>
      <c r="T554" s="124" t="s">
        <v>121</v>
      </c>
      <c r="U554" s="1"/>
      <c r="V554" s="1"/>
      <c r="W554" s="26"/>
      <c r="X554" s="113" t="s">
        <v>373</v>
      </c>
      <c r="Y554" s="113">
        <f t="shared" si="364"/>
        <v>2040</v>
      </c>
      <c r="Z554" s="113">
        <f t="shared" si="365"/>
        <v>0.95</v>
      </c>
      <c r="AA554" s="121" t="str">
        <f t="shared" si="367"/>
        <v/>
      </c>
      <c r="AB554" s="121" t="str">
        <f t="shared" si="368"/>
        <v/>
      </c>
      <c r="AC554" s="107" t="s">
        <v>173</v>
      </c>
    </row>
    <row r="555" spans="1:29" ht="46.25" hidden="1" customHeight="1" outlineLevel="3">
      <c r="A555" s="865"/>
      <c r="B555" s="340" t="s">
        <v>120</v>
      </c>
      <c r="C555" s="333" t="s">
        <v>372</v>
      </c>
      <c r="D555" s="333" t="str">
        <f t="shared" ref="D555" si="374">D554</f>
        <v>No target type selected</v>
      </c>
      <c r="E555" s="713"/>
      <c r="F555" s="5"/>
      <c r="G555" s="5"/>
      <c r="H555" s="5"/>
      <c r="I555" s="5"/>
      <c r="J555" s="5"/>
      <c r="K555" s="557" t="str">
        <f t="shared" si="370"/>
        <v/>
      </c>
      <c r="L555" s="713"/>
      <c r="M555" s="562">
        <f t="shared" si="373"/>
        <v>0</v>
      </c>
      <c r="N555" s="915"/>
      <c r="O555" s="563"/>
      <c r="P555" s="562" t="str">
        <f t="shared" si="363"/>
        <v/>
      </c>
      <c r="Q555" s="560" t="str">
        <f t="shared" si="366"/>
        <v/>
      </c>
      <c r="R555" s="16"/>
      <c r="T555" s="124" t="s">
        <v>121</v>
      </c>
      <c r="U555" s="1"/>
      <c r="V555" s="1"/>
      <c r="W555" s="26"/>
      <c r="X555" s="113" t="s">
        <v>374</v>
      </c>
      <c r="Y555" s="113">
        <f t="shared" si="364"/>
        <v>2040</v>
      </c>
      <c r="Z555" s="113">
        <f t="shared" si="365"/>
        <v>0.85</v>
      </c>
      <c r="AA555" s="121" t="str">
        <f t="shared" si="367"/>
        <v/>
      </c>
      <c r="AB555" s="121" t="str">
        <f t="shared" si="368"/>
        <v/>
      </c>
      <c r="AC555" s="107"/>
    </row>
    <row r="556" spans="1:29" ht="46.25" hidden="1" customHeight="1" outlineLevel="3">
      <c r="A556" s="863" t="s">
        <v>121</v>
      </c>
      <c r="B556" s="886" t="s">
        <v>393</v>
      </c>
      <c r="C556" s="333" t="s">
        <v>369</v>
      </c>
      <c r="D556" s="333" t="str">
        <f t="shared" ref="D556" si="375">_xlfn.XLOOKUP(AC556,$AD$508:$AD$530,$D$508:$D$530,"No target",0)</f>
        <v>No target type selected</v>
      </c>
      <c r="E556" s="884" cm="1">
        <f t="array" ref="E556">SUMPRODUCT(('INS Segmentation'!$M$78:$M$143=TRUE)*($AC556='INS Segmentation'!$AK$78:$AK$143)*('Climate-Alignment Target'!E$548='INS Segmentation'!$Q$77:$V$77)*('INS Segmentation'!$Q$78:$V$143))</f>
        <v>0</v>
      </c>
      <c r="F556" s="5"/>
      <c r="G556" s="5"/>
      <c r="H556" s="5"/>
      <c r="I556" s="5"/>
      <c r="J556" s="5"/>
      <c r="K556" s="557" t="str">
        <f t="shared" si="370"/>
        <v/>
      </c>
      <c r="L556" s="712" t="str">
        <f t="shared" ref="L556" si="376">IF(K556="","",IF(E556=(K556+K557),"OK",IF(D556="Sector target","OK - covered by sector target",IF(AND(E556=0,D556="No target type selected"),"OK","Review financial exposure"))))</f>
        <v/>
      </c>
      <c r="M556" s="562">
        <f t="shared" si="373"/>
        <v>0</v>
      </c>
      <c r="N556" s="915"/>
      <c r="O556" s="563"/>
      <c r="P556" s="562" t="str">
        <f t="shared" si="363"/>
        <v/>
      </c>
      <c r="Q556" s="560" t="str">
        <f t="shared" si="366"/>
        <v/>
      </c>
      <c r="R556" s="16"/>
      <c r="T556" s="124" t="s">
        <v>121</v>
      </c>
      <c r="U556" s="1"/>
      <c r="V556" s="1"/>
      <c r="W556" s="26"/>
      <c r="X556" s="113" t="s">
        <v>373</v>
      </c>
      <c r="Y556" s="113">
        <f t="shared" si="364"/>
        <v>2040</v>
      </c>
      <c r="Z556" s="113">
        <f t="shared" si="365"/>
        <v>0.95</v>
      </c>
      <c r="AA556" s="121" t="str">
        <f t="shared" si="367"/>
        <v/>
      </c>
      <c r="AB556" s="121" t="str">
        <f t="shared" si="368"/>
        <v/>
      </c>
      <c r="AC556" s="107" t="s">
        <v>178</v>
      </c>
    </row>
    <row r="557" spans="1:29" ht="46.25" hidden="1" customHeight="1" outlineLevel="3">
      <c r="A557" s="865"/>
      <c r="B557" s="886"/>
      <c r="C557" s="333" t="s">
        <v>372</v>
      </c>
      <c r="D557" s="333" t="str">
        <f t="shared" ref="D557" si="377">D556</f>
        <v>No target type selected</v>
      </c>
      <c r="E557" s="713"/>
      <c r="F557" s="5"/>
      <c r="G557" s="5"/>
      <c r="H557" s="5"/>
      <c r="I557" s="5"/>
      <c r="J557" s="5"/>
      <c r="K557" s="557" t="str">
        <f t="shared" si="370"/>
        <v/>
      </c>
      <c r="L557" s="713"/>
      <c r="M557" s="562">
        <f t="shared" si="373"/>
        <v>0</v>
      </c>
      <c r="N557" s="915"/>
      <c r="O557" s="563"/>
      <c r="P557" s="562" t="str">
        <f t="shared" si="363"/>
        <v/>
      </c>
      <c r="Q557" s="560" t="str">
        <f t="shared" si="366"/>
        <v/>
      </c>
      <c r="R557" s="16"/>
      <c r="T557" s="124" t="s">
        <v>121</v>
      </c>
      <c r="U557" s="1"/>
      <c r="V557" s="1"/>
      <c r="W557" s="26"/>
      <c r="X557" s="113" t="s">
        <v>374</v>
      </c>
      <c r="Y557" s="113">
        <f t="shared" si="364"/>
        <v>2040</v>
      </c>
      <c r="Z557" s="113">
        <f t="shared" si="365"/>
        <v>0.85</v>
      </c>
      <c r="AA557" s="121" t="str">
        <f t="shared" si="367"/>
        <v/>
      </c>
      <c r="AB557" s="121" t="str">
        <f t="shared" si="368"/>
        <v/>
      </c>
      <c r="AC557" s="107"/>
    </row>
    <row r="558" spans="1:29" ht="46.25" hidden="1" customHeight="1" outlineLevel="3">
      <c r="A558" s="863" t="s">
        <v>136</v>
      </c>
      <c r="B558" s="886" t="s">
        <v>393</v>
      </c>
      <c r="C558" s="333" t="s">
        <v>369</v>
      </c>
      <c r="D558" s="333" t="str">
        <f t="shared" ref="D558" si="378">_xlfn.XLOOKUP(AC558,$AD$508:$AD$530,$D$508:$D$530,"No target",0)</f>
        <v>No target type selected</v>
      </c>
      <c r="E558" s="884" cm="1">
        <f t="array" ref="E558">SUMPRODUCT(('INS Segmentation'!$M$78:$M$143=TRUE)*($AC558='INS Segmentation'!$AK$78:$AK$143)*('Climate-Alignment Target'!E$548='INS Segmentation'!$Q$77:$V$77)*('INS Segmentation'!$Q$78:$V$143))</f>
        <v>0</v>
      </c>
      <c r="F558" s="5"/>
      <c r="G558" s="5"/>
      <c r="H558" s="5"/>
      <c r="I558" s="5"/>
      <c r="J558" s="5"/>
      <c r="K558" s="557" t="str">
        <f t="shared" si="370"/>
        <v/>
      </c>
      <c r="L558" s="712" t="str">
        <f t="shared" ref="L558" si="379">IF(K558="","",IF(E558=(K558+K559),"OK",IF(D558="Sector target","OK - covered by sector target",IF(AND(E558=0,D558="No target type selected"),"OK","Review financial exposure"))))</f>
        <v/>
      </c>
      <c r="M558" s="562">
        <f t="shared" si="373"/>
        <v>0</v>
      </c>
      <c r="N558" s="915"/>
      <c r="O558" s="563"/>
      <c r="P558" s="562" t="str">
        <f t="shared" si="363"/>
        <v/>
      </c>
      <c r="Q558" s="560" t="str">
        <f t="shared" si="366"/>
        <v/>
      </c>
      <c r="R558" s="16"/>
      <c r="T558" s="124" t="s">
        <v>136</v>
      </c>
      <c r="U558" s="1"/>
      <c r="V558" s="1"/>
      <c r="W558" s="26"/>
      <c r="X558" s="113" t="s">
        <v>378</v>
      </c>
      <c r="Y558" s="113">
        <f t="shared" si="364"/>
        <v>2050</v>
      </c>
      <c r="Z558" s="113">
        <f t="shared" si="365"/>
        <v>0.95</v>
      </c>
      <c r="AA558" s="121" t="str">
        <f t="shared" si="367"/>
        <v/>
      </c>
      <c r="AB558" s="121" t="str">
        <f t="shared" si="368"/>
        <v/>
      </c>
      <c r="AC558" s="107" t="s">
        <v>216</v>
      </c>
    </row>
    <row r="559" spans="1:29" ht="46.25" hidden="1" customHeight="1" outlineLevel="3">
      <c r="A559" s="865"/>
      <c r="B559" s="886"/>
      <c r="C559" s="333" t="s">
        <v>372</v>
      </c>
      <c r="D559" s="333" t="str">
        <f t="shared" ref="D559" si="380">D558</f>
        <v>No target type selected</v>
      </c>
      <c r="E559" s="713"/>
      <c r="F559" s="5"/>
      <c r="G559" s="5"/>
      <c r="H559" s="5"/>
      <c r="I559" s="5"/>
      <c r="J559" s="5"/>
      <c r="K559" s="557" t="str">
        <f t="shared" si="370"/>
        <v/>
      </c>
      <c r="L559" s="713"/>
      <c r="M559" s="562">
        <f t="shared" si="373"/>
        <v>0</v>
      </c>
      <c r="N559" s="915"/>
      <c r="O559" s="563"/>
      <c r="P559" s="562" t="str">
        <f t="shared" si="363"/>
        <v/>
      </c>
      <c r="Q559" s="560" t="str">
        <f t="shared" si="366"/>
        <v/>
      </c>
      <c r="R559" s="16"/>
      <c r="T559" s="124" t="s">
        <v>136</v>
      </c>
      <c r="U559" s="1"/>
      <c r="V559" s="1"/>
      <c r="W559" s="26"/>
      <c r="X559" s="113" t="s">
        <v>379</v>
      </c>
      <c r="Y559" s="113">
        <f t="shared" si="364"/>
        <v>2050</v>
      </c>
      <c r="Z559" s="113">
        <f t="shared" si="365"/>
        <v>0.85</v>
      </c>
      <c r="AA559" s="121" t="str">
        <f t="shared" si="367"/>
        <v/>
      </c>
      <c r="AB559" s="121" t="str">
        <f t="shared" si="368"/>
        <v/>
      </c>
      <c r="AC559" s="107"/>
    </row>
    <row r="560" spans="1:29" ht="46.25" hidden="1" customHeight="1" outlineLevel="3">
      <c r="A560" s="863" t="s">
        <v>121</v>
      </c>
      <c r="B560" s="886" t="s">
        <v>394</v>
      </c>
      <c r="C560" s="333" t="s">
        <v>369</v>
      </c>
      <c r="D560" s="333" t="str">
        <f t="shared" ref="D560" si="381">_xlfn.XLOOKUP(AC560,$AD$508:$AD$530,$D$508:$D$530,"No target",0)</f>
        <v>No target type selected</v>
      </c>
      <c r="E560" s="884" cm="1">
        <f t="array" ref="E560">SUMPRODUCT(('INS Segmentation'!$M$78:$M$143=TRUE)*($AC560='INS Segmentation'!$AK$78:$AK$143)*('Climate-Alignment Target'!E$548='INS Segmentation'!$Q$77:$V$77)*('INS Segmentation'!$Q$78:$V$143))</f>
        <v>0</v>
      </c>
      <c r="F560" s="5"/>
      <c r="G560" s="5"/>
      <c r="H560" s="5"/>
      <c r="I560" s="5"/>
      <c r="J560" s="5"/>
      <c r="K560" s="557" t="str">
        <f t="shared" si="370"/>
        <v/>
      </c>
      <c r="L560" s="712" t="str">
        <f t="shared" ref="L560" si="382">IF(K560="","",IF(E560=(K560+K561),"OK",IF(D560="Sector target","OK - covered by sector target",IF(AND(E560=0,D560="No target type selected"),"OK","Review financial exposure"))))</f>
        <v/>
      </c>
      <c r="M560" s="562">
        <f t="shared" si="373"/>
        <v>0</v>
      </c>
      <c r="N560" s="915"/>
      <c r="O560" s="563"/>
      <c r="P560" s="562" t="str">
        <f t="shared" si="363"/>
        <v/>
      </c>
      <c r="Q560" s="560" t="str">
        <f t="shared" si="366"/>
        <v/>
      </c>
      <c r="R560" s="16"/>
      <c r="T560" s="124" t="s">
        <v>121</v>
      </c>
      <c r="U560" s="1"/>
      <c r="V560" s="1"/>
      <c r="W560" s="26"/>
      <c r="X560" s="113" t="s">
        <v>373</v>
      </c>
      <c r="Y560" s="113">
        <f t="shared" si="364"/>
        <v>2040</v>
      </c>
      <c r="Z560" s="113">
        <f t="shared" si="365"/>
        <v>0.95</v>
      </c>
      <c r="AA560" s="121" t="str">
        <f t="shared" si="367"/>
        <v/>
      </c>
      <c r="AB560" s="121" t="str">
        <f t="shared" si="368"/>
        <v/>
      </c>
      <c r="AC560" s="107" t="s">
        <v>182</v>
      </c>
    </row>
    <row r="561" spans="1:29" ht="46.25" hidden="1" customHeight="1" outlineLevel="3">
      <c r="A561" s="865"/>
      <c r="B561" s="886"/>
      <c r="C561" s="333" t="s">
        <v>372</v>
      </c>
      <c r="D561" s="333" t="str">
        <f t="shared" ref="D561" si="383">D560</f>
        <v>No target type selected</v>
      </c>
      <c r="E561" s="713"/>
      <c r="F561" s="5"/>
      <c r="G561" s="5"/>
      <c r="H561" s="5"/>
      <c r="I561" s="5"/>
      <c r="J561" s="5"/>
      <c r="K561" s="557" t="str">
        <f t="shared" si="370"/>
        <v/>
      </c>
      <c r="L561" s="713"/>
      <c r="M561" s="562">
        <f t="shared" si="373"/>
        <v>0</v>
      </c>
      <c r="N561" s="915"/>
      <c r="O561" s="563"/>
      <c r="P561" s="562" t="str">
        <f t="shared" si="363"/>
        <v/>
      </c>
      <c r="Q561" s="560" t="str">
        <f t="shared" si="366"/>
        <v/>
      </c>
      <c r="R561" s="16"/>
      <c r="T561" s="124" t="s">
        <v>121</v>
      </c>
      <c r="U561" s="1"/>
      <c r="V561" s="1"/>
      <c r="W561" s="26"/>
      <c r="X561" s="113" t="s">
        <v>374</v>
      </c>
      <c r="Y561" s="113">
        <f t="shared" si="364"/>
        <v>2040</v>
      </c>
      <c r="Z561" s="113">
        <f t="shared" si="365"/>
        <v>0.85</v>
      </c>
      <c r="AA561" s="121" t="str">
        <f t="shared" si="367"/>
        <v/>
      </c>
      <c r="AB561" s="121" t="str">
        <f t="shared" si="368"/>
        <v/>
      </c>
      <c r="AC561" s="107"/>
    </row>
    <row r="562" spans="1:29" ht="46.25" hidden="1" customHeight="1" outlineLevel="3">
      <c r="A562" s="863" t="s">
        <v>136</v>
      </c>
      <c r="B562" s="886" t="s">
        <v>394</v>
      </c>
      <c r="C562" s="333" t="s">
        <v>369</v>
      </c>
      <c r="D562" s="333" t="str">
        <f t="shared" ref="D562" si="384">_xlfn.XLOOKUP(AC562,$AD$508:$AD$530,$D$508:$D$530,"No target",0)</f>
        <v>No target type selected</v>
      </c>
      <c r="E562" s="884" cm="1">
        <f t="array" ref="E562">SUMPRODUCT(('INS Segmentation'!$M$78:$M$143=TRUE)*($AC562='INS Segmentation'!$AK$78:$AK$143)*('Climate-Alignment Target'!E$548='INS Segmentation'!$Q$77:$V$77)*('INS Segmentation'!$Q$78:$V$143))</f>
        <v>0</v>
      </c>
      <c r="F562" s="5"/>
      <c r="G562" s="5"/>
      <c r="H562" s="5"/>
      <c r="I562" s="5"/>
      <c r="J562" s="5"/>
      <c r="K562" s="557" t="str">
        <f t="shared" si="370"/>
        <v/>
      </c>
      <c r="L562" s="712" t="str">
        <f t="shared" ref="L562" si="385">IF(K562="","",IF(E562=(K562+K563),"OK",IF(D562="Sector target","OK - covered by sector target",IF(AND(E562=0,D562="No target type selected"),"OK","Review financial exposure"))))</f>
        <v/>
      </c>
      <c r="M562" s="562">
        <f t="shared" si="373"/>
        <v>0</v>
      </c>
      <c r="N562" s="915"/>
      <c r="O562" s="563"/>
      <c r="P562" s="562" t="str">
        <f t="shared" si="363"/>
        <v/>
      </c>
      <c r="Q562" s="560" t="str">
        <f t="shared" si="366"/>
        <v/>
      </c>
      <c r="R562" s="16"/>
      <c r="T562" s="124" t="s">
        <v>136</v>
      </c>
      <c r="U562" s="1"/>
      <c r="V562" s="1"/>
      <c r="W562" s="26"/>
      <c r="X562" s="113" t="s">
        <v>378</v>
      </c>
      <c r="Y562" s="113">
        <f t="shared" si="364"/>
        <v>2050</v>
      </c>
      <c r="Z562" s="113">
        <f t="shared" si="365"/>
        <v>0.95</v>
      </c>
      <c r="AA562" s="121" t="str">
        <f t="shared" si="367"/>
        <v/>
      </c>
      <c r="AB562" s="121" t="str">
        <f t="shared" si="368"/>
        <v/>
      </c>
      <c r="AC562" s="107" t="s">
        <v>218</v>
      </c>
    </row>
    <row r="563" spans="1:29" ht="46.25" hidden="1" customHeight="1" outlineLevel="3">
      <c r="A563" s="865"/>
      <c r="B563" s="886"/>
      <c r="C563" s="333" t="s">
        <v>372</v>
      </c>
      <c r="D563" s="333" t="str">
        <f t="shared" ref="D563" si="386">D562</f>
        <v>No target type selected</v>
      </c>
      <c r="E563" s="713"/>
      <c r="F563" s="5"/>
      <c r="G563" s="5"/>
      <c r="H563" s="5"/>
      <c r="I563" s="5"/>
      <c r="J563" s="5"/>
      <c r="K563" s="557" t="str">
        <f t="shared" si="370"/>
        <v/>
      </c>
      <c r="L563" s="713"/>
      <c r="M563" s="562">
        <f t="shared" si="373"/>
        <v>0</v>
      </c>
      <c r="N563" s="915"/>
      <c r="O563" s="563"/>
      <c r="P563" s="562" t="str">
        <f t="shared" si="363"/>
        <v/>
      </c>
      <c r="Q563" s="560" t="str">
        <f t="shared" si="366"/>
        <v/>
      </c>
      <c r="R563" s="16"/>
      <c r="T563" s="124" t="s">
        <v>136</v>
      </c>
      <c r="U563" s="1"/>
      <c r="V563" s="1"/>
      <c r="W563" s="26"/>
      <c r="X563" s="113" t="s">
        <v>379</v>
      </c>
      <c r="Y563" s="113">
        <f t="shared" si="364"/>
        <v>2050</v>
      </c>
      <c r="Z563" s="113">
        <f t="shared" si="365"/>
        <v>0.85</v>
      </c>
      <c r="AA563" s="121" t="str">
        <f t="shared" si="367"/>
        <v/>
      </c>
      <c r="AB563" s="121" t="str">
        <f t="shared" si="368"/>
        <v/>
      </c>
      <c r="AC563" s="107"/>
    </row>
    <row r="564" spans="1:29" ht="46.25" hidden="1" customHeight="1" outlineLevel="3">
      <c r="A564" s="863" t="s">
        <v>121</v>
      </c>
      <c r="B564" s="886" t="s">
        <v>395</v>
      </c>
      <c r="C564" s="333" t="s">
        <v>369</v>
      </c>
      <c r="D564" s="333" t="str">
        <f t="shared" ref="D564" si="387">_xlfn.XLOOKUP(AC564,$AD$508:$AD$530,$D$508:$D$530,"No target",0)</f>
        <v>No target type selected</v>
      </c>
      <c r="E564" s="884" cm="1">
        <f t="array" ref="E564">SUMPRODUCT(('INS Segmentation'!$M$78:$M$143=TRUE)*($AC564='INS Segmentation'!$AK$78:$AK$143)*('Climate-Alignment Target'!E$548='INS Segmentation'!$Q$77:$V$77)*('INS Segmentation'!$Q$78:$V$143))</f>
        <v>0</v>
      </c>
      <c r="F564" s="5"/>
      <c r="G564" s="5"/>
      <c r="H564" s="5"/>
      <c r="I564" s="5"/>
      <c r="J564" s="5"/>
      <c r="K564" s="557" t="str">
        <f t="shared" si="370"/>
        <v/>
      </c>
      <c r="L564" s="712" t="str">
        <f t="shared" ref="L564" si="388">IF(K564="","",IF(E564=(K564+K565),"OK",IF(D564="Sector target","OK - covered by sector target",IF(AND(E564=0,D564="No target type selected"),"OK","Review financial exposure"))))</f>
        <v/>
      </c>
      <c r="M564" s="562">
        <f t="shared" si="373"/>
        <v>0</v>
      </c>
      <c r="N564" s="915"/>
      <c r="O564" s="563"/>
      <c r="P564" s="562" t="str">
        <f t="shared" si="363"/>
        <v/>
      </c>
      <c r="Q564" s="560" t="str">
        <f t="shared" si="366"/>
        <v/>
      </c>
      <c r="R564" s="16"/>
      <c r="T564" s="124" t="s">
        <v>121</v>
      </c>
      <c r="U564" s="1"/>
      <c r="V564" s="1"/>
      <c r="W564" s="26"/>
      <c r="X564" s="113" t="s">
        <v>373</v>
      </c>
      <c r="Y564" s="113">
        <f t="shared" si="364"/>
        <v>2040</v>
      </c>
      <c r="Z564" s="113">
        <f t="shared" si="365"/>
        <v>0.95</v>
      </c>
      <c r="AA564" s="121" t="str">
        <f t="shared" si="367"/>
        <v/>
      </c>
      <c r="AB564" s="121" t="str">
        <f t="shared" si="368"/>
        <v/>
      </c>
      <c r="AC564" s="107" t="s">
        <v>187</v>
      </c>
    </row>
    <row r="565" spans="1:29" ht="46.25" hidden="1" customHeight="1" outlineLevel="3">
      <c r="A565" s="865"/>
      <c r="B565" s="886"/>
      <c r="C565" s="333" t="s">
        <v>372</v>
      </c>
      <c r="D565" s="333" t="str">
        <f t="shared" ref="D565" si="389">D564</f>
        <v>No target type selected</v>
      </c>
      <c r="E565" s="713"/>
      <c r="F565" s="5"/>
      <c r="G565" s="5"/>
      <c r="H565" s="5"/>
      <c r="I565" s="5"/>
      <c r="J565" s="5"/>
      <c r="K565" s="557" t="str">
        <f t="shared" si="370"/>
        <v/>
      </c>
      <c r="L565" s="713"/>
      <c r="M565" s="562">
        <f t="shared" si="373"/>
        <v>0</v>
      </c>
      <c r="N565" s="915"/>
      <c r="O565" s="563"/>
      <c r="P565" s="562" t="str">
        <f t="shared" si="363"/>
        <v/>
      </c>
      <c r="Q565" s="560" t="str">
        <f t="shared" si="366"/>
        <v/>
      </c>
      <c r="R565" s="16"/>
      <c r="T565" s="124" t="s">
        <v>121</v>
      </c>
      <c r="U565" s="1"/>
      <c r="V565" s="1"/>
      <c r="W565" s="26"/>
      <c r="X565" s="113" t="s">
        <v>374</v>
      </c>
      <c r="Y565" s="113">
        <f t="shared" si="364"/>
        <v>2040</v>
      </c>
      <c r="Z565" s="113">
        <f t="shared" si="365"/>
        <v>0.85</v>
      </c>
      <c r="AA565" s="121" t="str">
        <f t="shared" si="367"/>
        <v/>
      </c>
      <c r="AB565" s="121" t="str">
        <f t="shared" si="368"/>
        <v/>
      </c>
      <c r="AC565" s="107"/>
    </row>
    <row r="566" spans="1:29" ht="46.25" hidden="1" customHeight="1" outlineLevel="3">
      <c r="A566" s="863" t="s">
        <v>136</v>
      </c>
      <c r="B566" s="886" t="s">
        <v>395</v>
      </c>
      <c r="C566" s="333" t="s">
        <v>369</v>
      </c>
      <c r="D566" s="333" t="str">
        <f t="shared" ref="D566" si="390">_xlfn.XLOOKUP(AC566,$AD$508:$AD$530,$D$508:$D$530,"No target",0)</f>
        <v>No target type selected</v>
      </c>
      <c r="E566" s="884" cm="1">
        <f t="array" ref="E566">SUMPRODUCT(('INS Segmentation'!$M$78:$M$143=TRUE)*($AC566='INS Segmentation'!$AK$78:$AK$143)*('Climate-Alignment Target'!E$548='INS Segmentation'!$Q$77:$V$77)*('INS Segmentation'!$Q$78:$V$143))</f>
        <v>0</v>
      </c>
      <c r="F566" s="5"/>
      <c r="G566" s="5"/>
      <c r="H566" s="5"/>
      <c r="I566" s="5"/>
      <c r="J566" s="5"/>
      <c r="K566" s="557" t="str">
        <f t="shared" si="370"/>
        <v/>
      </c>
      <c r="L566" s="712" t="str">
        <f t="shared" ref="L566" si="391">IF(K566="","",IF(E566=(K566+K567),"OK",IF(D566="Sector target","OK - covered by sector target",IF(AND(E566=0,D566="No target type selected"),"OK","Review financial exposure"))))</f>
        <v/>
      </c>
      <c r="M566" s="562">
        <f t="shared" si="373"/>
        <v>0</v>
      </c>
      <c r="N566" s="915"/>
      <c r="O566" s="563"/>
      <c r="P566" s="562" t="str">
        <f t="shared" si="363"/>
        <v/>
      </c>
      <c r="Q566" s="560" t="str">
        <f t="shared" si="366"/>
        <v/>
      </c>
      <c r="R566" s="16"/>
      <c r="T566" s="124" t="s">
        <v>136</v>
      </c>
      <c r="U566" s="1"/>
      <c r="V566" s="1"/>
      <c r="W566" s="26"/>
      <c r="X566" s="113" t="s">
        <v>378</v>
      </c>
      <c r="Y566" s="113">
        <f t="shared" si="364"/>
        <v>2050</v>
      </c>
      <c r="Z566" s="113">
        <f t="shared" si="365"/>
        <v>0.95</v>
      </c>
      <c r="AA566" s="121" t="str">
        <f t="shared" si="367"/>
        <v/>
      </c>
      <c r="AB566" s="121" t="str">
        <f t="shared" si="368"/>
        <v/>
      </c>
      <c r="AC566" s="107" t="s">
        <v>220</v>
      </c>
    </row>
    <row r="567" spans="1:29" ht="46.25" hidden="1" customHeight="1" outlineLevel="3">
      <c r="A567" s="865"/>
      <c r="B567" s="886"/>
      <c r="C567" s="333" t="s">
        <v>372</v>
      </c>
      <c r="D567" s="333" t="str">
        <f t="shared" ref="D567" si="392">D566</f>
        <v>No target type selected</v>
      </c>
      <c r="E567" s="713"/>
      <c r="F567" s="5"/>
      <c r="G567" s="5"/>
      <c r="H567" s="5"/>
      <c r="I567" s="5"/>
      <c r="J567" s="5"/>
      <c r="K567" s="557" t="str">
        <f t="shared" si="370"/>
        <v/>
      </c>
      <c r="L567" s="713"/>
      <c r="M567" s="562">
        <f t="shared" si="373"/>
        <v>0</v>
      </c>
      <c r="N567" s="915"/>
      <c r="O567" s="563"/>
      <c r="P567" s="562" t="str">
        <f t="shared" si="363"/>
        <v/>
      </c>
      <c r="Q567" s="560" t="str">
        <f t="shared" si="366"/>
        <v/>
      </c>
      <c r="R567" s="16"/>
      <c r="T567" s="124" t="s">
        <v>136</v>
      </c>
      <c r="U567" s="1"/>
      <c r="V567" s="1"/>
      <c r="W567" s="26"/>
      <c r="X567" s="113" t="s">
        <v>379</v>
      </c>
      <c r="Y567" s="113">
        <f t="shared" si="364"/>
        <v>2050</v>
      </c>
      <c r="Z567" s="113">
        <f t="shared" si="365"/>
        <v>0.85</v>
      </c>
      <c r="AA567" s="121" t="str">
        <f t="shared" si="367"/>
        <v/>
      </c>
      <c r="AB567" s="121" t="str">
        <f t="shared" si="368"/>
        <v/>
      </c>
      <c r="AC567" s="107"/>
    </row>
    <row r="568" spans="1:29" ht="46.25" hidden="1" customHeight="1" outlineLevel="3">
      <c r="A568" s="863" t="s">
        <v>121</v>
      </c>
      <c r="B568" s="886" t="s">
        <v>396</v>
      </c>
      <c r="C568" s="333" t="s">
        <v>369</v>
      </c>
      <c r="D568" s="333" t="str">
        <f t="shared" ref="D568" si="393">_xlfn.XLOOKUP(AC568,$AD$508:$AD$530,$D$508:$D$530,"No target",0)</f>
        <v>No target type selected</v>
      </c>
      <c r="E568" s="884" cm="1">
        <f t="array" ref="E568">SUMPRODUCT(('INS Segmentation'!$M$78:$M$143=TRUE)*($AC568='INS Segmentation'!$AK$78:$AK$143)*('Climate-Alignment Target'!E$548='INS Segmentation'!$Q$77:$V$77)*('INS Segmentation'!$Q$78:$V$143))</f>
        <v>0</v>
      </c>
      <c r="F568" s="5"/>
      <c r="G568" s="5"/>
      <c r="H568" s="5"/>
      <c r="I568" s="5"/>
      <c r="J568" s="5"/>
      <c r="K568" s="557" t="str">
        <f t="shared" si="370"/>
        <v/>
      </c>
      <c r="L568" s="712" t="str">
        <f t="shared" ref="L568" si="394">IF(K568="","",IF(E568=(K568+K569),"OK",IF(D568="Sector target","OK - covered by sector target",IF(AND(E568=0,D568="No target type selected"),"OK","Review financial exposure"))))</f>
        <v/>
      </c>
      <c r="M568" s="562">
        <f t="shared" si="373"/>
        <v>0</v>
      </c>
      <c r="N568" s="915"/>
      <c r="O568" s="563"/>
      <c r="P568" s="562" t="str">
        <f t="shared" si="363"/>
        <v/>
      </c>
      <c r="Q568" s="560" t="str">
        <f t="shared" si="366"/>
        <v/>
      </c>
      <c r="R568" s="16"/>
      <c r="T568" s="124" t="s">
        <v>121</v>
      </c>
      <c r="U568" s="1"/>
      <c r="V568" s="1"/>
      <c r="W568" s="26"/>
      <c r="X568" s="113" t="s">
        <v>373</v>
      </c>
      <c r="Y568" s="113">
        <f t="shared" si="364"/>
        <v>2040</v>
      </c>
      <c r="Z568" s="113">
        <f t="shared" si="365"/>
        <v>0.95</v>
      </c>
      <c r="AA568" s="121" t="str">
        <f t="shared" si="367"/>
        <v/>
      </c>
      <c r="AB568" s="121" t="str">
        <f t="shared" si="368"/>
        <v/>
      </c>
      <c r="AC568" s="107" t="s">
        <v>193</v>
      </c>
    </row>
    <row r="569" spans="1:29" ht="46.25" hidden="1" customHeight="1" outlineLevel="3">
      <c r="A569" s="865"/>
      <c r="B569" s="886"/>
      <c r="C569" s="333" t="s">
        <v>372</v>
      </c>
      <c r="D569" s="333" t="str">
        <f t="shared" ref="D569" si="395">D568</f>
        <v>No target type selected</v>
      </c>
      <c r="E569" s="713"/>
      <c r="F569" s="5"/>
      <c r="G569" s="5"/>
      <c r="H569" s="5"/>
      <c r="I569" s="5"/>
      <c r="J569" s="5"/>
      <c r="K569" s="557" t="str">
        <f t="shared" si="370"/>
        <v/>
      </c>
      <c r="L569" s="713"/>
      <c r="M569" s="562">
        <f t="shared" si="373"/>
        <v>0</v>
      </c>
      <c r="N569" s="915"/>
      <c r="O569" s="563"/>
      <c r="P569" s="562" t="str">
        <f t="shared" si="363"/>
        <v/>
      </c>
      <c r="Q569" s="560" t="str">
        <f t="shared" si="366"/>
        <v/>
      </c>
      <c r="R569" s="16"/>
      <c r="T569" s="124" t="s">
        <v>121</v>
      </c>
      <c r="U569" s="1"/>
      <c r="V569" s="1"/>
      <c r="W569" s="26"/>
      <c r="X569" s="113" t="s">
        <v>374</v>
      </c>
      <c r="Y569" s="113">
        <f t="shared" si="364"/>
        <v>2040</v>
      </c>
      <c r="Z569" s="113">
        <f t="shared" si="365"/>
        <v>0.85</v>
      </c>
      <c r="AA569" s="121" t="str">
        <f t="shared" si="367"/>
        <v/>
      </c>
      <c r="AB569" s="121" t="str">
        <f t="shared" si="368"/>
        <v/>
      </c>
      <c r="AC569" s="107"/>
    </row>
    <row r="570" spans="1:29" ht="46.25" hidden="1" customHeight="1" outlineLevel="3">
      <c r="A570" s="863" t="s">
        <v>136</v>
      </c>
      <c r="B570" s="886" t="s">
        <v>396</v>
      </c>
      <c r="C570" s="333" t="s">
        <v>369</v>
      </c>
      <c r="D570" s="333" t="str">
        <f t="shared" ref="D570" si="396">_xlfn.XLOOKUP(AC570,$AD$508:$AD$530,$D$508:$D$530,"No target",0)</f>
        <v>No target type selected</v>
      </c>
      <c r="E570" s="884" cm="1">
        <f t="array" ref="E570">SUMPRODUCT(('INS Segmentation'!$M$78:$M$143=TRUE)*($AC570='INS Segmentation'!$AK$78:$AK$143)*('Climate-Alignment Target'!E$548='INS Segmentation'!$Q$77:$V$77)*('INS Segmentation'!$Q$78:$V$143))</f>
        <v>0</v>
      </c>
      <c r="F570" s="5"/>
      <c r="G570" s="5"/>
      <c r="H570" s="5"/>
      <c r="I570" s="5"/>
      <c r="J570" s="5"/>
      <c r="K570" s="557" t="str">
        <f t="shared" si="370"/>
        <v/>
      </c>
      <c r="L570" s="712" t="str">
        <f t="shared" ref="L570" si="397">IF(K570="","",IF(E570=(K570+K571),"OK",IF(D570="Sector target","OK - covered by sector target",IF(AND(E570=0,D570="No target type selected"),"OK","Review financial exposure"))))</f>
        <v/>
      </c>
      <c r="M570" s="562">
        <f t="shared" si="373"/>
        <v>0</v>
      </c>
      <c r="N570" s="915"/>
      <c r="O570" s="563"/>
      <c r="P570" s="562" t="str">
        <f t="shared" si="363"/>
        <v/>
      </c>
      <c r="Q570" s="560" t="str">
        <f t="shared" si="366"/>
        <v/>
      </c>
      <c r="R570" s="16"/>
      <c r="T570" s="124" t="s">
        <v>136</v>
      </c>
      <c r="U570" s="1"/>
      <c r="V570" s="1"/>
      <c r="W570" s="26"/>
      <c r="X570" s="113" t="s">
        <v>378</v>
      </c>
      <c r="Y570" s="113">
        <f t="shared" si="364"/>
        <v>2050</v>
      </c>
      <c r="Z570" s="113">
        <f t="shared" si="365"/>
        <v>0.95</v>
      </c>
      <c r="AA570" s="121" t="str">
        <f t="shared" si="367"/>
        <v/>
      </c>
      <c r="AB570" s="121" t="str">
        <f t="shared" si="368"/>
        <v/>
      </c>
      <c r="AC570" s="107" t="s">
        <v>221</v>
      </c>
    </row>
    <row r="571" spans="1:29" ht="46.25" hidden="1" customHeight="1" outlineLevel="3">
      <c r="A571" s="865"/>
      <c r="B571" s="886"/>
      <c r="C571" s="333" t="s">
        <v>372</v>
      </c>
      <c r="D571" s="333" t="str">
        <f t="shared" ref="D571" si="398">D570</f>
        <v>No target type selected</v>
      </c>
      <c r="E571" s="713"/>
      <c r="F571" s="5"/>
      <c r="G571" s="5"/>
      <c r="H571" s="5"/>
      <c r="I571" s="5"/>
      <c r="J571" s="5"/>
      <c r="K571" s="557" t="str">
        <f t="shared" si="370"/>
        <v/>
      </c>
      <c r="L571" s="713"/>
      <c r="M571" s="562">
        <f t="shared" si="373"/>
        <v>0</v>
      </c>
      <c r="N571" s="915"/>
      <c r="O571" s="563"/>
      <c r="P571" s="562" t="str">
        <f t="shared" si="363"/>
        <v/>
      </c>
      <c r="Q571" s="560" t="str">
        <f t="shared" si="366"/>
        <v/>
      </c>
      <c r="R571" s="16"/>
      <c r="T571" s="124" t="s">
        <v>136</v>
      </c>
      <c r="U571" s="1"/>
      <c r="V571" s="1"/>
      <c r="W571" s="26"/>
      <c r="X571" s="113" t="s">
        <v>379</v>
      </c>
      <c r="Y571" s="113">
        <f t="shared" si="364"/>
        <v>2050</v>
      </c>
      <c r="Z571" s="113">
        <f t="shared" si="365"/>
        <v>0.85</v>
      </c>
      <c r="AA571" s="121" t="str">
        <f t="shared" si="367"/>
        <v/>
      </c>
      <c r="AB571" s="121" t="str">
        <f t="shared" si="368"/>
        <v/>
      </c>
      <c r="AC571" s="107"/>
    </row>
    <row r="572" spans="1:29" ht="46.25" hidden="1" customHeight="1" outlineLevel="3">
      <c r="A572" s="863" t="s">
        <v>121</v>
      </c>
      <c r="B572" s="886" t="s">
        <v>397</v>
      </c>
      <c r="C572" s="333" t="s">
        <v>369</v>
      </c>
      <c r="D572" s="333" t="str">
        <f t="shared" ref="D572" si="399">_xlfn.XLOOKUP(AC572,$AD$508:$AD$530,$D$508:$D$530,"No target",0)</f>
        <v>No target type selected</v>
      </c>
      <c r="E572" s="884" cm="1">
        <f t="array" ref="E572">SUMPRODUCT(('INS Segmentation'!$M$78:$M$143=TRUE)*($AC572='INS Segmentation'!$AK$78:$AK$143)*('Climate-Alignment Target'!E$548='INS Segmentation'!$Q$77:$V$77)*('INS Segmentation'!$Q$78:$V$143))</f>
        <v>0</v>
      </c>
      <c r="F572" s="5"/>
      <c r="G572" s="5"/>
      <c r="H572" s="5"/>
      <c r="I572" s="5"/>
      <c r="J572" s="5"/>
      <c r="K572" s="557" t="str">
        <f t="shared" si="370"/>
        <v/>
      </c>
      <c r="L572" s="712" t="str">
        <f t="shared" ref="L572" si="400">IF(K572="","",IF(E572=(K572+K573),"OK",IF(D572="Sector target","OK - covered by sector target",IF(AND(E572=0,D572="No target type selected"),"OK","Review financial exposure"))))</f>
        <v/>
      </c>
      <c r="M572" s="562">
        <f t="shared" si="373"/>
        <v>0</v>
      </c>
      <c r="N572" s="915"/>
      <c r="O572" s="563"/>
      <c r="P572" s="562" t="str">
        <f t="shared" si="363"/>
        <v/>
      </c>
      <c r="Q572" s="560" t="str">
        <f t="shared" si="366"/>
        <v/>
      </c>
      <c r="R572" s="16"/>
      <c r="T572" s="124" t="s">
        <v>121</v>
      </c>
      <c r="U572" s="1"/>
      <c r="V572" s="1"/>
      <c r="W572" s="26"/>
      <c r="X572" s="113" t="s">
        <v>373</v>
      </c>
      <c r="Y572" s="113">
        <f t="shared" si="364"/>
        <v>2040</v>
      </c>
      <c r="Z572" s="113">
        <f t="shared" si="365"/>
        <v>0.95</v>
      </c>
      <c r="AA572" s="121" t="str">
        <f t="shared" si="367"/>
        <v/>
      </c>
      <c r="AB572" s="121" t="str">
        <f t="shared" si="368"/>
        <v/>
      </c>
      <c r="AC572" s="107" t="s">
        <v>197</v>
      </c>
    </row>
    <row r="573" spans="1:29" ht="46.25" hidden="1" customHeight="1" outlineLevel="3">
      <c r="A573" s="865"/>
      <c r="B573" s="886"/>
      <c r="C573" s="333" t="s">
        <v>372</v>
      </c>
      <c r="D573" s="333" t="str">
        <f t="shared" ref="D573" si="401">D572</f>
        <v>No target type selected</v>
      </c>
      <c r="E573" s="713"/>
      <c r="F573" s="5"/>
      <c r="G573" s="5"/>
      <c r="H573" s="5"/>
      <c r="I573" s="5"/>
      <c r="J573" s="5"/>
      <c r="K573" s="557" t="str">
        <f t="shared" si="370"/>
        <v/>
      </c>
      <c r="L573" s="713"/>
      <c r="M573" s="562">
        <f t="shared" si="373"/>
        <v>0</v>
      </c>
      <c r="N573" s="915"/>
      <c r="O573" s="563"/>
      <c r="P573" s="562" t="str">
        <f t="shared" si="363"/>
        <v/>
      </c>
      <c r="Q573" s="560" t="str">
        <f t="shared" si="366"/>
        <v/>
      </c>
      <c r="R573" s="16"/>
      <c r="T573" s="124" t="s">
        <v>121</v>
      </c>
      <c r="U573" s="1"/>
      <c r="V573" s="1"/>
      <c r="W573" s="26"/>
      <c r="X573" s="113" t="s">
        <v>374</v>
      </c>
      <c r="Y573" s="113">
        <f t="shared" si="364"/>
        <v>2040</v>
      </c>
      <c r="Z573" s="113">
        <f t="shared" si="365"/>
        <v>0.85</v>
      </c>
      <c r="AA573" s="121" t="str">
        <f t="shared" si="367"/>
        <v/>
      </c>
      <c r="AB573" s="121" t="str">
        <f t="shared" si="368"/>
        <v/>
      </c>
      <c r="AC573" s="107"/>
    </row>
    <row r="574" spans="1:29" ht="46.25" hidden="1" customHeight="1" outlineLevel="3">
      <c r="A574" s="863" t="s">
        <v>136</v>
      </c>
      <c r="B574" s="886" t="s">
        <v>397</v>
      </c>
      <c r="C574" s="333" t="s">
        <v>369</v>
      </c>
      <c r="D574" s="333" t="str">
        <f t="shared" ref="D574" si="402">_xlfn.XLOOKUP(AC574,$AD$508:$AD$530,$D$508:$D$530,"No target",0)</f>
        <v>No target type selected</v>
      </c>
      <c r="E574" s="884" cm="1">
        <f t="array" ref="E574">SUMPRODUCT(('INS Segmentation'!$M$78:$M$143=TRUE)*($AC574='INS Segmentation'!$AK$78:$AK$143)*('Climate-Alignment Target'!E$548='INS Segmentation'!$Q$77:$V$77)*('INS Segmentation'!$Q$78:$V$143))</f>
        <v>0</v>
      </c>
      <c r="F574" s="5"/>
      <c r="G574" s="5"/>
      <c r="H574" s="5"/>
      <c r="I574" s="5"/>
      <c r="J574" s="5"/>
      <c r="K574" s="557" t="str">
        <f t="shared" si="370"/>
        <v/>
      </c>
      <c r="L574" s="712" t="str">
        <f t="shared" ref="L574" si="403">IF(K574="","",IF(E574=(K574+K575),"OK",IF(D574="Sector target","OK - covered by sector target",IF(AND(E574=0,D574="No target type selected"),"OK","Review financial exposure"))))</f>
        <v/>
      </c>
      <c r="M574" s="562">
        <f t="shared" si="373"/>
        <v>0</v>
      </c>
      <c r="N574" s="915"/>
      <c r="O574" s="563"/>
      <c r="P574" s="562" t="str">
        <f t="shared" si="363"/>
        <v/>
      </c>
      <c r="Q574" s="560" t="str">
        <f t="shared" si="366"/>
        <v/>
      </c>
      <c r="R574" s="16"/>
      <c r="T574" s="124" t="s">
        <v>136</v>
      </c>
      <c r="U574" s="1"/>
      <c r="V574" s="1"/>
      <c r="W574" s="26"/>
      <c r="X574" s="113" t="s">
        <v>378</v>
      </c>
      <c r="Y574" s="113">
        <f t="shared" si="364"/>
        <v>2050</v>
      </c>
      <c r="Z574" s="113">
        <f t="shared" si="365"/>
        <v>0.95</v>
      </c>
      <c r="AA574" s="121" t="str">
        <f t="shared" si="367"/>
        <v/>
      </c>
      <c r="AB574" s="121" t="str">
        <f t="shared" si="368"/>
        <v/>
      </c>
      <c r="AC574" s="107" t="s">
        <v>222</v>
      </c>
    </row>
    <row r="575" spans="1:29" ht="46.25" hidden="1" customHeight="1" outlineLevel="3">
      <c r="A575" s="865"/>
      <c r="B575" s="886"/>
      <c r="C575" s="333" t="s">
        <v>372</v>
      </c>
      <c r="D575" s="333" t="str">
        <f t="shared" ref="D575" si="404">D574</f>
        <v>No target type selected</v>
      </c>
      <c r="E575" s="713"/>
      <c r="F575" s="5"/>
      <c r="G575" s="5"/>
      <c r="H575" s="5"/>
      <c r="I575" s="5"/>
      <c r="J575" s="5"/>
      <c r="K575" s="557" t="str">
        <f t="shared" si="370"/>
        <v/>
      </c>
      <c r="L575" s="713"/>
      <c r="M575" s="562">
        <f t="shared" si="373"/>
        <v>0</v>
      </c>
      <c r="N575" s="915"/>
      <c r="O575" s="563"/>
      <c r="P575" s="562" t="str">
        <f t="shared" si="363"/>
        <v/>
      </c>
      <c r="Q575" s="560" t="str">
        <f t="shared" si="366"/>
        <v/>
      </c>
      <c r="R575" s="16"/>
      <c r="T575" s="124" t="s">
        <v>136</v>
      </c>
      <c r="U575" s="1"/>
      <c r="V575" s="1"/>
      <c r="W575" s="26"/>
      <c r="X575" s="113" t="s">
        <v>379</v>
      </c>
      <c r="Y575" s="113">
        <f t="shared" si="364"/>
        <v>2050</v>
      </c>
      <c r="Z575" s="113">
        <f t="shared" si="365"/>
        <v>0.85</v>
      </c>
      <c r="AA575" s="121" t="str">
        <f t="shared" si="367"/>
        <v/>
      </c>
      <c r="AB575" s="121" t="str">
        <f t="shared" si="368"/>
        <v/>
      </c>
      <c r="AC575" s="107"/>
    </row>
    <row r="576" spans="1:29" ht="46.25" hidden="1" customHeight="1" outlineLevel="3">
      <c r="A576" s="863" t="s">
        <v>121</v>
      </c>
      <c r="B576" s="886" t="s">
        <v>398</v>
      </c>
      <c r="C576" s="333" t="s">
        <v>369</v>
      </c>
      <c r="D576" s="333" t="str">
        <f t="shared" ref="D576" si="405">_xlfn.XLOOKUP(AC576,$AD$508:$AD$530,$D$508:$D$530,"No target",0)</f>
        <v>No target type selected</v>
      </c>
      <c r="E576" s="884" cm="1">
        <f t="array" ref="E576">SUMPRODUCT(('INS Segmentation'!$M$78:$M$143=TRUE)*($AC576='INS Segmentation'!$AK$78:$AK$143)*('Climate-Alignment Target'!E$548='INS Segmentation'!$Q$77:$V$77)*('INS Segmentation'!$Q$78:$V$143))</f>
        <v>0</v>
      </c>
      <c r="F576" s="5"/>
      <c r="G576" s="5"/>
      <c r="H576" s="5"/>
      <c r="I576" s="5"/>
      <c r="J576" s="5"/>
      <c r="K576" s="557" t="str">
        <f t="shared" si="370"/>
        <v/>
      </c>
      <c r="L576" s="712" t="str">
        <f t="shared" ref="L576" si="406">IF(K576="","",IF(E576=(K576+K577),"OK",IF(D576="Sector target","OK - covered by sector target",IF(AND(E576=0,D576="No target type selected"),"OK","Review financial exposure"))))</f>
        <v/>
      </c>
      <c r="M576" s="562">
        <f t="shared" si="373"/>
        <v>0</v>
      </c>
      <c r="N576" s="915"/>
      <c r="O576" s="563"/>
      <c r="P576" s="562" t="str">
        <f t="shared" si="363"/>
        <v/>
      </c>
      <c r="Q576" s="560" t="str">
        <f t="shared" si="366"/>
        <v/>
      </c>
      <c r="R576" s="16"/>
      <c r="T576" s="124" t="s">
        <v>121</v>
      </c>
      <c r="U576" s="1"/>
      <c r="V576" s="1"/>
      <c r="W576" s="26"/>
      <c r="X576" s="113" t="s">
        <v>373</v>
      </c>
      <c r="Y576" s="113">
        <f t="shared" si="364"/>
        <v>2040</v>
      </c>
      <c r="Z576" s="113">
        <f t="shared" si="365"/>
        <v>0.95</v>
      </c>
      <c r="AA576" s="121" t="str">
        <f t="shared" si="367"/>
        <v/>
      </c>
      <c r="AB576" s="121" t="str">
        <f t="shared" si="368"/>
        <v/>
      </c>
      <c r="AC576" s="107" t="s">
        <v>202</v>
      </c>
    </row>
    <row r="577" spans="1:29" ht="46.25" hidden="1" customHeight="1" outlineLevel="3">
      <c r="A577" s="865"/>
      <c r="B577" s="886"/>
      <c r="C577" s="333" t="s">
        <v>372</v>
      </c>
      <c r="D577" s="333" t="str">
        <f t="shared" ref="D577" si="407">D576</f>
        <v>No target type selected</v>
      </c>
      <c r="E577" s="713"/>
      <c r="F577" s="5"/>
      <c r="G577" s="5"/>
      <c r="H577" s="5"/>
      <c r="I577" s="5"/>
      <c r="J577" s="5"/>
      <c r="K577" s="557" t="str">
        <f t="shared" si="370"/>
        <v/>
      </c>
      <c r="L577" s="713"/>
      <c r="M577" s="562">
        <f t="shared" si="373"/>
        <v>0</v>
      </c>
      <c r="N577" s="915"/>
      <c r="O577" s="563"/>
      <c r="P577" s="562" t="str">
        <f t="shared" si="363"/>
        <v/>
      </c>
      <c r="Q577" s="560" t="str">
        <f t="shared" si="366"/>
        <v/>
      </c>
      <c r="R577" s="16"/>
      <c r="T577" s="124" t="s">
        <v>121</v>
      </c>
      <c r="U577" s="1"/>
      <c r="V577" s="1"/>
      <c r="W577" s="26"/>
      <c r="X577" s="113" t="s">
        <v>374</v>
      </c>
      <c r="Y577" s="113">
        <f t="shared" si="364"/>
        <v>2040</v>
      </c>
      <c r="Z577" s="113">
        <f t="shared" si="365"/>
        <v>0.85</v>
      </c>
      <c r="AA577" s="121" t="str">
        <f t="shared" si="367"/>
        <v/>
      </c>
      <c r="AB577" s="121" t="str">
        <f t="shared" si="368"/>
        <v/>
      </c>
      <c r="AC577" s="107"/>
    </row>
    <row r="578" spans="1:29" ht="46.25" hidden="1" customHeight="1" outlineLevel="3">
      <c r="A578" s="863" t="s">
        <v>136</v>
      </c>
      <c r="B578" s="886" t="s">
        <v>398</v>
      </c>
      <c r="C578" s="333" t="s">
        <v>369</v>
      </c>
      <c r="D578" s="333" t="str">
        <f t="shared" ref="D578" si="408">_xlfn.XLOOKUP(AC578,$AD$508:$AD$530,$D$508:$D$530,"No target",0)</f>
        <v>No target type selected</v>
      </c>
      <c r="E578" s="884" cm="1">
        <f t="array" ref="E578">SUMPRODUCT(('INS Segmentation'!$M$78:$M$143=TRUE)*($AC578='INS Segmentation'!$AK$78:$AK$143)*('Climate-Alignment Target'!E$548='INS Segmentation'!$Q$77:$V$77)*('INS Segmentation'!$Q$78:$V$143))</f>
        <v>0</v>
      </c>
      <c r="F578" s="5"/>
      <c r="G578" s="5"/>
      <c r="H578" s="5"/>
      <c r="I578" s="5"/>
      <c r="J578" s="5"/>
      <c r="K578" s="557" t="str">
        <f t="shared" si="370"/>
        <v/>
      </c>
      <c r="L578" s="712" t="str">
        <f t="shared" ref="L578" si="409">IF(K578="","",IF(E578=(K578+K579),"OK",IF(D578="Sector target","OK - covered by sector target",IF(AND(E578=0,D578="No target type selected"),"OK","Review financial exposure"))))</f>
        <v/>
      </c>
      <c r="M578" s="562">
        <f t="shared" si="373"/>
        <v>0</v>
      </c>
      <c r="N578" s="915"/>
      <c r="O578" s="563"/>
      <c r="P578" s="562" t="str">
        <f t="shared" si="363"/>
        <v/>
      </c>
      <c r="Q578" s="560" t="str">
        <f t="shared" si="366"/>
        <v/>
      </c>
      <c r="R578" s="16"/>
      <c r="T578" s="124" t="s">
        <v>136</v>
      </c>
      <c r="U578" s="1"/>
      <c r="V578" s="1"/>
      <c r="W578" s="26"/>
      <c r="X578" s="113" t="s">
        <v>378</v>
      </c>
      <c r="Y578" s="113">
        <f t="shared" si="364"/>
        <v>2050</v>
      </c>
      <c r="Z578" s="113">
        <f t="shared" si="365"/>
        <v>0.95</v>
      </c>
      <c r="AA578" s="121" t="str">
        <f t="shared" si="367"/>
        <v/>
      </c>
      <c r="AB578" s="121" t="str">
        <f t="shared" si="368"/>
        <v/>
      </c>
      <c r="AC578" s="107" t="s">
        <v>223</v>
      </c>
    </row>
    <row r="579" spans="1:29" ht="46.25" hidden="1" customHeight="1" outlineLevel="3">
      <c r="A579" s="865"/>
      <c r="B579" s="886"/>
      <c r="C579" s="333" t="s">
        <v>372</v>
      </c>
      <c r="D579" s="333" t="str">
        <f t="shared" ref="D579" si="410">D578</f>
        <v>No target type selected</v>
      </c>
      <c r="E579" s="713"/>
      <c r="F579" s="5"/>
      <c r="G579" s="5"/>
      <c r="H579" s="5"/>
      <c r="I579" s="5"/>
      <c r="J579" s="5"/>
      <c r="K579" s="557" t="str">
        <f t="shared" si="370"/>
        <v/>
      </c>
      <c r="L579" s="713"/>
      <c r="M579" s="562">
        <f t="shared" si="373"/>
        <v>0</v>
      </c>
      <c r="N579" s="915"/>
      <c r="O579" s="563"/>
      <c r="P579" s="562" t="str">
        <f t="shared" si="363"/>
        <v/>
      </c>
      <c r="Q579" s="560" t="str">
        <f t="shared" si="366"/>
        <v/>
      </c>
      <c r="R579" s="16"/>
      <c r="T579" s="124" t="s">
        <v>136</v>
      </c>
      <c r="U579" s="1"/>
      <c r="V579" s="1"/>
      <c r="W579" s="26"/>
      <c r="X579" s="113" t="s">
        <v>379</v>
      </c>
      <c r="Y579" s="113">
        <f t="shared" si="364"/>
        <v>2050</v>
      </c>
      <c r="Z579" s="113">
        <f t="shared" si="365"/>
        <v>0.85</v>
      </c>
      <c r="AA579" s="121" t="str">
        <f t="shared" si="367"/>
        <v/>
      </c>
      <c r="AB579" s="121" t="str">
        <f t="shared" si="368"/>
        <v/>
      </c>
      <c r="AC579" s="107"/>
    </row>
    <row r="580" spans="1:29" ht="46.25" hidden="1" customHeight="1" outlineLevel="3">
      <c r="A580" s="863" t="s">
        <v>121</v>
      </c>
      <c r="B580" s="886" t="s">
        <v>399</v>
      </c>
      <c r="C580" s="333" t="s">
        <v>369</v>
      </c>
      <c r="D580" s="333" t="str">
        <f t="shared" ref="D580" si="411">_xlfn.XLOOKUP(AC580,$AD$508:$AD$530,$D$508:$D$530,"No target",0)</f>
        <v>No target type selected</v>
      </c>
      <c r="E580" s="884" cm="1">
        <f t="array" ref="E580">SUMPRODUCT(('INS Segmentation'!$M$78:$M$143=TRUE)*($AC580='INS Segmentation'!$AK$78:$AK$143)*('Climate-Alignment Target'!E$548='INS Segmentation'!$Q$77:$V$77)*('INS Segmentation'!$Q$78:$V$143))</f>
        <v>0</v>
      </c>
      <c r="F580" s="5"/>
      <c r="G580" s="5"/>
      <c r="H580" s="5"/>
      <c r="I580" s="5"/>
      <c r="J580" s="5"/>
      <c r="K580" s="557" t="str">
        <f t="shared" si="370"/>
        <v/>
      </c>
      <c r="L580" s="712" t="str">
        <f t="shared" ref="L580" si="412">IF(K580="","",IF(E580=(K580+K581),"OK",IF(D580="Sector target","OK - covered by sector target",IF(AND(E580=0,D580="No target type selected"),"OK","Review financial exposure"))))</f>
        <v/>
      </c>
      <c r="M580" s="562">
        <f t="shared" si="373"/>
        <v>0</v>
      </c>
      <c r="N580" s="915"/>
      <c r="O580" s="563"/>
      <c r="P580" s="562" t="str">
        <f t="shared" si="363"/>
        <v/>
      </c>
      <c r="Q580" s="560" t="str">
        <f t="shared" si="366"/>
        <v/>
      </c>
      <c r="R580" s="16"/>
      <c r="T580" s="124" t="s">
        <v>121</v>
      </c>
      <c r="U580" s="1"/>
      <c r="V580" s="1"/>
      <c r="W580" s="26"/>
      <c r="X580" s="113" t="s">
        <v>373</v>
      </c>
      <c r="Y580" s="113">
        <f t="shared" si="364"/>
        <v>2040</v>
      </c>
      <c r="Z580" s="113">
        <f t="shared" si="365"/>
        <v>0.95</v>
      </c>
      <c r="AA580" s="121" t="str">
        <f t="shared" si="367"/>
        <v/>
      </c>
      <c r="AB580" s="121" t="str">
        <f t="shared" si="368"/>
        <v/>
      </c>
      <c r="AC580" s="107" t="s">
        <v>207</v>
      </c>
    </row>
    <row r="581" spans="1:29" ht="46.25" hidden="1" customHeight="1" outlineLevel="3">
      <c r="A581" s="865"/>
      <c r="B581" s="886"/>
      <c r="C581" s="333" t="s">
        <v>372</v>
      </c>
      <c r="D581" s="333" t="str">
        <f t="shared" ref="D581" si="413">D580</f>
        <v>No target type selected</v>
      </c>
      <c r="E581" s="713"/>
      <c r="F581" s="5"/>
      <c r="G581" s="5"/>
      <c r="H581" s="5"/>
      <c r="I581" s="5"/>
      <c r="J581" s="5"/>
      <c r="K581" s="557" t="str">
        <f t="shared" si="370"/>
        <v/>
      </c>
      <c r="L581" s="713"/>
      <c r="M581" s="562">
        <f t="shared" si="373"/>
        <v>0</v>
      </c>
      <c r="N581" s="915"/>
      <c r="O581" s="563"/>
      <c r="P581" s="562" t="str">
        <f t="shared" si="363"/>
        <v/>
      </c>
      <c r="Q581" s="560" t="str">
        <f t="shared" si="366"/>
        <v/>
      </c>
      <c r="R581" s="16"/>
      <c r="T581" s="124" t="s">
        <v>121</v>
      </c>
      <c r="U581" s="1"/>
      <c r="V581" s="1"/>
      <c r="W581" s="26"/>
      <c r="X581" s="113" t="s">
        <v>374</v>
      </c>
      <c r="Y581" s="113">
        <f t="shared" si="364"/>
        <v>2040</v>
      </c>
      <c r="Z581" s="113">
        <f t="shared" si="365"/>
        <v>0.85</v>
      </c>
      <c r="AA581" s="121" t="str">
        <f t="shared" si="367"/>
        <v/>
      </c>
      <c r="AB581" s="121" t="str">
        <f t="shared" si="368"/>
        <v/>
      </c>
      <c r="AC581" s="107"/>
    </row>
    <row r="582" spans="1:29" ht="46.25" hidden="1" customHeight="1" outlineLevel="3">
      <c r="A582" s="863" t="s">
        <v>136</v>
      </c>
      <c r="B582" s="886" t="s">
        <v>399</v>
      </c>
      <c r="C582" s="333" t="s">
        <v>369</v>
      </c>
      <c r="D582" s="333" t="str">
        <f t="shared" ref="D582" si="414">_xlfn.XLOOKUP(AC582,$AD$508:$AD$530,$D$508:$D$530,"No target",0)</f>
        <v>No target type selected</v>
      </c>
      <c r="E582" s="884" cm="1">
        <f t="array" ref="E582">SUMPRODUCT(('INS Segmentation'!$M$78:$M$143=TRUE)*($AC582='INS Segmentation'!$AK$78:$AK$143)*('Climate-Alignment Target'!E$548='INS Segmentation'!$Q$77:$V$77)*('INS Segmentation'!$Q$78:$V$143))</f>
        <v>0</v>
      </c>
      <c r="F582" s="5"/>
      <c r="G582" s="5"/>
      <c r="H582" s="5"/>
      <c r="I582" s="5"/>
      <c r="J582" s="5"/>
      <c r="K582" s="557" t="str">
        <f t="shared" si="370"/>
        <v/>
      </c>
      <c r="L582" s="712" t="str">
        <f t="shared" ref="L582" si="415">IF(K582="","",IF(E582=(K582+K583),"OK",IF(D582="Sector target","OK - covered by sector target",IF(AND(E582=0,D582="No target type selected"),"OK","Review financial exposure"))))</f>
        <v/>
      </c>
      <c r="M582" s="562">
        <f t="shared" si="373"/>
        <v>0</v>
      </c>
      <c r="N582" s="915"/>
      <c r="O582" s="563"/>
      <c r="P582" s="562" t="str">
        <f t="shared" si="363"/>
        <v/>
      </c>
      <c r="Q582" s="560" t="str">
        <f t="shared" si="366"/>
        <v/>
      </c>
      <c r="R582" s="16"/>
      <c r="T582" s="124" t="s">
        <v>136</v>
      </c>
      <c r="U582" s="1"/>
      <c r="V582" s="1"/>
      <c r="W582" s="26"/>
      <c r="X582" s="113" t="s">
        <v>378</v>
      </c>
      <c r="Y582" s="113">
        <f t="shared" si="364"/>
        <v>2050</v>
      </c>
      <c r="Z582" s="113">
        <f t="shared" si="365"/>
        <v>0.95</v>
      </c>
      <c r="AA582" s="121" t="str">
        <f t="shared" si="367"/>
        <v/>
      </c>
      <c r="AB582" s="121" t="str">
        <f t="shared" si="368"/>
        <v/>
      </c>
      <c r="AC582" s="107" t="s">
        <v>224</v>
      </c>
    </row>
    <row r="583" spans="1:29" ht="46.25" hidden="1" customHeight="1" outlineLevel="3">
      <c r="A583" s="865"/>
      <c r="B583" s="886"/>
      <c r="C583" s="333" t="s">
        <v>372</v>
      </c>
      <c r="D583" s="333" t="str">
        <f t="shared" ref="D583" si="416">D582</f>
        <v>No target type selected</v>
      </c>
      <c r="E583" s="713"/>
      <c r="F583" s="5"/>
      <c r="G583" s="5"/>
      <c r="H583" s="5"/>
      <c r="I583" s="5"/>
      <c r="J583" s="5"/>
      <c r="K583" s="557" t="str">
        <f t="shared" si="370"/>
        <v/>
      </c>
      <c r="L583" s="713"/>
      <c r="M583" s="562">
        <f t="shared" si="373"/>
        <v>0</v>
      </c>
      <c r="N583" s="915"/>
      <c r="O583" s="563"/>
      <c r="P583" s="562" t="str">
        <f t="shared" si="363"/>
        <v/>
      </c>
      <c r="Q583" s="560" t="str">
        <f t="shared" si="366"/>
        <v/>
      </c>
      <c r="R583" s="16"/>
      <c r="T583" s="124" t="s">
        <v>136</v>
      </c>
      <c r="U583" s="1"/>
      <c r="V583" s="1"/>
      <c r="W583" s="26"/>
      <c r="X583" s="113" t="s">
        <v>379</v>
      </c>
      <c r="Y583" s="113">
        <f t="shared" si="364"/>
        <v>2050</v>
      </c>
      <c r="Z583" s="113">
        <f t="shared" si="365"/>
        <v>0.85</v>
      </c>
      <c r="AA583" s="121" t="str">
        <f t="shared" si="367"/>
        <v/>
      </c>
      <c r="AB583" s="121" t="str">
        <f t="shared" si="368"/>
        <v/>
      </c>
      <c r="AC583" s="107"/>
    </row>
    <row r="584" spans="1:29" ht="46.25" hidden="1" customHeight="1" outlineLevel="3">
      <c r="A584" s="863" t="s">
        <v>121</v>
      </c>
      <c r="B584" s="886" t="s">
        <v>400</v>
      </c>
      <c r="C584" s="333" t="s">
        <v>369</v>
      </c>
      <c r="D584" s="333" t="str">
        <f t="shared" ref="D584" si="417">_xlfn.XLOOKUP(AC584,$AD$508:$AD$530,$D$508:$D$530,"No target",0)</f>
        <v>No target type selected</v>
      </c>
      <c r="E584" s="884" cm="1">
        <f t="array" ref="E584">SUMPRODUCT(('INS Segmentation'!$M$78:$M$143=TRUE)*($AC584='INS Segmentation'!$AK$78:$AK$143)*('Climate-Alignment Target'!E$548='INS Segmentation'!$Q$77:$V$77)*('INS Segmentation'!$Q$78:$V$143))</f>
        <v>0</v>
      </c>
      <c r="F584" s="5"/>
      <c r="G584" s="5"/>
      <c r="H584" s="5"/>
      <c r="I584" s="5"/>
      <c r="J584" s="5"/>
      <c r="K584" s="557" t="str">
        <f t="shared" si="370"/>
        <v/>
      </c>
      <c r="L584" s="712" t="str">
        <f t="shared" ref="L584" si="418">IF(K584="","",IF(E584=(K584+K585),"OK",IF(D584="Sector target","OK - covered by sector target",IF(AND(E584=0,D584="No target type selected"),"OK","Review financial exposure"))))</f>
        <v/>
      </c>
      <c r="M584" s="562">
        <f t="shared" si="373"/>
        <v>0</v>
      </c>
      <c r="N584" s="915"/>
      <c r="O584" s="563"/>
      <c r="P584" s="562" t="str">
        <f t="shared" si="363"/>
        <v/>
      </c>
      <c r="Q584" s="560" t="str">
        <f t="shared" si="366"/>
        <v/>
      </c>
      <c r="R584" s="16"/>
      <c r="T584" s="124" t="s">
        <v>121</v>
      </c>
      <c r="U584" s="1"/>
      <c r="V584" s="1"/>
      <c r="W584" s="26"/>
      <c r="X584" s="113" t="s">
        <v>373</v>
      </c>
      <c r="Y584" s="113">
        <f t="shared" si="364"/>
        <v>2040</v>
      </c>
      <c r="Z584" s="113">
        <f t="shared" si="365"/>
        <v>0.95</v>
      </c>
      <c r="AA584" s="121" t="str">
        <f t="shared" si="367"/>
        <v/>
      </c>
      <c r="AB584" s="121" t="str">
        <f t="shared" si="368"/>
        <v/>
      </c>
      <c r="AC584" s="107" t="s">
        <v>211</v>
      </c>
    </row>
    <row r="585" spans="1:29" ht="46.25" hidden="1" customHeight="1" outlineLevel="3">
      <c r="A585" s="865"/>
      <c r="B585" s="886"/>
      <c r="C585" s="333" t="s">
        <v>372</v>
      </c>
      <c r="D585" s="333" t="str">
        <f t="shared" ref="D585" si="419">D584</f>
        <v>No target type selected</v>
      </c>
      <c r="E585" s="713"/>
      <c r="F585" s="5"/>
      <c r="G585" s="5"/>
      <c r="H585" s="5"/>
      <c r="I585" s="5"/>
      <c r="J585" s="5"/>
      <c r="K585" s="557" t="str">
        <f t="shared" si="370"/>
        <v/>
      </c>
      <c r="L585" s="713"/>
      <c r="M585" s="562">
        <f t="shared" si="373"/>
        <v>0</v>
      </c>
      <c r="N585" s="915"/>
      <c r="O585" s="563"/>
      <c r="P585" s="562" t="str">
        <f t="shared" si="363"/>
        <v/>
      </c>
      <c r="Q585" s="560" t="str">
        <f t="shared" si="366"/>
        <v/>
      </c>
      <c r="R585" s="16"/>
      <c r="T585" s="124" t="s">
        <v>121</v>
      </c>
      <c r="U585" s="1"/>
      <c r="V585" s="1"/>
      <c r="W585" s="26"/>
      <c r="X585" s="113" t="s">
        <v>374</v>
      </c>
      <c r="Y585" s="113">
        <f t="shared" si="364"/>
        <v>2040</v>
      </c>
      <c r="Z585" s="113">
        <f t="shared" si="365"/>
        <v>0.85</v>
      </c>
      <c r="AA585" s="121" t="str">
        <f t="shared" si="367"/>
        <v/>
      </c>
      <c r="AB585" s="121" t="str">
        <f t="shared" si="368"/>
        <v/>
      </c>
      <c r="AC585" s="107"/>
    </row>
    <row r="586" spans="1:29" ht="46.25" hidden="1" customHeight="1" outlineLevel="3">
      <c r="A586" s="881" t="s">
        <v>136</v>
      </c>
      <c r="B586" s="886" t="s">
        <v>400</v>
      </c>
      <c r="C586" s="333" t="s">
        <v>369</v>
      </c>
      <c r="D586" s="333" t="str">
        <f t="shared" ref="D586" si="420">_xlfn.XLOOKUP(AC586,$AD$508:$AD$530,$D$508:$D$530,"No target",0)</f>
        <v>No target type selected</v>
      </c>
      <c r="E586" s="884" cm="1">
        <f t="array" ref="E586">SUMPRODUCT(('INS Segmentation'!$M$78:$M$143=TRUE)*($AC586='INS Segmentation'!$AK$78:$AK$143)*('Climate-Alignment Target'!E$548='INS Segmentation'!$Q$77:$V$77)*('INS Segmentation'!$Q$78:$V$143))</f>
        <v>0</v>
      </c>
      <c r="F586" s="5"/>
      <c r="G586" s="5"/>
      <c r="H586" s="5"/>
      <c r="I586" s="5"/>
      <c r="J586" s="5"/>
      <c r="K586" s="557" t="str">
        <f t="shared" si="370"/>
        <v/>
      </c>
      <c r="L586" s="712" t="str">
        <f t="shared" ref="L586" si="421">IF(K586="","",IF(E586=(K586+K587),"OK",IF(D586="Sector target","OK - covered by sector target",IF(AND(E586=0,D586="No target type selected"),"OK","Review financial exposure"))))</f>
        <v/>
      </c>
      <c r="M586" s="562">
        <f t="shared" si="373"/>
        <v>0</v>
      </c>
      <c r="N586" s="915"/>
      <c r="O586" s="563"/>
      <c r="P586" s="562" t="str">
        <f t="shared" si="363"/>
        <v/>
      </c>
      <c r="Q586" s="560" t="str">
        <f t="shared" si="366"/>
        <v/>
      </c>
      <c r="R586" s="16"/>
      <c r="T586" s="124" t="s">
        <v>136</v>
      </c>
      <c r="U586" s="1"/>
      <c r="V586" s="1"/>
      <c r="W586" s="26"/>
      <c r="X586" s="113" t="s">
        <v>378</v>
      </c>
      <c r="Y586" s="113">
        <f t="shared" si="364"/>
        <v>2050</v>
      </c>
      <c r="Z586" s="113">
        <f t="shared" si="365"/>
        <v>0.95</v>
      </c>
      <c r="AA586" s="121" t="str">
        <f t="shared" si="367"/>
        <v/>
      </c>
      <c r="AB586" s="121" t="str">
        <f t="shared" si="368"/>
        <v/>
      </c>
      <c r="AC586" s="107" t="s">
        <v>226</v>
      </c>
    </row>
    <row r="587" spans="1:29" ht="46.25" hidden="1" customHeight="1" outlineLevel="3">
      <c r="A587" s="882"/>
      <c r="B587" s="886"/>
      <c r="C587" s="333" t="s">
        <v>372</v>
      </c>
      <c r="D587" s="333" t="str">
        <f t="shared" ref="D587" si="422">D586</f>
        <v>No target type selected</v>
      </c>
      <c r="E587" s="713"/>
      <c r="F587" s="5"/>
      <c r="G587" s="5"/>
      <c r="H587" s="5"/>
      <c r="I587" s="5"/>
      <c r="J587" s="5"/>
      <c r="K587" s="557" t="str">
        <f t="shared" si="370"/>
        <v/>
      </c>
      <c r="L587" s="713"/>
      <c r="M587" s="562">
        <f t="shared" si="373"/>
        <v>0</v>
      </c>
      <c r="N587" s="915"/>
      <c r="O587" s="563"/>
      <c r="P587" s="562" t="str">
        <f t="shared" si="363"/>
        <v/>
      </c>
      <c r="Q587" s="560" t="str">
        <f t="shared" si="366"/>
        <v/>
      </c>
      <c r="R587" s="16"/>
      <c r="T587" s="124" t="s">
        <v>136</v>
      </c>
      <c r="U587" s="1"/>
      <c r="V587" s="1"/>
      <c r="W587" s="26"/>
      <c r="X587" s="113" t="s">
        <v>379</v>
      </c>
      <c r="Y587" s="113">
        <f t="shared" si="364"/>
        <v>2050</v>
      </c>
      <c r="Z587" s="113">
        <f t="shared" si="365"/>
        <v>0.85</v>
      </c>
      <c r="AA587" s="121" t="str">
        <f t="shared" si="367"/>
        <v/>
      </c>
      <c r="AB587" s="121" t="str">
        <f t="shared" si="368"/>
        <v/>
      </c>
      <c r="AC587" s="108"/>
    </row>
    <row r="588" spans="1:29" ht="46.25" hidden="1" customHeight="1" outlineLevel="3">
      <c r="A588" s="882"/>
      <c r="B588" s="863" t="s">
        <v>416</v>
      </c>
      <c r="C588" s="333" t="s">
        <v>369</v>
      </c>
      <c r="D588" s="333" t="str">
        <f t="shared" ref="D588" si="423">_xlfn.XLOOKUP(AC588,$AD$508:$AD$530,$D$508:$D$530,"No target",0)</f>
        <v>No target type selected</v>
      </c>
      <c r="E588" s="884" cm="1">
        <f t="array" ref="E588">SUMPRODUCT(('INS Segmentation'!$M$78:$M$143=TRUE)*($AC588='INS Segmentation'!$AK$78:$AK$143)*('Climate-Alignment Target'!E$548='INS Segmentation'!$Q$77:$V$77)*('INS Segmentation'!$Q$78:$V$143))</f>
        <v>0</v>
      </c>
      <c r="F588" s="5"/>
      <c r="G588" s="5"/>
      <c r="H588" s="5"/>
      <c r="I588" s="5"/>
      <c r="J588" s="5"/>
      <c r="K588" s="557" t="str">
        <f t="shared" si="370"/>
        <v/>
      </c>
      <c r="L588" s="712" t="str">
        <f t="shared" ref="L588" si="424">IF(K588="","",IF(E588=(K588+K589),"OK",IF(D588="Sector target","OK - covered by sector target",IF(AND(E588=0,D588="No target type selected"),"OK","Review financial exposure"))))</f>
        <v/>
      </c>
      <c r="M588" s="562">
        <f t="shared" si="373"/>
        <v>0</v>
      </c>
      <c r="N588" s="915"/>
      <c r="O588" s="563"/>
      <c r="P588" s="562" t="str">
        <f t="shared" si="363"/>
        <v/>
      </c>
      <c r="Q588" s="560" t="str">
        <f t="shared" si="366"/>
        <v/>
      </c>
      <c r="R588" s="16"/>
      <c r="T588" s="124" t="s">
        <v>136</v>
      </c>
      <c r="U588" s="1"/>
      <c r="V588" s="1"/>
      <c r="W588" s="26"/>
      <c r="X588" s="113" t="s">
        <v>378</v>
      </c>
      <c r="Y588" s="113">
        <f t="shared" si="364"/>
        <v>2050</v>
      </c>
      <c r="Z588" s="113">
        <f t="shared" si="365"/>
        <v>0.95</v>
      </c>
      <c r="AA588" s="121" t="str">
        <f t="shared" si="367"/>
        <v/>
      </c>
      <c r="AB588" s="121" t="str">
        <f t="shared" si="368"/>
        <v/>
      </c>
      <c r="AC588" s="108" t="s">
        <v>265</v>
      </c>
    </row>
    <row r="589" spans="1:29" ht="46.25" hidden="1" customHeight="1" outlineLevel="3">
      <c r="A589" s="882"/>
      <c r="B589" s="865"/>
      <c r="C589" s="333" t="s">
        <v>372</v>
      </c>
      <c r="D589" s="333" t="str">
        <f t="shared" ref="D589" si="425">D588</f>
        <v>No target type selected</v>
      </c>
      <c r="E589" s="713"/>
      <c r="F589" s="5"/>
      <c r="G589" s="5"/>
      <c r="H589" s="5"/>
      <c r="I589" s="5"/>
      <c r="J589" s="5"/>
      <c r="K589" s="557" t="str">
        <f t="shared" si="370"/>
        <v/>
      </c>
      <c r="L589" s="713"/>
      <c r="M589" s="562">
        <f t="shared" si="373"/>
        <v>0</v>
      </c>
      <c r="N589" s="915"/>
      <c r="O589" s="563"/>
      <c r="P589" s="562" t="str">
        <f t="shared" si="363"/>
        <v/>
      </c>
      <c r="Q589" s="560" t="str">
        <f t="shared" si="366"/>
        <v/>
      </c>
      <c r="R589" s="16"/>
      <c r="T589" s="124" t="s">
        <v>136</v>
      </c>
      <c r="U589" s="1"/>
      <c r="V589" s="1"/>
      <c r="W589" s="26"/>
      <c r="X589" s="113" t="s">
        <v>379</v>
      </c>
      <c r="Y589" s="113">
        <f t="shared" si="364"/>
        <v>2050</v>
      </c>
      <c r="Z589" s="113">
        <f t="shared" si="365"/>
        <v>0.85</v>
      </c>
      <c r="AA589" s="121" t="str">
        <f t="shared" si="367"/>
        <v/>
      </c>
      <c r="AB589" s="121" t="str">
        <f t="shared" si="368"/>
        <v/>
      </c>
      <c r="AC589" s="108"/>
    </row>
    <row r="590" spans="1:29" ht="46.25" hidden="1" customHeight="1" outlineLevel="3">
      <c r="A590" s="882"/>
      <c r="B590" s="863" t="s">
        <v>69</v>
      </c>
      <c r="C590" s="333" t="s">
        <v>369</v>
      </c>
      <c r="D590" s="333" t="str">
        <f t="shared" ref="D590:D592" si="426">_xlfn.XLOOKUP(AC590,$AD$508:$AD$530,$D$508:$D$530,"No target",0)</f>
        <v>No target type selected</v>
      </c>
      <c r="E590" s="884" cm="1">
        <f t="array" ref="E590">SUMPRODUCT(('INS Segmentation'!$M$78:$M$143=TRUE)*($AC590='INS Segmentation'!$AK$78:$AK$143)*('Climate-Alignment Target'!E$548='INS Segmentation'!$Q$77:$V$77)*('INS Segmentation'!$Q$78:$V$143))</f>
        <v>0</v>
      </c>
      <c r="F590" s="5"/>
      <c r="G590" s="5"/>
      <c r="H590" s="5"/>
      <c r="I590" s="5"/>
      <c r="J590" s="5"/>
      <c r="K590" s="557" t="str">
        <f t="shared" si="370"/>
        <v/>
      </c>
      <c r="L590" s="712" t="str">
        <f t="shared" ref="L590:L592" si="427">IF(K590="","",IF(E590=(K590+K591),"OK",IF(D590="Sector target","OK - covered by sector target",IF(AND(E590=0,D590="No target type selected"),"OK","Review financial exposure"))))</f>
        <v/>
      </c>
      <c r="M590" s="562">
        <f t="shared" si="373"/>
        <v>0</v>
      </c>
      <c r="N590" s="915"/>
      <c r="O590" s="563"/>
      <c r="P590" s="562" t="str">
        <f t="shared" si="363"/>
        <v/>
      </c>
      <c r="Q590" s="560" t="str">
        <f t="shared" si="366"/>
        <v/>
      </c>
      <c r="R590" s="16"/>
      <c r="T590" s="124" t="s">
        <v>136</v>
      </c>
      <c r="U590" s="1"/>
      <c r="V590" s="1"/>
      <c r="W590" s="26"/>
      <c r="X590" s="113" t="s">
        <v>378</v>
      </c>
      <c r="Y590" s="113">
        <f t="shared" si="364"/>
        <v>2050</v>
      </c>
      <c r="Z590" s="113">
        <f t="shared" si="365"/>
        <v>0.95</v>
      </c>
      <c r="AA590" s="121" t="str">
        <f t="shared" si="367"/>
        <v/>
      </c>
      <c r="AB590" s="121" t="str">
        <f t="shared" si="368"/>
        <v/>
      </c>
      <c r="AC590" s="108" t="s">
        <v>228</v>
      </c>
    </row>
    <row r="591" spans="1:29" ht="46.25" hidden="1" customHeight="1" outlineLevel="3">
      <c r="A591" s="882"/>
      <c r="B591" s="865"/>
      <c r="C591" s="333" t="s">
        <v>372</v>
      </c>
      <c r="D591" s="333" t="str">
        <f t="shared" ref="D591:D593" si="428">D590</f>
        <v>No target type selected</v>
      </c>
      <c r="E591" s="713"/>
      <c r="F591" s="5"/>
      <c r="G591" s="5"/>
      <c r="H591" s="5"/>
      <c r="I591" s="5"/>
      <c r="J591" s="5"/>
      <c r="K591" s="557" t="str">
        <f t="shared" si="370"/>
        <v/>
      </c>
      <c r="L591" s="713"/>
      <c r="M591" s="562">
        <f t="shared" si="373"/>
        <v>0</v>
      </c>
      <c r="N591" s="915"/>
      <c r="O591" s="563"/>
      <c r="P591" s="562" t="str">
        <f t="shared" si="363"/>
        <v/>
      </c>
      <c r="Q591" s="560" t="str">
        <f t="shared" si="366"/>
        <v/>
      </c>
      <c r="R591" s="16"/>
      <c r="T591" s="124" t="s">
        <v>136</v>
      </c>
      <c r="W591" s="65"/>
      <c r="X591" s="113" t="s">
        <v>379</v>
      </c>
      <c r="Y591" s="113">
        <f t="shared" si="364"/>
        <v>2050</v>
      </c>
      <c r="Z591" s="113">
        <f t="shared" si="365"/>
        <v>0.85</v>
      </c>
      <c r="AA591" s="121" t="str">
        <f t="shared" si="367"/>
        <v/>
      </c>
      <c r="AB591" s="121" t="str">
        <f t="shared" si="368"/>
        <v/>
      </c>
      <c r="AC591" s="107"/>
    </row>
    <row r="592" spans="1:29" ht="46.25" hidden="1" customHeight="1" outlineLevel="3">
      <c r="A592" s="882"/>
      <c r="B592" s="863" t="s">
        <v>135</v>
      </c>
      <c r="C592" s="333" t="s">
        <v>369</v>
      </c>
      <c r="D592" s="333" t="str">
        <f t="shared" si="426"/>
        <v>No target type selected</v>
      </c>
      <c r="E592" s="884" cm="1">
        <f t="array" ref="E592">SUMPRODUCT(('INS Segmentation'!$M$78:$M$143=TRUE)*($AC592='INS Segmentation'!$AK$78:$AK$143)*('Climate-Alignment Target'!E$548='INS Segmentation'!$Q$77:$V$77)*('INS Segmentation'!$Q$78:$V$143))</f>
        <v>0</v>
      </c>
      <c r="F592" s="5"/>
      <c r="G592" s="5"/>
      <c r="H592" s="5"/>
      <c r="I592" s="5"/>
      <c r="J592" s="5"/>
      <c r="K592" s="557" t="str">
        <f t="shared" ref="K592:K593" si="429">IF(D592&lt;&gt;"Climate-alignment target","",SUM(F592:J592))</f>
        <v/>
      </c>
      <c r="L592" s="712" t="str">
        <f t="shared" si="427"/>
        <v/>
      </c>
      <c r="M592" s="562">
        <f t="shared" si="373"/>
        <v>0</v>
      </c>
      <c r="N592" s="915"/>
      <c r="O592" s="563"/>
      <c r="P592" s="562" t="str">
        <f t="shared" si="363"/>
        <v/>
      </c>
      <c r="Q592" s="560" t="str">
        <f t="shared" si="366"/>
        <v/>
      </c>
      <c r="R592" s="16"/>
      <c r="T592" s="124" t="s">
        <v>136</v>
      </c>
      <c r="W592" s="65"/>
      <c r="X592" s="113" t="s">
        <v>378</v>
      </c>
      <c r="Y592" s="113">
        <f t="shared" ref="Y592:Y593" si="430">_xlfn.XLOOKUP($X592,$AB$17:$AB$24,AE$17:AE$24,0,0)</f>
        <v>2050</v>
      </c>
      <c r="Z592" s="113">
        <f t="shared" ref="Z592:Z593" si="431">_xlfn.XLOOKUP($X592,$AB$17:$AB$24,AF$17:AF$24,0,0)</f>
        <v>0.95</v>
      </c>
      <c r="AA592" s="121" t="str">
        <f t="shared" ref="AA592:AA593" si="432">IF($D592&lt;&gt;"Climate-alignment target","",O592*K592)</f>
        <v/>
      </c>
      <c r="AB592" s="121" t="str">
        <f t="shared" ref="AB592:AB593" si="433">IF($D592&lt;&gt;"Climate-alignment target","",K592)</f>
        <v/>
      </c>
      <c r="AC592" s="107" t="s">
        <v>214</v>
      </c>
    </row>
    <row r="593" spans="1:36" ht="46.25" hidden="1" customHeight="1" outlineLevel="3">
      <c r="A593" s="883"/>
      <c r="B593" s="865"/>
      <c r="C593" s="333" t="s">
        <v>372</v>
      </c>
      <c r="D593" s="333" t="str">
        <f t="shared" si="428"/>
        <v>No target type selected</v>
      </c>
      <c r="E593" s="713"/>
      <c r="F593" s="5"/>
      <c r="G593" s="5"/>
      <c r="H593" s="5"/>
      <c r="I593" s="5"/>
      <c r="J593" s="5"/>
      <c r="K593" s="557" t="str">
        <f t="shared" si="429"/>
        <v/>
      </c>
      <c r="L593" s="713"/>
      <c r="M593" s="562">
        <f t="shared" si="373"/>
        <v>0</v>
      </c>
      <c r="N593" s="915"/>
      <c r="O593" s="563"/>
      <c r="P593" s="562" t="str">
        <f t="shared" si="363"/>
        <v/>
      </c>
      <c r="Q593" s="560" t="str">
        <f t="shared" si="366"/>
        <v/>
      </c>
      <c r="R593" s="16"/>
      <c r="T593" s="124" t="s">
        <v>136</v>
      </c>
      <c r="W593" s="65"/>
      <c r="X593" s="113" t="s">
        <v>379</v>
      </c>
      <c r="Y593" s="113">
        <f t="shared" si="430"/>
        <v>2050</v>
      </c>
      <c r="Z593" s="113">
        <f t="shared" si="431"/>
        <v>0.85</v>
      </c>
      <c r="AA593" s="121" t="str">
        <f t="shared" si="432"/>
        <v/>
      </c>
      <c r="AB593" s="121" t="str">
        <f t="shared" si="433"/>
        <v/>
      </c>
      <c r="AC593" s="107"/>
    </row>
    <row r="594" spans="1:36" ht="46.25" hidden="1" customHeight="1" outlineLevel="3">
      <c r="A594" s="881" t="s">
        <v>130</v>
      </c>
      <c r="B594" s="910"/>
      <c r="C594" s="333" t="s">
        <v>369</v>
      </c>
      <c r="D594" s="333" t="str">
        <f t="shared" ref="D594" si="434">_xlfn.XLOOKUP(AC594,$AD$508:$AD$530,$D$508:$D$530,"No target",0)</f>
        <v>No target type selected</v>
      </c>
      <c r="E594" s="884" cm="1">
        <f t="array" ref="E594">SUMPRODUCT(('INS Segmentation'!$M$78:$M$143=TRUE)*($AC594='INS Segmentation'!$AK$78:$AK$143)*('Climate-Alignment Target'!E$548='INS Segmentation'!$Q$77:$V$77)*('INS Segmentation'!$Q$78:$V$143))</f>
        <v>0</v>
      </c>
      <c r="F594" s="5"/>
      <c r="G594" s="5"/>
      <c r="H594" s="5"/>
      <c r="I594" s="5"/>
      <c r="J594" s="5"/>
      <c r="K594" s="557" t="str">
        <f t="shared" si="370"/>
        <v/>
      </c>
      <c r="L594" s="712" t="str">
        <f t="shared" ref="L594" si="435">IF(K594="","",IF(E594=(K594+K595),"OK",IF(D594="Sector target","OK - covered by sector target",IF(AND(E594=0,D594="No target type selected"),"OK","Review financial exposure"))))</f>
        <v/>
      </c>
      <c r="M594" s="562">
        <f t="shared" si="373"/>
        <v>0</v>
      </c>
      <c r="N594" s="915"/>
      <c r="O594" s="563"/>
      <c r="P594" s="562" t="str">
        <f t="shared" si="363"/>
        <v/>
      </c>
      <c r="Q594" s="560" t="str">
        <f t="shared" si="366"/>
        <v/>
      </c>
      <c r="R594" s="16"/>
      <c r="T594" s="124" t="s">
        <v>130</v>
      </c>
      <c r="W594" s="65"/>
      <c r="X594" s="113" t="s">
        <v>376</v>
      </c>
      <c r="Y594" s="113">
        <f t="shared" si="364"/>
        <v>2040</v>
      </c>
      <c r="Z594" s="113">
        <f t="shared" si="365"/>
        <v>0.95</v>
      </c>
      <c r="AA594" s="121" t="str">
        <f t="shared" si="367"/>
        <v/>
      </c>
      <c r="AB594" s="121" t="str">
        <f t="shared" si="368"/>
        <v/>
      </c>
      <c r="AC594" s="107" t="s">
        <v>213</v>
      </c>
    </row>
    <row r="595" spans="1:36" ht="46.25" hidden="1" customHeight="1" outlineLevel="3">
      <c r="A595" s="883"/>
      <c r="B595" s="911"/>
      <c r="C595" s="333" t="s">
        <v>372</v>
      </c>
      <c r="D595" s="333" t="str">
        <f t="shared" ref="D595" si="436">D594</f>
        <v>No target type selected</v>
      </c>
      <c r="E595" s="713"/>
      <c r="F595" s="5"/>
      <c r="G595" s="5"/>
      <c r="H595" s="5"/>
      <c r="I595" s="5"/>
      <c r="J595" s="5"/>
      <c r="K595" s="557" t="str">
        <f t="shared" si="370"/>
        <v/>
      </c>
      <c r="L595" s="713"/>
      <c r="M595" s="562">
        <f t="shared" si="373"/>
        <v>0</v>
      </c>
      <c r="N595" s="915"/>
      <c r="O595" s="563"/>
      <c r="P595" s="562" t="str">
        <f t="shared" si="363"/>
        <v/>
      </c>
      <c r="Q595" s="560" t="str">
        <f t="shared" si="366"/>
        <v/>
      </c>
      <c r="R595" s="16"/>
      <c r="T595" s="124" t="s">
        <v>130</v>
      </c>
      <c r="W595" s="65"/>
      <c r="X595" s="113" t="s">
        <v>377</v>
      </c>
      <c r="Y595" s="113">
        <f t="shared" si="364"/>
        <v>2040</v>
      </c>
      <c r="Z595" s="113">
        <f t="shared" si="365"/>
        <v>0.85</v>
      </c>
      <c r="AA595" s="121" t="str">
        <f t="shared" si="367"/>
        <v/>
      </c>
      <c r="AB595" s="121" t="str">
        <f t="shared" si="368"/>
        <v/>
      </c>
      <c r="AC595" s="107"/>
    </row>
    <row r="596" spans="1:36" ht="15.75" hidden="1" customHeight="1" outlineLevel="3">
      <c r="B596" s="1"/>
      <c r="C596" s="1"/>
      <c r="D596" s="1"/>
      <c r="E596" s="1"/>
    </row>
    <row r="597" spans="1:36" ht="15.75" hidden="1" customHeight="1" outlineLevel="3">
      <c r="A597" s="858" t="s">
        <v>407</v>
      </c>
      <c r="B597" s="858"/>
      <c r="C597" s="858"/>
      <c r="D597" s="858"/>
      <c r="E597" s="858"/>
      <c r="F597" s="858"/>
      <c r="G597" s="858"/>
      <c r="H597" s="858"/>
      <c r="I597" s="858"/>
      <c r="J597" s="858"/>
      <c r="K597" s="858"/>
      <c r="L597" s="858"/>
      <c r="M597" s="858"/>
      <c r="N597" s="858"/>
      <c r="O597" s="858"/>
      <c r="P597" s="858"/>
      <c r="Q597" s="858"/>
      <c r="R597" s="858"/>
      <c r="S597" s="858"/>
      <c r="T597" s="858"/>
      <c r="U597" s="69"/>
    </row>
    <row r="598" spans="1:36" ht="15.75" hidden="1" customHeight="1" outlineLevel="3">
      <c r="B598" s="1"/>
      <c r="C598" s="1"/>
      <c r="D598" s="1"/>
      <c r="E598" s="1"/>
    </row>
    <row r="599" spans="1:36" ht="30" hidden="1" customHeight="1" outlineLevel="3">
      <c r="A599" s="885" t="s">
        <v>99</v>
      </c>
      <c r="B599" s="885"/>
      <c r="C599" s="912" t="s">
        <v>364</v>
      </c>
      <c r="D599" s="798" t="s">
        <v>403</v>
      </c>
      <c r="E599" s="885" t="s">
        <v>365</v>
      </c>
      <c r="F599" s="885"/>
      <c r="G599" s="885"/>
      <c r="H599" s="885"/>
      <c r="I599" s="885"/>
      <c r="J599" s="885"/>
      <c r="K599" s="885"/>
      <c r="L599" s="885"/>
      <c r="M599" s="798" t="s">
        <v>809</v>
      </c>
      <c r="N599" s="834" t="s">
        <v>366</v>
      </c>
      <c r="O599" s="868"/>
      <c r="P599" s="868"/>
      <c r="Q599" s="835"/>
      <c r="R599" s="834" t="s">
        <v>367</v>
      </c>
      <c r="S599" s="868"/>
      <c r="T599" s="868"/>
      <c r="U599" s="835"/>
      <c r="W599" s="1"/>
      <c r="X599" s="121"/>
    </row>
    <row r="600" spans="1:36" ht="68" hidden="1" outlineLevel="3">
      <c r="A600" s="885"/>
      <c r="B600" s="885"/>
      <c r="C600" s="912"/>
      <c r="D600" s="798"/>
      <c r="E600" s="36" t="s">
        <v>106</v>
      </c>
      <c r="F600" s="554" t="s">
        <v>101</v>
      </c>
      <c r="G600" s="554" t="s">
        <v>102</v>
      </c>
      <c r="H600" s="558" t="s">
        <v>103</v>
      </c>
      <c r="I600" s="558" t="s">
        <v>104</v>
      </c>
      <c r="J600" s="554" t="s">
        <v>105</v>
      </c>
      <c r="K600" s="798" t="s">
        <v>807</v>
      </c>
      <c r="L600" s="798" t="s">
        <v>808</v>
      </c>
      <c r="M600" s="798"/>
      <c r="N600" s="885" t="s">
        <v>822</v>
      </c>
      <c r="O600" s="885" t="s">
        <v>826</v>
      </c>
      <c r="P600" s="913" t="s">
        <v>816</v>
      </c>
      <c r="Q600" s="914"/>
      <c r="R600" s="885" t="s">
        <v>810</v>
      </c>
      <c r="S600" s="885" t="s">
        <v>811</v>
      </c>
      <c r="T600" s="885" t="s">
        <v>812</v>
      </c>
      <c r="U600" s="798" t="s">
        <v>813</v>
      </c>
      <c r="W600" s="1"/>
    </row>
    <row r="601" spans="1:36" ht="30" hidden="1" customHeight="1" outlineLevel="3">
      <c r="A601" s="885"/>
      <c r="B601" s="885"/>
      <c r="C601" s="912"/>
      <c r="D601" s="798"/>
      <c r="E601" s="987" t="s">
        <v>819</v>
      </c>
      <c r="F601" s="988"/>
      <c r="G601" s="988"/>
      <c r="H601" s="988"/>
      <c r="I601" s="988"/>
      <c r="J601" s="989"/>
      <c r="K601" s="798"/>
      <c r="L601" s="798"/>
      <c r="M601" s="798"/>
      <c r="N601" s="885"/>
      <c r="O601" s="885"/>
      <c r="P601" s="38" t="s">
        <v>369</v>
      </c>
      <c r="Q601" s="559" t="s">
        <v>372</v>
      </c>
      <c r="R601" s="885"/>
      <c r="S601" s="885"/>
      <c r="T601" s="885"/>
      <c r="U601" s="798"/>
      <c r="W601" s="1"/>
    </row>
    <row r="602" spans="1:36" ht="35" hidden="1" customHeight="1" outlineLevel="3">
      <c r="A602" s="899" t="s">
        <v>113</v>
      </c>
      <c r="B602" s="900"/>
      <c r="C602" s="333" t="s">
        <v>369</v>
      </c>
      <c r="D602" s="901" t="s">
        <v>408</v>
      </c>
      <c r="E602" s="557" t="str">
        <f t="shared" ref="E602:E609" si="437">IF(SUMIFS(K$550:K$595,$T$550:$T$595,$A602,$C$550:$C$595,$C602)=0,"",SUMIFS(K$550:K$595,$T$550:$T$595,$A602,$C$550:$C$595,$C602))</f>
        <v/>
      </c>
      <c r="F602" s="557" t="str">
        <f t="shared" ref="F602:J609" si="438">IF($E602="","",SUMIFS(F$550:F$595,$T$550:$T$595,$A602,$C$550:$C$595,$C602))</f>
        <v/>
      </c>
      <c r="G602" s="557" t="str">
        <f t="shared" si="438"/>
        <v/>
      </c>
      <c r="H602" s="557" t="str">
        <f t="shared" si="438"/>
        <v/>
      </c>
      <c r="I602" s="557" t="str">
        <f t="shared" si="438"/>
        <v/>
      </c>
      <c r="J602" s="557" t="str">
        <f t="shared" si="438"/>
        <v/>
      </c>
      <c r="K602" s="557" t="str">
        <f>IF(E602="","",SUM(F602:J602))</f>
        <v/>
      </c>
      <c r="L602" s="557" t="str">
        <f t="shared" ref="L602:M609" si="439">IF(K602="","",IF(E602-K602=0,"OK","Review financial exposure"))</f>
        <v/>
      </c>
      <c r="M602" s="557" t="str">
        <f t="shared" si="439"/>
        <v/>
      </c>
      <c r="N602" s="902">
        <f>N550</f>
        <v>0</v>
      </c>
      <c r="O602" s="562" t="str">
        <f t="shared" ref="O602:O609" si="440">IFERROR(SUMIFS($AA$550:$AA$595,$T$550:$T$595,$A602,$C$550:$C$595,$C602,$D$550:$D$595,"Climate-alignment target")/SUMIFS($AB$550:$AB$595,$T$550:$T$595,$A602,$C$550:$C$595,$C602,$D$550:$D$595,"Climate-alignment target"),"")</f>
        <v/>
      </c>
      <c r="P602" s="905" t="str">
        <f>IFERROR(IF($N602="","",SUMPRODUCT(K602:K605,O602:O605)/SUM(K602:K605)),"")</f>
        <v/>
      </c>
      <c r="Q602" s="973" t="str">
        <f>IFERROR(IF($N602="","",SUMPRODUCT(K606:K609,O606:O609)/SUM(K606:K609)),"")</f>
        <v/>
      </c>
      <c r="R602" s="908"/>
      <c r="S602" s="909"/>
      <c r="T602" s="897" t="str">
        <f>IF(R602="","",95%)</f>
        <v/>
      </c>
      <c r="U602" s="898" t="str">
        <f>IF(S602="","",IF(S602-T602&gt;=0,"OK","Minimum ambition not met, please increase ambition"))</f>
        <v/>
      </c>
      <c r="W602" s="1"/>
      <c r="Y602" s="107"/>
      <c r="AI602" s="120" t="s">
        <v>435</v>
      </c>
      <c r="AJ602" s="120" t="s">
        <v>436</v>
      </c>
    </row>
    <row r="603" spans="1:36" ht="35" hidden="1" customHeight="1" outlineLevel="3">
      <c r="A603" s="899" t="s">
        <v>121</v>
      </c>
      <c r="B603" s="900"/>
      <c r="C603" s="333" t="s">
        <v>369</v>
      </c>
      <c r="D603" s="901"/>
      <c r="E603" s="557" t="str">
        <f t="shared" si="437"/>
        <v/>
      </c>
      <c r="F603" s="557" t="str">
        <f t="shared" si="438"/>
        <v/>
      </c>
      <c r="G603" s="557" t="str">
        <f t="shared" si="438"/>
        <v/>
      </c>
      <c r="H603" s="557" t="str">
        <f t="shared" si="438"/>
        <v/>
      </c>
      <c r="I603" s="557" t="str">
        <f t="shared" si="438"/>
        <v/>
      </c>
      <c r="J603" s="557" t="str">
        <f t="shared" si="438"/>
        <v/>
      </c>
      <c r="K603" s="557" t="str">
        <f t="shared" ref="K603:K609" si="441">IF(E603="","",SUM(F603:J603))</f>
        <v/>
      </c>
      <c r="L603" s="557" t="str">
        <f t="shared" si="439"/>
        <v/>
      </c>
      <c r="M603" s="557" t="str">
        <f t="shared" si="439"/>
        <v/>
      </c>
      <c r="N603" s="903"/>
      <c r="O603" s="562" t="str">
        <f t="shared" si="440"/>
        <v/>
      </c>
      <c r="P603" s="906"/>
      <c r="Q603" s="974"/>
      <c r="R603" s="908"/>
      <c r="S603" s="909"/>
      <c r="T603" s="897"/>
      <c r="U603" s="898"/>
      <c r="W603" s="1"/>
      <c r="Y603" s="107"/>
    </row>
    <row r="604" spans="1:36" ht="35" hidden="1" customHeight="1" outlineLevel="3">
      <c r="A604" s="899" t="s">
        <v>130</v>
      </c>
      <c r="B604" s="900"/>
      <c r="C604" s="333" t="s">
        <v>369</v>
      </c>
      <c r="D604" s="901"/>
      <c r="E604" s="557" t="str">
        <f t="shared" si="437"/>
        <v/>
      </c>
      <c r="F604" s="557" t="str">
        <f t="shared" si="438"/>
        <v/>
      </c>
      <c r="G604" s="557" t="str">
        <f t="shared" si="438"/>
        <v/>
      </c>
      <c r="H604" s="557" t="str">
        <f t="shared" si="438"/>
        <v/>
      </c>
      <c r="I604" s="557" t="str">
        <f t="shared" si="438"/>
        <v/>
      </c>
      <c r="J604" s="557" t="str">
        <f t="shared" si="438"/>
        <v/>
      </c>
      <c r="K604" s="557" t="str">
        <f t="shared" si="441"/>
        <v/>
      </c>
      <c r="L604" s="557" t="str">
        <f t="shared" si="439"/>
        <v/>
      </c>
      <c r="M604" s="557" t="str">
        <f t="shared" si="439"/>
        <v/>
      </c>
      <c r="N604" s="903"/>
      <c r="O604" s="562" t="str">
        <f t="shared" si="440"/>
        <v/>
      </c>
      <c r="P604" s="906"/>
      <c r="Q604" s="974"/>
      <c r="R604" s="908"/>
      <c r="S604" s="909"/>
      <c r="T604" s="897"/>
      <c r="U604" s="898"/>
      <c r="W604" s="1"/>
      <c r="X604" s="107"/>
      <c r="Y604" s="108"/>
    </row>
    <row r="605" spans="1:36" ht="35" hidden="1" customHeight="1" outlineLevel="3">
      <c r="A605" s="899" t="s">
        <v>136</v>
      </c>
      <c r="B605" s="900"/>
      <c r="C605" s="333" t="s">
        <v>369</v>
      </c>
      <c r="D605" s="901"/>
      <c r="E605" s="557" t="str">
        <f t="shared" si="437"/>
        <v/>
      </c>
      <c r="F605" s="557" t="str">
        <f t="shared" si="438"/>
        <v/>
      </c>
      <c r="G605" s="557" t="str">
        <f t="shared" si="438"/>
        <v/>
      </c>
      <c r="H605" s="557" t="str">
        <f t="shared" si="438"/>
        <v/>
      </c>
      <c r="I605" s="557" t="str">
        <f t="shared" si="438"/>
        <v/>
      </c>
      <c r="J605" s="557" t="str">
        <f t="shared" si="438"/>
        <v/>
      </c>
      <c r="K605" s="557" t="str">
        <f t="shared" si="441"/>
        <v/>
      </c>
      <c r="L605" s="557" t="str">
        <f t="shared" si="439"/>
        <v/>
      </c>
      <c r="M605" s="557" t="str">
        <f t="shared" si="439"/>
        <v/>
      </c>
      <c r="N605" s="903"/>
      <c r="O605" s="562" t="str">
        <f t="shared" si="440"/>
        <v/>
      </c>
      <c r="P605" s="906"/>
      <c r="Q605" s="974"/>
      <c r="R605" s="908"/>
      <c r="S605" s="909"/>
      <c r="T605" s="897"/>
      <c r="U605" s="898"/>
      <c r="W605" s="1"/>
      <c r="X605" s="107"/>
      <c r="Y605" s="107"/>
    </row>
    <row r="606" spans="1:36" ht="35" hidden="1" customHeight="1" outlineLevel="3">
      <c r="A606" s="899" t="s">
        <v>113</v>
      </c>
      <c r="B606" s="900"/>
      <c r="C606" s="333" t="s">
        <v>372</v>
      </c>
      <c r="D606" s="901"/>
      <c r="E606" s="557" t="str">
        <f t="shared" si="437"/>
        <v/>
      </c>
      <c r="F606" s="557" t="str">
        <f t="shared" si="438"/>
        <v/>
      </c>
      <c r="G606" s="557" t="str">
        <f t="shared" si="438"/>
        <v/>
      </c>
      <c r="H606" s="557" t="str">
        <f t="shared" si="438"/>
        <v/>
      </c>
      <c r="I606" s="557" t="str">
        <f t="shared" si="438"/>
        <v/>
      </c>
      <c r="J606" s="557" t="str">
        <f t="shared" si="438"/>
        <v/>
      </c>
      <c r="K606" s="557" t="str">
        <f t="shared" si="441"/>
        <v/>
      </c>
      <c r="L606" s="557" t="str">
        <f t="shared" si="439"/>
        <v/>
      </c>
      <c r="M606" s="557" t="str">
        <f t="shared" si="439"/>
        <v/>
      </c>
      <c r="N606" s="903"/>
      <c r="O606" s="562" t="str">
        <f t="shared" si="440"/>
        <v/>
      </c>
      <c r="P606" s="906"/>
      <c r="Q606" s="974"/>
      <c r="R606" s="908"/>
      <c r="S606" s="909"/>
      <c r="T606" s="897"/>
      <c r="U606" s="898"/>
    </row>
    <row r="607" spans="1:36" ht="35" hidden="1" customHeight="1" outlineLevel="3">
      <c r="A607" s="899" t="s">
        <v>121</v>
      </c>
      <c r="B607" s="900"/>
      <c r="C607" s="333" t="s">
        <v>372</v>
      </c>
      <c r="D607" s="901"/>
      <c r="E607" s="557" t="str">
        <f t="shared" si="437"/>
        <v/>
      </c>
      <c r="F607" s="557" t="str">
        <f t="shared" si="438"/>
        <v/>
      </c>
      <c r="G607" s="557" t="str">
        <f t="shared" si="438"/>
        <v/>
      </c>
      <c r="H607" s="557" t="str">
        <f t="shared" si="438"/>
        <v/>
      </c>
      <c r="I607" s="557" t="str">
        <f t="shared" si="438"/>
        <v/>
      </c>
      <c r="J607" s="557" t="str">
        <f t="shared" si="438"/>
        <v/>
      </c>
      <c r="K607" s="557" t="str">
        <f t="shared" si="441"/>
        <v/>
      </c>
      <c r="L607" s="557" t="str">
        <f t="shared" si="439"/>
        <v/>
      </c>
      <c r="M607" s="557" t="str">
        <f t="shared" si="439"/>
        <v/>
      </c>
      <c r="N607" s="903"/>
      <c r="O607" s="562" t="str">
        <f t="shared" si="440"/>
        <v/>
      </c>
      <c r="P607" s="906"/>
      <c r="Q607" s="974"/>
      <c r="R607" s="908"/>
      <c r="S607" s="909"/>
      <c r="T607" s="897"/>
      <c r="U607" s="898"/>
    </row>
    <row r="608" spans="1:36" ht="35" hidden="1" customHeight="1" outlineLevel="3">
      <c r="A608" s="899" t="s">
        <v>130</v>
      </c>
      <c r="B608" s="900"/>
      <c r="C608" s="333" t="s">
        <v>372</v>
      </c>
      <c r="D608" s="901"/>
      <c r="E608" s="557" t="str">
        <f t="shared" si="437"/>
        <v/>
      </c>
      <c r="F608" s="557" t="str">
        <f t="shared" si="438"/>
        <v/>
      </c>
      <c r="G608" s="557" t="str">
        <f t="shared" si="438"/>
        <v/>
      </c>
      <c r="H608" s="557" t="str">
        <f t="shared" si="438"/>
        <v/>
      </c>
      <c r="I608" s="557" t="str">
        <f t="shared" si="438"/>
        <v/>
      </c>
      <c r="J608" s="557" t="str">
        <f t="shared" si="438"/>
        <v/>
      </c>
      <c r="K608" s="557" t="str">
        <f t="shared" si="441"/>
        <v/>
      </c>
      <c r="L608" s="557" t="str">
        <f t="shared" si="439"/>
        <v/>
      </c>
      <c r="M608" s="557" t="str">
        <f t="shared" si="439"/>
        <v/>
      </c>
      <c r="N608" s="903"/>
      <c r="O608" s="562" t="str">
        <f t="shared" si="440"/>
        <v/>
      </c>
      <c r="P608" s="906"/>
      <c r="Q608" s="974"/>
      <c r="R608" s="908"/>
      <c r="S608" s="909"/>
      <c r="T608" s="897"/>
      <c r="U608" s="898"/>
    </row>
    <row r="609" spans="1:27" ht="35" hidden="1" customHeight="1" outlineLevel="3">
      <c r="A609" s="899" t="s">
        <v>136</v>
      </c>
      <c r="B609" s="900"/>
      <c r="C609" s="333" t="s">
        <v>372</v>
      </c>
      <c r="D609" s="901"/>
      <c r="E609" s="557" t="str">
        <f t="shared" si="437"/>
        <v/>
      </c>
      <c r="F609" s="557" t="str">
        <f t="shared" si="438"/>
        <v/>
      </c>
      <c r="G609" s="557" t="str">
        <f t="shared" si="438"/>
        <v/>
      </c>
      <c r="H609" s="557" t="str">
        <f t="shared" si="438"/>
        <v/>
      </c>
      <c r="I609" s="557" t="str">
        <f t="shared" si="438"/>
        <v/>
      </c>
      <c r="J609" s="557" t="str">
        <f t="shared" si="438"/>
        <v/>
      </c>
      <c r="K609" s="557" t="str">
        <f t="shared" si="441"/>
        <v/>
      </c>
      <c r="L609" s="557" t="str">
        <f t="shared" si="439"/>
        <v/>
      </c>
      <c r="M609" s="557" t="str">
        <f t="shared" si="439"/>
        <v/>
      </c>
      <c r="N609" s="904"/>
      <c r="O609" s="562" t="str">
        <f t="shared" si="440"/>
        <v/>
      </c>
      <c r="P609" s="907"/>
      <c r="Q609" s="975"/>
      <c r="R609" s="908"/>
      <c r="S609" s="909"/>
      <c r="T609" s="897"/>
      <c r="U609" s="898"/>
    </row>
    <row r="610" spans="1:27" ht="15" customHeight="1"/>
    <row r="611" spans="1:27" ht="15" customHeight="1"/>
    <row r="612" spans="1:27" ht="15" customHeight="1"/>
    <row r="613" spans="1:27" ht="15" customHeight="1"/>
    <row r="614" spans="1:27" ht="22.25" customHeight="1" collapsed="1">
      <c r="A614" s="862" t="s">
        <v>74</v>
      </c>
      <c r="B614" s="862"/>
      <c r="C614" s="862"/>
      <c r="D614" s="862"/>
      <c r="E614" s="862"/>
      <c r="F614" s="862"/>
      <c r="G614" s="862"/>
      <c r="H614" s="862"/>
      <c r="I614" s="862"/>
      <c r="J614" s="862"/>
      <c r="K614" s="862"/>
      <c r="L614" s="862"/>
      <c r="M614" s="862"/>
      <c r="N614" s="862"/>
      <c r="O614" s="862"/>
      <c r="P614" s="862"/>
      <c r="Q614" s="862"/>
      <c r="R614" s="862"/>
      <c r="S614" s="862"/>
      <c r="T614" s="862"/>
      <c r="U614" s="862"/>
      <c r="V614" s="862"/>
      <c r="W614" s="71"/>
      <c r="X614" s="112"/>
      <c r="Y614" s="112"/>
      <c r="Z614" s="112"/>
      <c r="AA614" s="112"/>
    </row>
    <row r="615" spans="1:27" ht="14.25" hidden="1" customHeight="1" outlineLevel="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14"/>
      <c r="Y615" s="114"/>
      <c r="Z615" s="114"/>
      <c r="AA615" s="114"/>
    </row>
    <row r="616" spans="1:27" ht="84" hidden="1" customHeight="1" outlineLevel="1">
      <c r="A616" s="19"/>
      <c r="B616" s="891" t="s">
        <v>437</v>
      </c>
      <c r="C616" s="891"/>
      <c r="D616" s="891"/>
      <c r="E616" s="891"/>
      <c r="F616" s="17"/>
      <c r="G616" s="891" t="s">
        <v>354</v>
      </c>
      <c r="H616" s="891"/>
      <c r="I616" s="891"/>
      <c r="J616" s="17"/>
      <c r="K616" s="17"/>
      <c r="L616" s="17"/>
      <c r="M616" s="17"/>
      <c r="N616" s="17"/>
      <c r="O616" s="17"/>
      <c r="P616" s="17"/>
      <c r="Q616" s="17"/>
      <c r="R616" s="17"/>
      <c r="S616" s="17"/>
      <c r="T616" s="17"/>
      <c r="U616" s="17"/>
      <c r="V616" s="17"/>
      <c r="W616" s="17"/>
      <c r="X616" s="110"/>
      <c r="Y616" s="110"/>
      <c r="Z616" s="110"/>
      <c r="AA616" s="110"/>
    </row>
    <row r="617" spans="1:27" ht="6" hidden="1" customHeight="1" outlineLevel="1">
      <c r="A617" s="19"/>
      <c r="B617" s="555"/>
      <c r="C617" s="555"/>
      <c r="D617" s="555"/>
      <c r="E617" s="17"/>
      <c r="F617" s="17"/>
      <c r="G617" s="17"/>
      <c r="H617" s="17"/>
      <c r="I617" s="17"/>
      <c r="J617" s="17"/>
      <c r="K617" s="17"/>
      <c r="L617" s="17"/>
      <c r="M617" s="17"/>
      <c r="N617" s="17"/>
      <c r="O617" s="17"/>
      <c r="P617" s="17"/>
      <c r="Q617" s="17"/>
      <c r="R617" s="17"/>
      <c r="S617" s="17"/>
      <c r="T617" s="17"/>
      <c r="U617" s="17"/>
      <c r="V617" s="17"/>
      <c r="W617" s="17"/>
      <c r="X617" s="110"/>
      <c r="Y617" s="110"/>
      <c r="Z617" s="110"/>
      <c r="AA617" s="110"/>
    </row>
    <row r="618" spans="1:27" ht="37.5" hidden="1" customHeight="1" outlineLevel="1">
      <c r="A618" s="15"/>
      <c r="B618" s="887" t="s">
        <v>801</v>
      </c>
      <c r="C618" s="887"/>
      <c r="D618" s="314"/>
      <c r="E618" s="888" t="str">
        <f>IF(AND($D$618="Climate-Alignment Target Only",$D$619="No regional differentiation"),"Note: Start in row 623",IF(AND($D$618="Climate-Alignment Target Only",$D$619="Regional differentiation"),"Note: Start in row 635",IF(AND($D$618="Mix of Climate-Alignment and Sector Targets",$D$619="No regional differentiation"),"Note: Start in row 654",IF(AND($D$618="Mix of Climate-Alignment and Sector Targets",$D$619="Regional differentiation"),"Note: Start in row 696",""))))</f>
        <v/>
      </c>
      <c r="F618" s="3"/>
      <c r="G618" s="23" t="s">
        <v>803</v>
      </c>
      <c r="H618" s="23" t="s">
        <v>804</v>
      </c>
      <c r="I618" s="34" t="s">
        <v>805</v>
      </c>
      <c r="J618" s="15"/>
      <c r="K618" s="15"/>
      <c r="L618" s="15"/>
      <c r="M618" s="15"/>
      <c r="N618" s="15"/>
      <c r="O618" s="15"/>
      <c r="P618" s="15"/>
      <c r="Q618" s="15"/>
      <c r="R618" s="15"/>
      <c r="S618" s="15"/>
      <c r="T618" s="2"/>
      <c r="U618" s="2"/>
      <c r="V618" s="2"/>
      <c r="W618" s="2"/>
      <c r="X618" s="115"/>
      <c r="Y618" s="115"/>
      <c r="Z618" s="116"/>
      <c r="AA618" s="116"/>
    </row>
    <row r="619" spans="1:27" ht="42" hidden="1" customHeight="1" outlineLevel="1">
      <c r="A619" s="15"/>
      <c r="B619" s="887" t="s">
        <v>802</v>
      </c>
      <c r="C619" s="887"/>
      <c r="D619" s="314"/>
      <c r="E619" s="888"/>
      <c r="F619" s="15"/>
      <c r="G619" s="128" t="str">
        <f>IF($D618="","",'Financial activity types '!$G$11)</f>
        <v/>
      </c>
      <c r="H619" s="128" t="str">
        <f>IF($D618="","",'Financial activity types '!$C$13)</f>
        <v/>
      </c>
      <c r="I619" s="128" t="str">
        <f>IF($D618="","",'Financial activity types '!$C$7)</f>
        <v/>
      </c>
      <c r="J619" s="15"/>
      <c r="K619" s="15"/>
      <c r="L619" s="15"/>
      <c r="M619" s="15"/>
      <c r="N619" s="15"/>
      <c r="O619" s="15"/>
      <c r="P619" s="15"/>
      <c r="Q619" s="15"/>
      <c r="R619" s="15"/>
      <c r="S619" s="15"/>
      <c r="T619" s="2"/>
      <c r="U619" s="2"/>
      <c r="V619" s="2"/>
      <c r="W619" s="2"/>
      <c r="X619" s="115"/>
      <c r="Y619" s="115"/>
      <c r="Z619" s="116"/>
      <c r="AA619" s="116"/>
    </row>
    <row r="620" spans="1:27" ht="15" hidden="1" customHeight="1" outlineLevel="1"/>
    <row r="621" spans="1:27" ht="22.25" hidden="1" customHeight="1" outlineLevel="1" collapsed="1">
      <c r="A621" s="852" t="s">
        <v>355</v>
      </c>
      <c r="B621" s="852"/>
      <c r="C621" s="852"/>
      <c r="D621" s="852"/>
      <c r="E621" s="852"/>
      <c r="F621" s="852"/>
      <c r="G621" s="852"/>
      <c r="H621" s="852"/>
      <c r="I621" s="852"/>
      <c r="J621" s="852"/>
      <c r="K621" s="852"/>
      <c r="L621" s="852"/>
      <c r="M621" s="852"/>
      <c r="N621" s="852"/>
      <c r="O621" s="852"/>
      <c r="P621" s="852"/>
      <c r="Q621" s="852"/>
      <c r="R621" s="852"/>
      <c r="S621" s="852"/>
      <c r="T621" s="852"/>
      <c r="U621" s="852"/>
      <c r="V621" s="852"/>
      <c r="W621" s="71"/>
      <c r="X621" s="112"/>
      <c r="Y621" s="112"/>
      <c r="Z621" s="112"/>
      <c r="AA621" s="112"/>
    </row>
    <row r="622" spans="1:27" s="117" customFormat="1" ht="16.5" hidden="1" customHeight="1" outlineLevel="2">
      <c r="A622" s="63"/>
      <c r="B622" s="63"/>
      <c r="C622" s="63"/>
      <c r="D622" s="561"/>
      <c r="E622" s="889"/>
      <c r="F622" s="889"/>
      <c r="G622" s="561"/>
      <c r="H622" s="561"/>
      <c r="I622" s="561"/>
      <c r="J622" s="561"/>
      <c r="K622" s="561"/>
      <c r="L622" s="561"/>
      <c r="M622" s="561"/>
      <c r="N622" s="561"/>
      <c r="O622" s="561"/>
      <c r="P622" s="561"/>
      <c r="Q622" s="561"/>
      <c r="R622" s="561"/>
      <c r="S622" s="561"/>
      <c r="T622" s="561"/>
      <c r="U622" s="561"/>
      <c r="V622" s="561"/>
      <c r="W622" s="63"/>
    </row>
    <row r="623" spans="1:27" ht="15.75" hidden="1" customHeight="1" outlineLevel="2">
      <c r="A623" s="867" t="s">
        <v>356</v>
      </c>
      <c r="B623" s="867"/>
      <c r="C623" s="867"/>
      <c r="D623" s="867"/>
      <c r="E623" s="556"/>
      <c r="F623" s="556"/>
      <c r="G623" s="556"/>
      <c r="H623" s="556"/>
      <c r="I623" s="556"/>
      <c r="J623" s="556"/>
      <c r="K623" s="556"/>
      <c r="L623" s="556"/>
      <c r="M623" s="556"/>
      <c r="N623" s="556"/>
      <c r="O623" s="556"/>
      <c r="P623" s="556"/>
      <c r="Q623" s="556"/>
      <c r="R623" s="556"/>
      <c r="S623" s="556"/>
      <c r="T623" s="556"/>
      <c r="U623" s="556"/>
      <c r="V623" s="556"/>
      <c r="W623" s="19"/>
      <c r="X623" s="114"/>
      <c r="Y623" s="114"/>
      <c r="Z623" s="114"/>
      <c r="AA623" s="114"/>
    </row>
    <row r="624" spans="1:27" ht="32.75" hidden="1" customHeight="1" outlineLevel="2" collapsed="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14"/>
    </row>
    <row r="625" spans="1:35" ht="67.5" hidden="1" customHeight="1" outlineLevel="3">
      <c r="A625" s="126"/>
      <c r="B625" s="127"/>
      <c r="C625" s="15"/>
      <c r="D625" s="15"/>
      <c r="E625" s="15"/>
      <c r="F625" s="15"/>
      <c r="G625" s="15"/>
      <c r="H625" s="15"/>
      <c r="I625" s="15"/>
      <c r="J625" s="15"/>
      <c r="K625" s="15"/>
      <c r="L625" s="2"/>
      <c r="M625" s="859" t="s">
        <v>357</v>
      </c>
      <c r="N625" s="859"/>
      <c r="O625" s="859"/>
      <c r="P625" s="859"/>
      <c r="Q625" s="859"/>
      <c r="R625" s="859"/>
      <c r="S625" s="859"/>
      <c r="T625" s="859"/>
      <c r="U625" s="859"/>
      <c r="V625" s="859"/>
      <c r="AC625" s="972"/>
      <c r="AD625" s="972"/>
      <c r="AE625" s="972"/>
      <c r="AF625" s="972"/>
    </row>
    <row r="626" spans="1:35" ht="12.75" hidden="1" customHeight="1" outlineLevel="3">
      <c r="AC626" s="118"/>
      <c r="AD626" s="118"/>
      <c r="AE626" s="118"/>
      <c r="AF626" s="118"/>
    </row>
    <row r="627" spans="1:35" ht="34.5" hidden="1" customHeight="1" outlineLevel="3">
      <c r="A627" s="885" t="s">
        <v>99</v>
      </c>
      <c r="B627" s="885"/>
      <c r="C627" s="912" t="s">
        <v>364</v>
      </c>
      <c r="D627" s="885" t="s">
        <v>365</v>
      </c>
      <c r="E627" s="885"/>
      <c r="F627" s="885"/>
      <c r="G627" s="885"/>
      <c r="H627" s="885"/>
      <c r="I627" s="885"/>
      <c r="J627" s="885"/>
      <c r="K627" s="885"/>
      <c r="L627" s="798" t="s">
        <v>809</v>
      </c>
      <c r="M627" s="834" t="s">
        <v>366</v>
      </c>
      <c r="N627" s="868"/>
      <c r="O627" s="868"/>
      <c r="P627" s="868"/>
      <c r="Q627" s="868"/>
      <c r="R627" s="835"/>
      <c r="S627" s="885" t="s">
        <v>367</v>
      </c>
      <c r="T627" s="885"/>
      <c r="U627" s="885"/>
      <c r="V627" s="885"/>
      <c r="AD627" s="119"/>
    </row>
    <row r="628" spans="1:35" ht="51" hidden="1" outlineLevel="3">
      <c r="A628" s="885"/>
      <c r="B628" s="885"/>
      <c r="C628" s="912"/>
      <c r="D628" s="36" t="s">
        <v>106</v>
      </c>
      <c r="E628" s="554" t="s">
        <v>101</v>
      </c>
      <c r="F628" s="554" t="s">
        <v>102</v>
      </c>
      <c r="G628" s="558" t="s">
        <v>103</v>
      </c>
      <c r="H628" s="558" t="s">
        <v>104</v>
      </c>
      <c r="I628" s="554" t="s">
        <v>105</v>
      </c>
      <c r="J628" s="798" t="s">
        <v>807</v>
      </c>
      <c r="K628" s="798" t="s">
        <v>808</v>
      </c>
      <c r="L628" s="798"/>
      <c r="M628" s="885" t="s">
        <v>810</v>
      </c>
      <c r="N628" s="798" t="s">
        <v>811</v>
      </c>
      <c r="O628" s="798" t="s">
        <v>812</v>
      </c>
      <c r="P628" s="798" t="s">
        <v>813</v>
      </c>
      <c r="Q628" s="869" t="s">
        <v>814</v>
      </c>
      <c r="R628" s="870"/>
      <c r="S628" s="885" t="s">
        <v>810</v>
      </c>
      <c r="T628" s="885" t="s">
        <v>811</v>
      </c>
      <c r="U628" s="885" t="s">
        <v>812</v>
      </c>
      <c r="V628" s="798" t="s">
        <v>813</v>
      </c>
      <c r="AD628" s="119"/>
    </row>
    <row r="629" spans="1:35" ht="19.5" hidden="1" customHeight="1" outlineLevel="3">
      <c r="A629" s="885"/>
      <c r="B629" s="885"/>
      <c r="C629" s="912"/>
      <c r="D629" s="40" t="s">
        <v>819</v>
      </c>
      <c r="E629" s="928" t="s">
        <v>806</v>
      </c>
      <c r="F629" s="929"/>
      <c r="G629" s="929"/>
      <c r="H629" s="929"/>
      <c r="I629" s="929"/>
      <c r="J629" s="798"/>
      <c r="K629" s="798"/>
      <c r="L629" s="798"/>
      <c r="M629" s="885"/>
      <c r="N629" s="798"/>
      <c r="O629" s="798"/>
      <c r="P629" s="798"/>
      <c r="Q629" s="871"/>
      <c r="R629" s="872"/>
      <c r="S629" s="885"/>
      <c r="T629" s="885"/>
      <c r="U629" s="885"/>
      <c r="V629" s="798"/>
      <c r="AD629" s="119"/>
    </row>
    <row r="630" spans="1:35" ht="51" hidden="1" customHeight="1" outlineLevel="3">
      <c r="A630" s="954" t="s">
        <v>113</v>
      </c>
      <c r="B630" s="954"/>
      <c r="C630" s="901" t="s">
        <v>356</v>
      </c>
      <c r="D630" s="557" t="str" cm="1">
        <f t="array" ref="D630">IF($G$619="","",SUMPRODUCT(('CMA Segmentation'!$M$20:$M$44=TRUE)*($A630='CMA Segmentation'!$AK$20:$AK$44)*('Climate-Alignment Target'!D$628='CMA Segmentation'!$Q$19:$V$19)*('CMA Segmentation'!$Q$20:$V$44)))</f>
        <v/>
      </c>
      <c r="E630" s="557" t="str" cm="1">
        <f t="array" ref="E630">IF($G$619="","",SUMPRODUCT(('CMA Segmentation'!$M$20:$M$44=TRUE)*($A630='CMA Segmentation'!$AK$20:$AK$44)*('Climate-Alignment Target'!E$628='CMA Segmentation'!$Q$19:$V$19)*('CMA Segmentation'!$Q$20:$V$44)))</f>
        <v/>
      </c>
      <c r="F630" s="557" t="str" cm="1">
        <f t="array" ref="F630">IF($G$619="","",SUMPRODUCT(('CMA Segmentation'!$M$20:$M$44=TRUE)*($A630='CMA Segmentation'!$AK$20:$AK$44)*('Climate-Alignment Target'!F$628='CMA Segmentation'!$Q$19:$V$19)*('CMA Segmentation'!$Q$20:$V$44)))</f>
        <v/>
      </c>
      <c r="G630" s="557" t="str" cm="1">
        <f t="array" ref="G630">IF($G$619="","",SUMPRODUCT(('CMA Segmentation'!$M$20:$M$44=TRUE)*($A630='CMA Segmentation'!$AK$20:$AK$44)*('Climate-Alignment Target'!G$628='CMA Segmentation'!$Q$19:$V$19)*('CMA Segmentation'!$Q$20:$V$44)))</f>
        <v/>
      </c>
      <c r="H630" s="557" t="str" cm="1">
        <f t="array" ref="H630">IF($G$619="","",SUMPRODUCT(('CMA Segmentation'!$M$20:$M$44=TRUE)*($A630='CMA Segmentation'!$AK$20:$AK$44)*('Climate-Alignment Target'!H$628='CMA Segmentation'!$Q$19:$V$19)*('CMA Segmentation'!$Q$20:$V$44)))</f>
        <v/>
      </c>
      <c r="I630" s="557" t="str" cm="1">
        <f t="array" ref="I630">IF($G$619="","",SUMPRODUCT(('CMA Segmentation'!$M$20:$M$44=TRUE)*($A630='CMA Segmentation'!$AK$20:$AK$44)*('Climate-Alignment Target'!I$628='CMA Segmentation'!$Q$19:$V$19)*('CMA Segmentation'!$Q$20:$V$44)))</f>
        <v/>
      </c>
      <c r="J630" s="557">
        <f>SUM(E630:I630)</f>
        <v>0</v>
      </c>
      <c r="K630" s="557" t="e">
        <f t="shared" ref="K630:K633" si="442">IF(D630=0,"",IF(D630-J630=0,"OK","Review financial exposure"))</f>
        <v>#VALUE!</v>
      </c>
      <c r="L630" s="562">
        <f>IF(SUM(E630:I630)=0,0,(G630+H630+I630)/(SUM(E630:I630)))</f>
        <v>0</v>
      </c>
      <c r="M630" s="915"/>
      <c r="N630" s="563"/>
      <c r="O630" s="562" t="str">
        <f>IF($M$630="","",IF(D630=0,"",IF(L630&gt;=$Z630,L630,(L630+($Z630-L630)/($Y630-$I$619)*($M$630-$I$619)))))</f>
        <v/>
      </c>
      <c r="P630" s="560" t="str">
        <f>IF(N630="","",IF(N630-O630&gt;=0,"OK","Minimum ambition not met, please increase ambition"))</f>
        <v/>
      </c>
      <c r="Q630" s="873" t="str">
        <f>IFERROR(IF(M630="","",SUMPRODUCT(J630:J633,N630:N633)/SUM(J630:J633)),"")</f>
        <v/>
      </c>
      <c r="R630" s="874"/>
      <c r="S630" s="955"/>
      <c r="T630" s="957"/>
      <c r="U630" s="897" t="str">
        <f>IF(S630="","",95%)</f>
        <v/>
      </c>
      <c r="V630" s="898" t="str">
        <f>IF(T630="","",IF(T630-U630&gt;=0,"OK","Minimum ambition not met, please increase ambition"))</f>
        <v/>
      </c>
      <c r="X630" s="113" t="s">
        <v>368</v>
      </c>
      <c r="Y630" s="113">
        <f t="shared" ref="Y630:Y633" si="443">_xlfn.XLOOKUP($X630,$AB$17:$AB$24,AE$17:AE$24,0,0)</f>
        <v>2035</v>
      </c>
      <c r="Z630" s="113">
        <f t="shared" ref="Z630:Z633" si="444">_xlfn.XLOOKUP($X630,$AB$17:$AB$24,AF$17:AF$24,0,0)</f>
        <v>0.95</v>
      </c>
      <c r="AD630" s="119"/>
      <c r="AI630" s="120" t="s">
        <v>438</v>
      </c>
    </row>
    <row r="631" spans="1:35" ht="51" hidden="1" customHeight="1" outlineLevel="3">
      <c r="A631" s="954" t="s">
        <v>121</v>
      </c>
      <c r="B631" s="954"/>
      <c r="C631" s="901"/>
      <c r="D631" s="557" t="str" cm="1">
        <f t="array" ref="D631">IF($G$619="","",SUMPRODUCT(('CMA Segmentation'!$M$20:$M$44=TRUE)*($A631='CMA Segmentation'!$AK$20:$AK$44)*('Climate-Alignment Target'!D$628='CMA Segmentation'!$Q$19:$V$19)*('CMA Segmentation'!$Q$20:$V$44)))</f>
        <v/>
      </c>
      <c r="E631" s="557" t="str" cm="1">
        <f t="array" ref="E631">IF($G$619="","",SUMPRODUCT(('CMA Segmentation'!$M$20:$M$44=TRUE)*($A631='CMA Segmentation'!$AK$20:$AK$44)*('Climate-Alignment Target'!E$628='CMA Segmentation'!$Q$19:$V$19)*('CMA Segmentation'!$Q$20:$V$44)))</f>
        <v/>
      </c>
      <c r="F631" s="557" t="str" cm="1">
        <f t="array" ref="F631">IF($G$619="","",SUMPRODUCT(('CMA Segmentation'!$M$20:$M$44=TRUE)*($A631='CMA Segmentation'!$AK$20:$AK$44)*('Climate-Alignment Target'!F$628='CMA Segmentation'!$Q$19:$V$19)*('CMA Segmentation'!$Q$20:$V$44)))</f>
        <v/>
      </c>
      <c r="G631" s="557" t="str" cm="1">
        <f t="array" ref="G631">IF($G$619="","",SUMPRODUCT(('CMA Segmentation'!$M$20:$M$44=TRUE)*($A631='CMA Segmentation'!$AK$20:$AK$44)*('Climate-Alignment Target'!G$628='CMA Segmentation'!$Q$19:$V$19)*('CMA Segmentation'!$Q$20:$V$44)))</f>
        <v/>
      </c>
      <c r="H631" s="557" t="str" cm="1">
        <f t="array" ref="H631">IF($G$619="","",SUMPRODUCT(('CMA Segmentation'!$M$20:$M$44=TRUE)*($A631='CMA Segmentation'!$AK$20:$AK$44)*('Climate-Alignment Target'!H$628='CMA Segmentation'!$Q$19:$V$19)*('CMA Segmentation'!$Q$20:$V$44)))</f>
        <v/>
      </c>
      <c r="I631" s="557" t="str" cm="1">
        <f t="array" ref="I631">IF($G$619="","",SUMPRODUCT(('CMA Segmentation'!$M$20:$M$44=TRUE)*($A631='CMA Segmentation'!$AK$20:$AK$44)*('Climate-Alignment Target'!I$628='CMA Segmentation'!$Q$19:$V$19)*('CMA Segmentation'!$Q$20:$V$44)))</f>
        <v/>
      </c>
      <c r="J631" s="557">
        <f>SUM(E631:I631)</f>
        <v>0</v>
      </c>
      <c r="K631" s="557" t="e">
        <f t="shared" si="442"/>
        <v>#VALUE!</v>
      </c>
      <c r="L631" s="562">
        <f>IF(SUM(E631:I631)=0,0,(G631+H631+I631)/(SUM(E631:I631)))</f>
        <v>0</v>
      </c>
      <c r="M631" s="915"/>
      <c r="N631" s="563"/>
      <c r="O631" s="562" t="str">
        <f t="shared" ref="O631:O633" si="445">IF($M$630="","",IF(D631=0,"",IF(L631&gt;=$Z631,L631,(L631+($Z631-L631)/($Y631-$I$619)*($M$630-$I$619)))))</f>
        <v/>
      </c>
      <c r="P631" s="560" t="str">
        <f>IF(N631="","",IF(N631-O631&gt;=0,"OK","Minimum ambition not met, please increase ambition"))</f>
        <v/>
      </c>
      <c r="Q631" s="875"/>
      <c r="R631" s="876"/>
      <c r="S631" s="956"/>
      <c r="T631" s="958"/>
      <c r="U631" s="897"/>
      <c r="V631" s="898"/>
      <c r="X631" s="113" t="s">
        <v>373</v>
      </c>
      <c r="Y631" s="113">
        <f t="shared" si="443"/>
        <v>2040</v>
      </c>
      <c r="Z631" s="113">
        <f t="shared" si="444"/>
        <v>0.95</v>
      </c>
      <c r="AD631" s="119"/>
      <c r="AI631" s="120"/>
    </row>
    <row r="632" spans="1:35" ht="51" hidden="1" customHeight="1" outlineLevel="3">
      <c r="A632" s="954" t="s">
        <v>130</v>
      </c>
      <c r="B632" s="954"/>
      <c r="C632" s="901"/>
      <c r="D632" s="557" t="str" cm="1">
        <f t="array" ref="D632">IF($G$619="","",SUMPRODUCT(('CMA Segmentation'!$M$20:$M$44=TRUE)*($A632='CMA Segmentation'!$AK$20:$AK$44)*('Climate-Alignment Target'!D$628='CMA Segmentation'!$Q$19:$V$19)*('CMA Segmentation'!$Q$20:$V$44)))</f>
        <v/>
      </c>
      <c r="E632" s="557" t="str" cm="1">
        <f t="array" ref="E632">IF($G$619="","",SUMPRODUCT(('CMA Segmentation'!$M$20:$M$44=TRUE)*($A632='CMA Segmentation'!$AK$20:$AK$44)*('Climate-Alignment Target'!E$628='CMA Segmentation'!$Q$19:$V$19)*('CMA Segmentation'!$Q$20:$V$44)))</f>
        <v/>
      </c>
      <c r="F632" s="557" t="str" cm="1">
        <f t="array" ref="F632">IF($G$619="","",SUMPRODUCT(('CMA Segmentation'!$M$20:$M$44=TRUE)*($A632='CMA Segmentation'!$AK$20:$AK$44)*('Climate-Alignment Target'!F$628='CMA Segmentation'!$Q$19:$V$19)*('CMA Segmentation'!$Q$20:$V$44)))</f>
        <v/>
      </c>
      <c r="G632" s="557" t="str" cm="1">
        <f t="array" ref="G632">IF($G$619="","",SUMPRODUCT(('CMA Segmentation'!$M$20:$M$44=TRUE)*($A632='CMA Segmentation'!$AK$20:$AK$44)*('Climate-Alignment Target'!G$628='CMA Segmentation'!$Q$19:$V$19)*('CMA Segmentation'!$Q$20:$V$44)))</f>
        <v/>
      </c>
      <c r="H632" s="557" t="str" cm="1">
        <f t="array" ref="H632">IF($G$619="","",SUMPRODUCT(('CMA Segmentation'!$M$20:$M$44=TRUE)*($A632='CMA Segmentation'!$AK$20:$AK$44)*('Climate-Alignment Target'!H$628='CMA Segmentation'!$Q$19:$V$19)*('CMA Segmentation'!$Q$20:$V$44)))</f>
        <v/>
      </c>
      <c r="I632" s="557" t="str" cm="1">
        <f t="array" ref="I632">IF($G$619="","",SUMPRODUCT(('CMA Segmentation'!$M$20:$M$44=TRUE)*($A632='CMA Segmentation'!$AK$20:$AK$44)*('Climate-Alignment Target'!I$628='CMA Segmentation'!$Q$19:$V$19)*('CMA Segmentation'!$Q$20:$V$44)))</f>
        <v/>
      </c>
      <c r="J632" s="557">
        <f>SUM(E632:I632)</f>
        <v>0</v>
      </c>
      <c r="K632" s="557" t="e">
        <f t="shared" si="442"/>
        <v>#VALUE!</v>
      </c>
      <c r="L632" s="562">
        <f>IF(SUM(E632:I632)=0,0,(G632+H632+I632)/(SUM(E632:I632)))</f>
        <v>0</v>
      </c>
      <c r="M632" s="915"/>
      <c r="N632" s="563"/>
      <c r="O632" s="562" t="str">
        <f t="shared" si="445"/>
        <v/>
      </c>
      <c r="P632" s="560" t="str">
        <f>IF(N632="","",IF(N632-O632&gt;=0,"OK","Minimum ambition not met, please increase ambition"))</f>
        <v/>
      </c>
      <c r="Q632" s="875"/>
      <c r="R632" s="876"/>
      <c r="S632" s="956"/>
      <c r="T632" s="958"/>
      <c r="U632" s="897"/>
      <c r="V632" s="898"/>
      <c r="X632" s="113" t="s">
        <v>376</v>
      </c>
      <c r="Y632" s="113">
        <f t="shared" si="443"/>
        <v>2040</v>
      </c>
      <c r="Z632" s="113">
        <f t="shared" si="444"/>
        <v>0.95</v>
      </c>
      <c r="AD632" s="119"/>
      <c r="AI632" s="120"/>
    </row>
    <row r="633" spans="1:35" ht="51" hidden="1" customHeight="1" outlineLevel="3">
      <c r="A633" s="954" t="s">
        <v>136</v>
      </c>
      <c r="B633" s="954"/>
      <c r="C633" s="901"/>
      <c r="D633" s="557" t="str" cm="1">
        <f t="array" ref="D633">IF($G$619="","",SUMPRODUCT(('CMA Segmentation'!$M$20:$M$44=TRUE)*($A633='CMA Segmentation'!$AK$20:$AK$44)*('Climate-Alignment Target'!D$628='CMA Segmentation'!$Q$19:$V$19)*('CMA Segmentation'!$Q$20:$V$44)))</f>
        <v/>
      </c>
      <c r="E633" s="557" t="str" cm="1">
        <f t="array" ref="E633">IF($G$619="","",SUMPRODUCT(('CMA Segmentation'!$M$20:$M$44=TRUE)*($A633='CMA Segmentation'!$AK$20:$AK$44)*('Climate-Alignment Target'!E$628='CMA Segmentation'!$Q$19:$V$19)*('CMA Segmentation'!$Q$20:$V$44)))</f>
        <v/>
      </c>
      <c r="F633" s="557" t="str" cm="1">
        <f t="array" ref="F633">IF($G$619="","",SUMPRODUCT(('CMA Segmentation'!$M$20:$M$44=TRUE)*($A633='CMA Segmentation'!$AK$20:$AK$44)*('Climate-Alignment Target'!F$628='CMA Segmentation'!$Q$19:$V$19)*('CMA Segmentation'!$Q$20:$V$44)))</f>
        <v/>
      </c>
      <c r="G633" s="557" t="str" cm="1">
        <f t="array" ref="G633">IF($G$619="","",SUMPRODUCT(('CMA Segmentation'!$M$20:$M$44=TRUE)*($A633='CMA Segmentation'!$AK$20:$AK$44)*('Climate-Alignment Target'!G$628='CMA Segmentation'!$Q$19:$V$19)*('CMA Segmentation'!$Q$20:$V$44)))</f>
        <v/>
      </c>
      <c r="H633" s="557" t="str" cm="1">
        <f t="array" ref="H633">IF($G$619="","",SUMPRODUCT(('CMA Segmentation'!$M$20:$M$44=TRUE)*($A633='CMA Segmentation'!$AK$20:$AK$44)*('Climate-Alignment Target'!H$628='CMA Segmentation'!$Q$19:$V$19)*('CMA Segmentation'!$Q$20:$V$44)))</f>
        <v/>
      </c>
      <c r="I633" s="557" t="str" cm="1">
        <f t="array" ref="I633">IF($G$619="","",SUMPRODUCT(('CMA Segmentation'!$M$20:$M$44=TRUE)*($A633='CMA Segmentation'!$AK$20:$AK$44)*('Climate-Alignment Target'!I$628='CMA Segmentation'!$Q$19:$V$19)*('CMA Segmentation'!$Q$20:$V$44)))</f>
        <v/>
      </c>
      <c r="J633" s="557">
        <f>SUM(E633:I633)</f>
        <v>0</v>
      </c>
      <c r="K633" s="557" t="e">
        <f t="shared" si="442"/>
        <v>#VALUE!</v>
      </c>
      <c r="L633" s="562">
        <f>IF(SUM(E633:I633)=0,0,(G633+H633+I633)/(SUM(E633:I633)))</f>
        <v>0</v>
      </c>
      <c r="M633" s="915"/>
      <c r="N633" s="563"/>
      <c r="O633" s="562" t="str">
        <f t="shared" si="445"/>
        <v/>
      </c>
      <c r="P633" s="560" t="str">
        <f>IF(N633="","",IF(N633-O633&gt;=0,"OK","Minimum ambition not met, please increase ambition"))</f>
        <v/>
      </c>
      <c r="Q633" s="877"/>
      <c r="R633" s="878"/>
      <c r="S633" s="956"/>
      <c r="T633" s="959"/>
      <c r="U633" s="897"/>
      <c r="V633" s="898"/>
      <c r="X633" s="113" t="s">
        <v>378</v>
      </c>
      <c r="Y633" s="113">
        <f t="shared" si="443"/>
        <v>2050</v>
      </c>
      <c r="Z633" s="113">
        <f t="shared" si="444"/>
        <v>0.95</v>
      </c>
      <c r="AD633" s="119"/>
    </row>
    <row r="634" spans="1:35" ht="27.75" hidden="1" customHeight="1" outlineLevel="2">
      <c r="A634" s="315"/>
      <c r="B634" s="315"/>
      <c r="C634" s="316"/>
      <c r="D634" s="317"/>
      <c r="E634" s="318"/>
      <c r="F634" s="319"/>
      <c r="G634" s="319"/>
      <c r="H634" s="319"/>
      <c r="I634" s="319"/>
      <c r="J634" s="319"/>
      <c r="K634" s="319"/>
      <c r="L634" s="319"/>
      <c r="M634" s="319"/>
      <c r="N634" s="320"/>
      <c r="O634" s="318"/>
      <c r="P634" s="320"/>
      <c r="Q634" s="320"/>
      <c r="R634" s="320"/>
      <c r="S634" s="16"/>
      <c r="T634" s="321"/>
      <c r="U634" s="322"/>
      <c r="V634" s="320"/>
      <c r="W634" s="320"/>
      <c r="X634" s="323"/>
      <c r="AG634" s="119"/>
    </row>
    <row r="635" spans="1:35" ht="15.75" hidden="1" customHeight="1" outlineLevel="2">
      <c r="A635" s="867" t="s">
        <v>380</v>
      </c>
      <c r="B635" s="867"/>
      <c r="C635" s="867"/>
      <c r="D635" s="867"/>
      <c r="E635" s="556"/>
      <c r="F635" s="556"/>
      <c r="G635" s="556"/>
      <c r="H635" s="556"/>
      <c r="I635" s="556"/>
      <c r="J635" s="556"/>
      <c r="K635" s="556"/>
      <c r="L635" s="556"/>
      <c r="M635" s="556"/>
      <c r="N635" s="556"/>
      <c r="O635" s="556"/>
      <c r="P635" s="556"/>
      <c r="Q635" s="556"/>
      <c r="R635" s="556"/>
      <c r="S635" s="556"/>
      <c r="T635" s="556"/>
      <c r="U635" s="556"/>
      <c r="V635" s="556"/>
      <c r="W635" s="19"/>
      <c r="X635" s="114"/>
      <c r="Y635" s="114"/>
    </row>
    <row r="636" spans="1:35" ht="20.25" hidden="1" customHeight="1" outlineLevel="2">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14"/>
      <c r="Y636" s="114"/>
    </row>
    <row r="637" spans="1:35" ht="34.5" hidden="1" customHeight="1" outlineLevel="2" collapsed="1">
      <c r="A637" s="19"/>
      <c r="B637" s="19"/>
      <c r="C637" s="19"/>
      <c r="D637" s="19"/>
      <c r="E637" s="859" t="s">
        <v>381</v>
      </c>
      <c r="F637" s="859"/>
      <c r="G637" s="859"/>
      <c r="H637" s="859"/>
      <c r="I637" s="859"/>
      <c r="J637" s="19"/>
      <c r="K637" s="19"/>
      <c r="L637" s="19"/>
      <c r="M637" s="859" t="s">
        <v>357</v>
      </c>
      <c r="N637" s="859"/>
      <c r="O637" s="859"/>
      <c r="P637" s="859"/>
      <c r="Q637" s="859"/>
      <c r="R637" s="859"/>
      <c r="S637" s="859"/>
      <c r="T637" s="859"/>
      <c r="U637" s="859"/>
      <c r="V637" s="859"/>
    </row>
    <row r="638" spans="1:35" ht="15.75" hidden="1" customHeight="1" outlineLevel="3">
      <c r="A638" s="324"/>
      <c r="B638" s="324"/>
      <c r="C638" s="325"/>
      <c r="D638" s="326"/>
      <c r="E638" s="326"/>
      <c r="F638" s="326"/>
      <c r="G638" s="326"/>
      <c r="H638" s="326"/>
      <c r="I638" s="326"/>
      <c r="J638" s="326"/>
      <c r="K638" s="326"/>
      <c r="L638" s="326"/>
      <c r="M638" s="327"/>
      <c r="N638" s="327"/>
      <c r="O638" s="327"/>
      <c r="P638" s="328"/>
      <c r="Q638" s="328"/>
      <c r="R638" s="329"/>
      <c r="S638" s="16"/>
      <c r="T638" s="327"/>
      <c r="U638" s="16"/>
    </row>
    <row r="639" spans="1:35" ht="36" hidden="1" customHeight="1" outlineLevel="3">
      <c r="A639" s="960" t="s">
        <v>99</v>
      </c>
      <c r="B639" s="961"/>
      <c r="C639" s="964" t="s">
        <v>364</v>
      </c>
      <c r="D639" s="879" t="s">
        <v>365</v>
      </c>
      <c r="E639" s="868"/>
      <c r="F639" s="868"/>
      <c r="G639" s="868"/>
      <c r="H639" s="868"/>
      <c r="I639" s="868"/>
      <c r="J639" s="868"/>
      <c r="K639" s="880"/>
      <c r="L639" s="714" t="s">
        <v>809</v>
      </c>
      <c r="M639" s="885" t="s">
        <v>366</v>
      </c>
      <c r="N639" s="885"/>
      <c r="O639" s="885"/>
      <c r="P639" s="885"/>
      <c r="Q639" s="885"/>
      <c r="R639" s="885"/>
      <c r="S639" s="885" t="s">
        <v>367</v>
      </c>
      <c r="T639" s="885"/>
      <c r="U639" s="885"/>
      <c r="V639" s="885"/>
    </row>
    <row r="640" spans="1:35" ht="51" hidden="1" customHeight="1" outlineLevel="3">
      <c r="A640" s="962"/>
      <c r="B640" s="963"/>
      <c r="C640" s="965"/>
      <c r="D640" s="36" t="s">
        <v>106</v>
      </c>
      <c r="E640" s="330" t="s">
        <v>101</v>
      </c>
      <c r="F640" s="330" t="s">
        <v>102</v>
      </c>
      <c r="G640" s="331" t="s">
        <v>103</v>
      </c>
      <c r="H640" s="331" t="s">
        <v>104</v>
      </c>
      <c r="I640" s="330" t="s">
        <v>105</v>
      </c>
      <c r="J640" s="798" t="s">
        <v>807</v>
      </c>
      <c r="K640" s="798" t="s">
        <v>808</v>
      </c>
      <c r="L640" s="798"/>
      <c r="M640" s="885" t="s">
        <v>810</v>
      </c>
      <c r="N640" s="798" t="s">
        <v>811</v>
      </c>
      <c r="O640" s="967" t="s">
        <v>828</v>
      </c>
      <c r="P640" s="798" t="s">
        <v>813</v>
      </c>
      <c r="Q640" s="879" t="s">
        <v>816</v>
      </c>
      <c r="R640" s="880"/>
      <c r="S640" s="885" t="s">
        <v>810</v>
      </c>
      <c r="T640" s="885" t="s">
        <v>811</v>
      </c>
      <c r="U640" s="885" t="s">
        <v>812</v>
      </c>
      <c r="V640" s="798" t="s">
        <v>813</v>
      </c>
    </row>
    <row r="641" spans="1:36" ht="36" hidden="1" customHeight="1" outlineLevel="3">
      <c r="A641" s="962"/>
      <c r="B641" s="963"/>
      <c r="C641" s="966"/>
      <c r="D641" s="40" t="s">
        <v>819</v>
      </c>
      <c r="E641" s="969" t="s">
        <v>817</v>
      </c>
      <c r="F641" s="970"/>
      <c r="G641" s="970"/>
      <c r="H641" s="970"/>
      <c r="I641" s="971"/>
      <c r="J641" s="798"/>
      <c r="K641" s="798"/>
      <c r="L641" s="798"/>
      <c r="M641" s="885"/>
      <c r="N641" s="798"/>
      <c r="O641" s="968"/>
      <c r="P641" s="798"/>
      <c r="Q641" s="38" t="s">
        <v>369</v>
      </c>
      <c r="R641" s="35" t="s">
        <v>372</v>
      </c>
      <c r="S641" s="885"/>
      <c r="T641" s="885"/>
      <c r="U641" s="885"/>
      <c r="V641" s="798"/>
    </row>
    <row r="642" spans="1:36" ht="46.25" hidden="1" customHeight="1" outlineLevel="3">
      <c r="A642" s="936" t="s">
        <v>113</v>
      </c>
      <c r="B642" s="936"/>
      <c r="C642" s="332" t="s">
        <v>369</v>
      </c>
      <c r="D642" s="937" t="str">
        <f>IF($D$466="Regional differentiation",D630,"")</f>
        <v/>
      </c>
      <c r="E642" s="4"/>
      <c r="F642" s="4"/>
      <c r="G642" s="4"/>
      <c r="H642" s="4"/>
      <c r="I642" s="4"/>
      <c r="J642" s="557">
        <f>SUM(E642:I642)</f>
        <v>0</v>
      </c>
      <c r="K642" s="939" t="str">
        <f>IF(D642="","",IF(D642-J642-J643=0,"OK","Review financial exposure"))</f>
        <v/>
      </c>
      <c r="L642" s="562">
        <f t="shared" ref="L642:L648" si="446">IF(SUM(E642:I642)=0,0,(G642+H642+I642)/(SUM(E642:I642)))</f>
        <v>0</v>
      </c>
      <c r="M642" s="941"/>
      <c r="N642" s="563"/>
      <c r="O642" s="562" t="str">
        <f>IF($M$642="","",IF(D642=0,"",IF(L642&gt;=$Z642,L642,(L642+($Z642-L642)/($Y642-$I$619)*($M$489-$I$619)))))</f>
        <v/>
      </c>
      <c r="P642" s="338" t="str">
        <f>IF(N642="","",IF(N642-O642&gt;=0,"OK","Minimum ambition not met, please increase ambition"))</f>
        <v/>
      </c>
      <c r="Q642" s="906" t="str">
        <f>IF($M642="","",($N642*$J642+$N644*$J644+$N646*$J646+$N648*$J648)/SUMIF($C642:$C649,"Developed economies",$J642:$J649))</f>
        <v/>
      </c>
      <c r="R642" s="905" t="str">
        <f>IFERROR(IF($M642="","",($N643*$J643+$N645*$J645+$N647*$J647+$N649*$J649)/SUMIF($C642:$C649,"Developing economies",$J642:$J649)),"")</f>
        <v/>
      </c>
      <c r="S642" s="944"/>
      <c r="T642" s="947"/>
      <c r="U642" s="897" t="str">
        <f>IF(S642="","",95%)</f>
        <v/>
      </c>
      <c r="V642" s="950" t="str">
        <f>IF(T642="","",IF(T642-U642&gt;=0,"OK","Minimum ambition not met, please increase ambition"))</f>
        <v/>
      </c>
      <c r="X642" s="113" t="s">
        <v>368</v>
      </c>
      <c r="Y642" s="113">
        <f t="shared" ref="Y642:Y649" si="447">_xlfn.XLOOKUP($X642,$AB$17:$AB$24,AE$17:AE$24,0,0)</f>
        <v>2035</v>
      </c>
      <c r="Z642" s="113">
        <f t="shared" ref="Z642:Z649" si="448">_xlfn.XLOOKUP($X642,$AB$17:$AB$24,AF$17:AF$24,0,0)</f>
        <v>0.95</v>
      </c>
      <c r="AI642" s="120" t="s">
        <v>439</v>
      </c>
      <c r="AJ642" s="120" t="s">
        <v>440</v>
      </c>
    </row>
    <row r="643" spans="1:36" ht="46.25" hidden="1" customHeight="1" outlineLevel="3">
      <c r="A643" s="936"/>
      <c r="B643" s="936"/>
      <c r="C643" s="332" t="s">
        <v>372</v>
      </c>
      <c r="D643" s="938"/>
      <c r="E643" s="334"/>
      <c r="F643" s="334"/>
      <c r="G643" s="334"/>
      <c r="H643" s="334"/>
      <c r="I643" s="334"/>
      <c r="J643" s="335">
        <f>SUM(E643:I643)</f>
        <v>0</v>
      </c>
      <c r="K643" s="940"/>
      <c r="L643" s="336">
        <f t="shared" si="446"/>
        <v>0</v>
      </c>
      <c r="M643" s="942"/>
      <c r="N643" s="337"/>
      <c r="O643" s="562" t="str">
        <f>IF($M$642="","",IF(D642=0,"",IF(L643&gt;=$Z643,L643,(L643+($Z643-L643)/($Y643-$I$619)*($M$489-$I$619)))))</f>
        <v/>
      </c>
      <c r="P643" s="338" t="str">
        <f t="shared" ref="P643:P649" si="449">IF(N643="","",IF(N643-O643&gt;=0,"OK","Minimum ambition not met, please increase ambition"))</f>
        <v/>
      </c>
      <c r="Q643" s="906"/>
      <c r="R643" s="906"/>
      <c r="S643" s="945"/>
      <c r="T643" s="948"/>
      <c r="U643" s="897"/>
      <c r="V643" s="951"/>
      <c r="X643" s="113" t="s">
        <v>371</v>
      </c>
      <c r="Y643" s="113">
        <f t="shared" si="447"/>
        <v>2035</v>
      </c>
      <c r="Z643" s="113">
        <f t="shared" si="448"/>
        <v>0.85</v>
      </c>
    </row>
    <row r="644" spans="1:36" ht="46.25" hidden="1" customHeight="1" outlineLevel="3">
      <c r="A644" s="936" t="s">
        <v>121</v>
      </c>
      <c r="B644" s="936"/>
      <c r="C644" s="332" t="s">
        <v>369</v>
      </c>
      <c r="D644" s="937" t="str">
        <f>IF($D$466="Regional differentiation",D631,"")</f>
        <v/>
      </c>
      <c r="E644" s="4"/>
      <c r="F644" s="4"/>
      <c r="G644" s="4"/>
      <c r="H644" s="4"/>
      <c r="I644" s="4"/>
      <c r="J644" s="557">
        <f t="shared" ref="J644:J649" si="450">SUM(E644:I644)</f>
        <v>0</v>
      </c>
      <c r="K644" s="939" t="str">
        <f>IF(D644="","",IF(D644-J644-J645=0,"OK","Review financial exposure"))</f>
        <v/>
      </c>
      <c r="L644" s="562">
        <f t="shared" si="446"/>
        <v>0</v>
      </c>
      <c r="M644" s="942"/>
      <c r="N644" s="563"/>
      <c r="O644" s="562" t="str">
        <f>IF($M$642="","",IF(D644=0,"",IF(L644&gt;=$Z644,L644,(L644+($Z644-L644)/($Y644-$I$619)*($M$489-$I$619)))))</f>
        <v/>
      </c>
      <c r="P644" s="338" t="str">
        <f t="shared" si="449"/>
        <v/>
      </c>
      <c r="Q644" s="906"/>
      <c r="R644" s="906"/>
      <c r="S644" s="945"/>
      <c r="T644" s="948"/>
      <c r="U644" s="897"/>
      <c r="V644" s="951"/>
      <c r="X644" s="113" t="s">
        <v>373</v>
      </c>
      <c r="Y644" s="113">
        <f t="shared" si="447"/>
        <v>2040</v>
      </c>
      <c r="Z644" s="113">
        <f t="shared" si="448"/>
        <v>0.95</v>
      </c>
    </row>
    <row r="645" spans="1:36" ht="46.25" hidden="1" customHeight="1" outlineLevel="3">
      <c r="A645" s="936"/>
      <c r="B645" s="936"/>
      <c r="C645" s="332" t="s">
        <v>372</v>
      </c>
      <c r="D645" s="938"/>
      <c r="E645" s="334"/>
      <c r="F645" s="334"/>
      <c r="G645" s="334"/>
      <c r="H645" s="334"/>
      <c r="I645" s="334"/>
      <c r="J645" s="335">
        <f t="shared" si="450"/>
        <v>0</v>
      </c>
      <c r="K645" s="940"/>
      <c r="L645" s="336">
        <f t="shared" si="446"/>
        <v>0</v>
      </c>
      <c r="M645" s="942"/>
      <c r="N645" s="337"/>
      <c r="O645" s="562" t="str">
        <f>IF($M$642="","",IF(D644=0,"",IF(L645&gt;=$Z645,L645,(L645+($Z645-L645)/($Y645-$I$619)*($M$489-$I$619)))))</f>
        <v/>
      </c>
      <c r="P645" s="338" t="str">
        <f t="shared" si="449"/>
        <v/>
      </c>
      <c r="Q645" s="906"/>
      <c r="R645" s="906"/>
      <c r="S645" s="945"/>
      <c r="T645" s="948"/>
      <c r="U645" s="897"/>
      <c r="V645" s="951"/>
      <c r="X645" s="113" t="s">
        <v>374</v>
      </c>
      <c r="Y645" s="113">
        <f t="shared" si="447"/>
        <v>2040</v>
      </c>
      <c r="Z645" s="113">
        <f t="shared" si="448"/>
        <v>0.85</v>
      </c>
    </row>
    <row r="646" spans="1:36" ht="46.25" hidden="1" customHeight="1" outlineLevel="3">
      <c r="A646" s="936" t="s">
        <v>130</v>
      </c>
      <c r="B646" s="936"/>
      <c r="C646" s="332" t="s">
        <v>369</v>
      </c>
      <c r="D646" s="937" t="str">
        <f>IF($D$466="Regional differentiation",D632,"")</f>
        <v/>
      </c>
      <c r="E646" s="4"/>
      <c r="F646" s="4"/>
      <c r="G646" s="4"/>
      <c r="H646" s="4"/>
      <c r="I646" s="4"/>
      <c r="J646" s="557">
        <f t="shared" si="450"/>
        <v>0</v>
      </c>
      <c r="K646" s="939" t="str">
        <f>IF(D646="","",IF(D646-J646-J647=0,"OK","Review financial exposure"))</f>
        <v/>
      </c>
      <c r="L646" s="562">
        <f t="shared" si="446"/>
        <v>0</v>
      </c>
      <c r="M646" s="942"/>
      <c r="N646" s="563"/>
      <c r="O646" s="562" t="str">
        <f>IF($M$642="","",IF(D646=0,"",IF(L646&gt;=$Z646,L646,(L646+($Z646-L646)/($Y646-$I$619)*($M$489-$I$619)))))</f>
        <v/>
      </c>
      <c r="P646" s="338" t="str">
        <f t="shared" si="449"/>
        <v/>
      </c>
      <c r="Q646" s="906" t="str">
        <f t="shared" ref="Q646" si="451">IF(M646="","",IF(AND(N646="",N647="",N648="",N649=""),SUMPRODUCT(J646:J649,O646:O649)/SUM(J646:J649),SUMPRODUCT(J646:J649,N646:N649)/SUM(J646:J649)))</f>
        <v/>
      </c>
      <c r="R646" s="906"/>
      <c r="S646" s="945"/>
      <c r="T646" s="948"/>
      <c r="U646" s="897"/>
      <c r="V646" s="951"/>
      <c r="X646" s="113" t="s">
        <v>376</v>
      </c>
      <c r="Y646" s="113">
        <f t="shared" si="447"/>
        <v>2040</v>
      </c>
      <c r="Z646" s="113">
        <f t="shared" si="448"/>
        <v>0.95</v>
      </c>
    </row>
    <row r="647" spans="1:36" ht="46.25" hidden="1" customHeight="1" outlineLevel="3">
      <c r="A647" s="936"/>
      <c r="B647" s="936"/>
      <c r="C647" s="332" t="s">
        <v>372</v>
      </c>
      <c r="D647" s="938"/>
      <c r="E647" s="334"/>
      <c r="F647" s="334"/>
      <c r="G647" s="334"/>
      <c r="H647" s="334"/>
      <c r="I647" s="334"/>
      <c r="J647" s="335">
        <f t="shared" si="450"/>
        <v>0</v>
      </c>
      <c r="K647" s="940"/>
      <c r="L647" s="336">
        <f t="shared" si="446"/>
        <v>0</v>
      </c>
      <c r="M647" s="942"/>
      <c r="N647" s="337"/>
      <c r="O647" s="562" t="str">
        <f>IF($M$642="","",IF(D646=0,"",IF(L647&gt;=$Z647,L647,(L647+($Z647-L647)/($Y647-$I$619)*($M$489-$I$619)))))</f>
        <v/>
      </c>
      <c r="P647" s="338" t="str">
        <f t="shared" si="449"/>
        <v/>
      </c>
      <c r="Q647" s="906"/>
      <c r="R647" s="906"/>
      <c r="S647" s="945"/>
      <c r="T647" s="948"/>
      <c r="U647" s="897"/>
      <c r="V647" s="951"/>
      <c r="X647" s="113" t="s">
        <v>377</v>
      </c>
      <c r="Y647" s="113">
        <f t="shared" si="447"/>
        <v>2040</v>
      </c>
      <c r="Z647" s="113">
        <f t="shared" si="448"/>
        <v>0.85</v>
      </c>
    </row>
    <row r="648" spans="1:36" ht="46.25" hidden="1" customHeight="1" outlineLevel="3">
      <c r="A648" s="936" t="s">
        <v>136</v>
      </c>
      <c r="B648" s="936"/>
      <c r="C648" s="332" t="s">
        <v>369</v>
      </c>
      <c r="D648" s="937" t="str">
        <f>IF($D$466="Regional differentiation",D633,"")</f>
        <v/>
      </c>
      <c r="E648" s="4"/>
      <c r="F648" s="4"/>
      <c r="G648" s="4"/>
      <c r="H648" s="4"/>
      <c r="I648" s="4"/>
      <c r="J648" s="557">
        <f t="shared" si="450"/>
        <v>0</v>
      </c>
      <c r="K648" s="939" t="str">
        <f>IF(D648="","",IF(D648-J648-J649=0,"OK","Review financial exposure"))</f>
        <v/>
      </c>
      <c r="L648" s="562">
        <f t="shared" si="446"/>
        <v>0</v>
      </c>
      <c r="M648" s="942"/>
      <c r="N648" s="563"/>
      <c r="O648" s="562" t="str">
        <f>IF($M$642="","",IF(D648=0,"",IF(L648&gt;=$Z648,L648,(L648+($Z648-L648)/($Y648-$I$619)*($M$489-$I$619)))))</f>
        <v/>
      </c>
      <c r="P648" s="338" t="str">
        <f t="shared" si="449"/>
        <v/>
      </c>
      <c r="Q648" s="906"/>
      <c r="R648" s="906"/>
      <c r="S648" s="945"/>
      <c r="T648" s="948"/>
      <c r="U648" s="897"/>
      <c r="V648" s="951"/>
      <c r="X648" s="113" t="s">
        <v>378</v>
      </c>
      <c r="Y648" s="113">
        <f t="shared" si="447"/>
        <v>2050</v>
      </c>
      <c r="Z648" s="113">
        <f t="shared" si="448"/>
        <v>0.95</v>
      </c>
    </row>
    <row r="649" spans="1:36" ht="46.25" hidden="1" customHeight="1" outlineLevel="3">
      <c r="A649" s="936"/>
      <c r="B649" s="953"/>
      <c r="C649" s="333" t="s">
        <v>372</v>
      </c>
      <c r="D649" s="938"/>
      <c r="E649" s="334"/>
      <c r="F649" s="334"/>
      <c r="G649" s="334"/>
      <c r="H649" s="334"/>
      <c r="I649" s="334"/>
      <c r="J649" s="335">
        <f t="shared" si="450"/>
        <v>0</v>
      </c>
      <c r="K649" s="940"/>
      <c r="L649" s="336">
        <f>IF(SUM(E649:I649)=0,0,(G649+H649+I649)/(SUM(E649:I649)))</f>
        <v>0</v>
      </c>
      <c r="M649" s="943"/>
      <c r="N649" s="337"/>
      <c r="O649" s="562" t="str">
        <f>IF($M$642="","",IF(D648=0,"",IF(L649&gt;=$Z649,L649,(L649+($Z649-L649)/($Y649-$I$619)*($M$489-$I$619)))))</f>
        <v/>
      </c>
      <c r="P649" s="338" t="str">
        <f t="shared" si="449"/>
        <v/>
      </c>
      <c r="Q649" s="907"/>
      <c r="R649" s="907"/>
      <c r="S649" s="946"/>
      <c r="T649" s="949"/>
      <c r="U649" s="897"/>
      <c r="V649" s="952"/>
      <c r="X649" s="113" t="s">
        <v>379</v>
      </c>
      <c r="Y649" s="113">
        <f t="shared" si="447"/>
        <v>2050</v>
      </c>
      <c r="Z649" s="113">
        <f t="shared" si="448"/>
        <v>0.85</v>
      </c>
    </row>
    <row r="650" spans="1:36" ht="15.75" hidden="1" customHeight="1" outlineLevel="1">
      <c r="A650" s="1"/>
      <c r="B650" s="1"/>
      <c r="C650" s="1"/>
      <c r="D650" s="1"/>
      <c r="E650" s="1"/>
      <c r="F650" s="1"/>
      <c r="G650" s="1"/>
      <c r="H650" s="1"/>
      <c r="I650" s="1"/>
      <c r="J650" s="1"/>
      <c r="K650" s="1"/>
      <c r="L650" s="1"/>
      <c r="M650" s="1"/>
      <c r="N650" s="1"/>
      <c r="O650" s="1"/>
      <c r="P650" s="1"/>
      <c r="Q650" s="1"/>
      <c r="R650" s="1"/>
      <c r="S650" s="1"/>
      <c r="T650" s="1"/>
      <c r="U650" s="1"/>
      <c r="V650" s="1"/>
      <c r="W650" s="1"/>
      <c r="X650" s="121"/>
      <c r="Y650" s="121"/>
      <c r="Z650" s="121"/>
      <c r="AA650" s="121"/>
    </row>
    <row r="651" spans="1:36" ht="15.75" hidden="1" customHeight="1" outlineLevel="1">
      <c r="A651" s="1"/>
      <c r="B651" s="1"/>
      <c r="C651" s="1"/>
      <c r="D651" s="1"/>
      <c r="E651" s="1"/>
      <c r="F651" s="1"/>
      <c r="G651" s="1"/>
      <c r="H651" s="1"/>
      <c r="I651" s="1"/>
      <c r="J651" s="1"/>
      <c r="K651" s="1"/>
      <c r="L651" s="1"/>
      <c r="M651" s="1"/>
      <c r="N651" s="1"/>
      <c r="O651" s="1"/>
      <c r="P651" s="1"/>
      <c r="Q651" s="1"/>
      <c r="R651" s="1"/>
      <c r="S651" s="1"/>
      <c r="T651" s="1"/>
      <c r="U651" s="1"/>
      <c r="V651" s="1"/>
      <c r="W651" s="1"/>
      <c r="X651" s="121"/>
      <c r="Y651" s="121"/>
      <c r="Z651" s="121"/>
      <c r="AA651" s="121"/>
    </row>
    <row r="652" spans="1:36" ht="15.75" hidden="1" customHeight="1" outlineLevel="1" collapsed="1">
      <c r="A652" s="852" t="s">
        <v>385</v>
      </c>
      <c r="B652" s="852"/>
      <c r="C652" s="852"/>
      <c r="D652" s="852"/>
      <c r="E652" s="852"/>
      <c r="F652" s="852"/>
      <c r="G652" s="852"/>
      <c r="H652" s="852"/>
      <c r="I652" s="852"/>
      <c r="J652" s="852"/>
      <c r="K652" s="852"/>
      <c r="L652" s="852"/>
      <c r="M652" s="852"/>
      <c r="N652" s="852"/>
      <c r="O652" s="852"/>
      <c r="P652" s="852"/>
      <c r="Q652" s="852"/>
      <c r="R652" s="852"/>
      <c r="S652" s="852"/>
      <c r="T652" s="852"/>
      <c r="U652" s="852"/>
      <c r="V652" s="852"/>
      <c r="W652" s="71"/>
      <c r="X652" s="112"/>
      <c r="Y652" s="112"/>
      <c r="Z652" s="112"/>
      <c r="AA652" s="112"/>
    </row>
    <row r="653" spans="1:36" ht="15.75" hidden="1" customHeight="1" outlineLevel="2">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14"/>
      <c r="Y653" s="114"/>
      <c r="Z653" s="114"/>
      <c r="AA653" s="114"/>
    </row>
    <row r="654" spans="1:36" ht="15.75" hidden="1" customHeight="1" outlineLevel="2" collapsed="1">
      <c r="A654" s="867" t="s">
        <v>356</v>
      </c>
      <c r="B654" s="867"/>
      <c r="C654" s="867"/>
      <c r="D654" s="556"/>
      <c r="E654" s="556"/>
      <c r="F654" s="556"/>
      <c r="G654" s="556"/>
      <c r="H654" s="556"/>
      <c r="I654" s="556"/>
      <c r="J654" s="556"/>
      <c r="K654" s="556"/>
      <c r="L654" s="556"/>
      <c r="M654" s="556"/>
      <c r="N654" s="556"/>
      <c r="O654" s="556"/>
      <c r="P654" s="556"/>
      <c r="Q654" s="556"/>
      <c r="R654" s="556"/>
      <c r="S654" s="556"/>
      <c r="T654" s="556"/>
      <c r="U654" s="556"/>
      <c r="V654" s="556"/>
      <c r="W654" s="19"/>
      <c r="X654" s="114"/>
      <c r="Y654" s="114"/>
      <c r="Z654" s="114"/>
      <c r="AA654" s="114"/>
    </row>
    <row r="655" spans="1:36" ht="6" hidden="1" customHeight="1" outlineLevel="3">
      <c r="B655" s="19"/>
      <c r="C655" s="19"/>
      <c r="D655" s="19"/>
      <c r="E655" s="19"/>
      <c r="F655" s="19"/>
      <c r="G655" s="19"/>
      <c r="H655" s="19"/>
      <c r="I655" s="19"/>
      <c r="J655" s="19"/>
      <c r="K655" s="19"/>
      <c r="L655" s="19"/>
      <c r="M655" s="19"/>
      <c r="N655" s="19"/>
      <c r="O655" s="19"/>
      <c r="P655" s="19"/>
      <c r="Q655" s="19"/>
      <c r="R655" s="19"/>
      <c r="S655" s="19"/>
      <c r="T655" s="19"/>
      <c r="U655" s="19"/>
      <c r="V655" s="19"/>
      <c r="W655" s="19"/>
      <c r="X655" s="114"/>
      <c r="Y655" s="114"/>
      <c r="Z655" s="114"/>
      <c r="AA655" s="114"/>
    </row>
    <row r="656" spans="1:36" s="122" customFormat="1" ht="20.25" hidden="1" customHeight="1" outlineLevel="3">
      <c r="A656" s="858" t="s">
        <v>386</v>
      </c>
      <c r="B656" s="858"/>
      <c r="C656" s="858"/>
      <c r="D656" s="858"/>
      <c r="E656" s="858"/>
      <c r="F656" s="858"/>
      <c r="G656" s="858"/>
      <c r="H656" s="858"/>
      <c r="I656" s="858"/>
      <c r="J656" s="858"/>
      <c r="K656" s="858"/>
      <c r="L656" s="858"/>
      <c r="M656" s="858"/>
      <c r="N656" s="858"/>
      <c r="O656" s="858"/>
      <c r="P656" s="858"/>
      <c r="Q656" s="858"/>
      <c r="R656" s="70"/>
      <c r="S656" s="70"/>
      <c r="T656" s="70"/>
      <c r="U656" s="70"/>
      <c r="V656" s="12"/>
      <c r="W656" s="12"/>
    </row>
    <row r="657" spans="1:30" ht="6" hidden="1" customHeight="1" outlineLevel="3">
      <c r="A657" s="1"/>
      <c r="B657" s="917"/>
      <c r="C657" s="917"/>
      <c r="D657" s="917"/>
      <c r="E657" s="917"/>
      <c r="F657" s="917"/>
      <c r="G657" s="917"/>
      <c r="H657" s="17"/>
      <c r="I657" s="17"/>
      <c r="J657" s="17"/>
      <c r="K657" s="17"/>
      <c r="L657" s="17"/>
      <c r="M657" s="17"/>
      <c r="N657" s="17"/>
      <c r="O657" s="17"/>
      <c r="P657" s="17"/>
      <c r="Q657" s="17"/>
      <c r="R657" s="17"/>
      <c r="S657" s="17"/>
      <c r="T657" s="17"/>
      <c r="U657" s="17"/>
      <c r="V657" s="17"/>
      <c r="W657" s="17"/>
      <c r="X657" s="110"/>
      <c r="Y657" s="110"/>
      <c r="Z657" s="110"/>
      <c r="AA657" s="110"/>
    </row>
    <row r="658" spans="1:30" ht="15.75" hidden="1" customHeight="1" outlineLevel="3">
      <c r="A658" s="918" t="s">
        <v>99</v>
      </c>
      <c r="B658" s="918" t="s">
        <v>387</v>
      </c>
      <c r="C658" s="934" t="s">
        <v>364</v>
      </c>
      <c r="D658" s="885" t="s">
        <v>818</v>
      </c>
      <c r="E658" s="885" t="s">
        <v>365</v>
      </c>
      <c r="F658" s="885"/>
      <c r="G658" s="885"/>
      <c r="H658" s="885"/>
      <c r="I658" s="885"/>
      <c r="J658" s="885"/>
      <c r="K658" s="885"/>
      <c r="L658" s="554"/>
      <c r="M658" s="798" t="s">
        <v>809</v>
      </c>
      <c r="N658" s="885" t="s">
        <v>366</v>
      </c>
      <c r="O658" s="885"/>
      <c r="P658" s="885"/>
      <c r="Q658" s="885"/>
      <c r="R658" s="13"/>
      <c r="S658" s="17"/>
      <c r="T658" s="17"/>
      <c r="U658" s="17"/>
      <c r="V658" s="17"/>
      <c r="W658" s="17"/>
      <c r="X658" s="110"/>
    </row>
    <row r="659" spans="1:30" ht="68" hidden="1" outlineLevel="3">
      <c r="A659" s="918"/>
      <c r="B659" s="918"/>
      <c r="C659" s="934"/>
      <c r="D659" s="885"/>
      <c r="E659" s="36" t="s">
        <v>106</v>
      </c>
      <c r="F659" s="554" t="s">
        <v>101</v>
      </c>
      <c r="G659" s="554" t="s">
        <v>102</v>
      </c>
      <c r="H659" s="558" t="s">
        <v>103</v>
      </c>
      <c r="I659" s="558" t="s">
        <v>104</v>
      </c>
      <c r="J659" s="554" t="s">
        <v>105</v>
      </c>
      <c r="K659" s="798" t="s">
        <v>807</v>
      </c>
      <c r="L659" s="798" t="s">
        <v>808</v>
      </c>
      <c r="M659" s="798"/>
      <c r="N659" s="798" t="s">
        <v>810</v>
      </c>
      <c r="O659" s="798" t="s">
        <v>811</v>
      </c>
      <c r="P659" s="798" t="s">
        <v>821</v>
      </c>
      <c r="Q659" s="798" t="s">
        <v>813</v>
      </c>
      <c r="R659" s="13"/>
      <c r="S659" s="17"/>
      <c r="T659" s="66"/>
      <c r="U659" s="67"/>
      <c r="V659" s="1"/>
      <c r="W659" s="17"/>
      <c r="X659" s="110"/>
      <c r="Y659" s="110"/>
      <c r="Z659" s="110"/>
    </row>
    <row r="660" spans="1:30" ht="17.25" hidden="1" customHeight="1" outlineLevel="3">
      <c r="A660" s="919"/>
      <c r="B660" s="919"/>
      <c r="C660" s="935"/>
      <c r="D660" s="885"/>
      <c r="E660" s="40" t="s">
        <v>819</v>
      </c>
      <c r="F660" s="928" t="s">
        <v>829</v>
      </c>
      <c r="G660" s="929"/>
      <c r="H660" s="929"/>
      <c r="I660" s="929"/>
      <c r="J660" s="929"/>
      <c r="K660" s="798"/>
      <c r="L660" s="798"/>
      <c r="M660" s="798"/>
      <c r="N660" s="798"/>
      <c r="O660" s="798"/>
      <c r="P660" s="798"/>
      <c r="Q660" s="798"/>
      <c r="R660" s="13"/>
      <c r="U660" s="1"/>
      <c r="V660" s="1"/>
      <c r="W660" s="26"/>
      <c r="X660" s="121"/>
      <c r="Y660" s="121"/>
      <c r="Z660" s="121"/>
      <c r="AA660" s="110"/>
      <c r="AB660" s="110" t="s">
        <v>388</v>
      </c>
      <c r="AC660" s="110" t="s">
        <v>389</v>
      </c>
      <c r="AD660" s="110" t="s">
        <v>390</v>
      </c>
    </row>
    <row r="661" spans="1:30" ht="51" hidden="1" customHeight="1" outlineLevel="3">
      <c r="A661" s="339" t="s">
        <v>113</v>
      </c>
      <c r="B661" s="340" t="s">
        <v>391</v>
      </c>
      <c r="C661" s="927" t="s">
        <v>356</v>
      </c>
      <c r="D661" s="333" t="str">
        <f>IF(SUMIF('CMA Segmentation'!$AK$80:$AK$166,'Climate-Alignment Target'!AD661,'CMA Segmentation'!$AL$80:$AL$166)&gt;0,"Climate-alignment target",IF(SUMIF('CMA Segmentation'!$AK$80:$AK$166,'Climate-Alignment Target'!AD661,'CMA Segmentation'!$AM$80:$AM$166)&gt;0,"Sector target","No target type selected"))</f>
        <v>No target type selected</v>
      </c>
      <c r="E661" s="557" cm="1">
        <f t="array" ref="E661">SUMPRODUCT(('CMA Segmentation'!$M$80:$M$166=TRUE)*($AD661='CMA Segmentation'!$AK$80:$AK$166)*('Climate-Alignment Target'!E$506='CMA Segmentation'!$Q$79:$V$79)*('CMA Segmentation'!$Q$80:$V$166))</f>
        <v>0</v>
      </c>
      <c r="F661" s="557" t="str" cm="1">
        <f t="array" ref="F661">IF($D661="Climate-alignment target",SUMPRODUCT(('CMA Segmentation'!$M$80:$M$166=TRUE)*($AD661='CMA Segmentation'!$AK$80:$AK$166)*('Climate-Alignment Target'!F$506='CMA Segmentation'!$Q$79:$V$79)*('CMA Segmentation'!$Q$80:$V$166)),"")</f>
        <v/>
      </c>
      <c r="G661" s="557" t="str" cm="1">
        <f t="array" ref="G661">IF($D661="Climate-alignment target",SUMPRODUCT(('CMA Segmentation'!$M$80:$M$166=TRUE)*($AD661='CMA Segmentation'!$AK$80:$AK$166)*('Climate-Alignment Target'!G$506='CMA Segmentation'!$Q$79:$V$79)*('CMA Segmentation'!$Q$80:$V$166)),"")</f>
        <v/>
      </c>
      <c r="H661" s="557" t="str" cm="1">
        <f t="array" ref="H661">IF($D661="Climate-alignment target",SUMPRODUCT(('CMA Segmentation'!$M$80:$M$166=TRUE)*($AD661='CMA Segmentation'!$AK$80:$AK$166)*('Climate-Alignment Target'!H$506='CMA Segmentation'!$Q$79:$V$79)*('CMA Segmentation'!$Q$80:$V$166)),"")</f>
        <v/>
      </c>
      <c r="I661" s="557" t="str" cm="1">
        <f t="array" ref="I661">IF($D661="Climate-alignment target",SUMPRODUCT(('CMA Segmentation'!$M$80:$M$166=TRUE)*($AD661='CMA Segmentation'!$AK$80:$AK$166)*('Climate-Alignment Target'!I$506='CMA Segmentation'!$Q$79:$V$79)*('CMA Segmentation'!$Q$80:$V$166)),"")</f>
        <v/>
      </c>
      <c r="J661" s="557" t="str" cm="1">
        <f t="array" ref="J661">IF($D661="Climate-alignment target",SUMPRODUCT(('CMA Segmentation'!$M$80:$M$166=TRUE)*($AD661='CMA Segmentation'!$AK$80:$AK$166)*('Climate-Alignment Target'!J$506='CMA Segmentation'!$Q$79:$V$79)*('CMA Segmentation'!$Q$80:$V$166)),"")</f>
        <v/>
      </c>
      <c r="K661" s="557" t="str">
        <f t="shared" ref="K661:K683" si="452">IF(D661&lt;&gt;"Climate-alignment target","",SUM(F661:J661))</f>
        <v/>
      </c>
      <c r="L661" s="557" t="str">
        <f>IF(AND(E661=K661,D661="Climate-alignment target"),"OK",IF(D661="Sector target","OK - covered by sector target",IF(AND(E661=0,D661="No target type selected"),"","Select a target type")))</f>
        <v/>
      </c>
      <c r="M661" s="562">
        <f t="shared" ref="M661:M678" si="453">IF(SUM(F661:J661)=0,0,SUM(H661:J661)/(SUM(F661:J661)))</f>
        <v>0</v>
      </c>
      <c r="N661" s="915"/>
      <c r="O661" s="563"/>
      <c r="P661" s="562" t="str">
        <f>IF(AND($D661="Climate-alignment target",$N$661&lt;&gt;""),IF(M661&gt;$Z661,M661,(M661+($Z661-M661)/($Y661-$I$619)*($N$661-$I$619))),"")</f>
        <v/>
      </c>
      <c r="Q661" s="560" t="str">
        <f>IF(O661="","",IF(O661-P661&gt;=0,"OK","Minimum ambition not met, please increase ambition"))</f>
        <v/>
      </c>
      <c r="R661" s="16"/>
      <c r="U661" s="1"/>
      <c r="V661" s="1"/>
      <c r="W661" s="26"/>
      <c r="X661" s="113" t="s">
        <v>368</v>
      </c>
      <c r="Y661" s="113">
        <f t="shared" ref="Y661:Y683" si="454">_xlfn.XLOOKUP($X661,$AB$17:$AB$24,AE$17:AE$24,0,0)</f>
        <v>2035</v>
      </c>
      <c r="Z661" s="113">
        <f t="shared" ref="Z661:Z683" si="455">_xlfn.XLOOKUP($X661,$AB$17:$AB$24,AF$17:AF$24,0,0)</f>
        <v>0.95</v>
      </c>
      <c r="AA661" s="121"/>
      <c r="AB661" s="121" t="str">
        <f>IF($D661&lt;&gt;"Climate-alignment target","",O661*K661)</f>
        <v/>
      </c>
      <c r="AC661" s="121" t="str">
        <f>IF($D661&lt;&gt;"Climate-alignment target","",K661)</f>
        <v/>
      </c>
      <c r="AD661" s="107" t="s">
        <v>171</v>
      </c>
    </row>
    <row r="662" spans="1:30" ht="51" hidden="1" customHeight="1" outlineLevel="3">
      <c r="A662" s="339" t="s">
        <v>113</v>
      </c>
      <c r="B662" s="340" t="s">
        <v>392</v>
      </c>
      <c r="C662" s="927"/>
      <c r="D662" s="333" t="str">
        <f>IF(SUMIF('CMA Segmentation'!$AK$80:$AK$166,'Climate-Alignment Target'!AD662,'CMA Segmentation'!$AL$80:$AL$166)&gt;0,"Climate-alignment target",IF(SUMIF('CMA Segmentation'!$AK$80:$AK$166,'Climate-Alignment Target'!AD662,'CMA Segmentation'!$AM$80:$AM$166)&gt;0,"Sector target","No target type selected"))</f>
        <v>No target type selected</v>
      </c>
      <c r="E662" s="557" cm="1">
        <f t="array" ref="E662">SUMPRODUCT(('CMA Segmentation'!$M$80:$M$166=TRUE)*($AD662='CMA Segmentation'!$AK$80:$AK$166)*('Climate-Alignment Target'!E$506='CMA Segmentation'!$Q$79:$V$79)*('CMA Segmentation'!$Q$80:$V$166))</f>
        <v>0</v>
      </c>
      <c r="F662" s="557" t="str" cm="1">
        <f t="array" ref="F662">IF($D662="Climate-alignment target",SUMPRODUCT(('CMA Segmentation'!$M$80:$M$166=TRUE)*($AD662='CMA Segmentation'!$AK$80:$AK$166)*('Climate-Alignment Target'!F$506='CMA Segmentation'!$Q$79:$V$79)*('CMA Segmentation'!$Q$80:$V$166)),"")</f>
        <v/>
      </c>
      <c r="G662" s="557" t="str" cm="1">
        <f t="array" ref="G662">IF($D662="Climate-alignment target",SUMPRODUCT(('CMA Segmentation'!$M$80:$M$166=TRUE)*($AD662='CMA Segmentation'!$AK$80:$AK$166)*('Climate-Alignment Target'!G$506='CMA Segmentation'!$Q$79:$V$79)*('CMA Segmentation'!$Q$80:$V$166)),"")</f>
        <v/>
      </c>
      <c r="H662" s="557" t="str" cm="1">
        <f t="array" ref="H662">IF($D662="Climate-alignment target",SUMPRODUCT(('CMA Segmentation'!$M$80:$M$166=TRUE)*($AD662='CMA Segmentation'!$AK$80:$AK$166)*('Climate-Alignment Target'!H$506='CMA Segmentation'!$Q$79:$V$79)*('CMA Segmentation'!$Q$80:$V$166)),"")</f>
        <v/>
      </c>
      <c r="I662" s="557" t="str" cm="1">
        <f t="array" ref="I662">IF($D662="Climate-alignment target",SUMPRODUCT(('CMA Segmentation'!$M$80:$M$166=TRUE)*($AD662='CMA Segmentation'!$AK$80:$AK$166)*('Climate-Alignment Target'!I$506='CMA Segmentation'!$Q$79:$V$79)*('CMA Segmentation'!$Q$80:$V$166)),"")</f>
        <v/>
      </c>
      <c r="J662" s="557" t="str" cm="1">
        <f t="array" ref="J662">IF($D662="Climate-alignment target",SUMPRODUCT(('CMA Segmentation'!$M$80:$M$166=TRUE)*($AD662='CMA Segmentation'!$AK$80:$AK$166)*('Climate-Alignment Target'!J$506='CMA Segmentation'!$Q$79:$V$79)*('CMA Segmentation'!$Q$80:$V$166)),"")</f>
        <v/>
      </c>
      <c r="K662" s="557" t="str">
        <f t="shared" si="452"/>
        <v/>
      </c>
      <c r="L662" s="557" t="str">
        <f t="shared" ref="L662:L683" si="456">IF(AND(E662=K662,D662="Climate-alignment target"),"OK",IF(D662="Sector target","OK - covered by sector target",IF(AND(E662=0,D662="No target type selected"),"","Select a target type")))</f>
        <v/>
      </c>
      <c r="M662" s="562">
        <f t="shared" si="453"/>
        <v>0</v>
      </c>
      <c r="N662" s="915"/>
      <c r="O662" s="563"/>
      <c r="P662" s="562" t="str">
        <f t="shared" ref="P662:P683" si="457">IF(AND($D662="Climate-alignment target",$N$661&lt;&gt;""),IF(M662&gt;$Z662,M662,(M662+($Z662-M662)/($Y662-$I$619)*($N$661-$I$619))),"")</f>
        <v/>
      </c>
      <c r="Q662" s="560" t="str">
        <f t="shared" ref="Q662:Q683" si="458">IF(O662="","",IF(O662-P662&gt;=0,"OK","Minimum ambition not met, please increase ambition"))</f>
        <v/>
      </c>
      <c r="R662" s="16"/>
      <c r="U662" s="1"/>
      <c r="V662" s="1"/>
      <c r="W662" s="26"/>
      <c r="X662" s="113" t="s">
        <v>368</v>
      </c>
      <c r="Y662" s="113">
        <f t="shared" si="454"/>
        <v>2035</v>
      </c>
      <c r="Z662" s="113">
        <f t="shared" si="455"/>
        <v>0.95</v>
      </c>
      <c r="AA662" s="121"/>
      <c r="AB662" s="121" t="str">
        <f t="shared" ref="AB662:AB683" si="459">IF($D662&lt;&gt;"Climate-alignment target","",O662*K662)</f>
        <v/>
      </c>
      <c r="AC662" s="121" t="str">
        <f t="shared" ref="AC662:AC683" si="460">IF($D662&lt;&gt;"Climate-alignment target","",K662)</f>
        <v/>
      </c>
      <c r="AD662" s="107" t="s">
        <v>172</v>
      </c>
    </row>
    <row r="663" spans="1:30" ht="51" hidden="1" customHeight="1" outlineLevel="3">
      <c r="A663" s="339" t="s">
        <v>121</v>
      </c>
      <c r="B663" s="340" t="s">
        <v>120</v>
      </c>
      <c r="C663" s="927"/>
      <c r="D663" s="333" t="str">
        <f>IF(SUMIF('CMA Segmentation'!$AK$80:$AK$166,'Climate-Alignment Target'!AD663,'CMA Segmentation'!$AL$80:$AL$166)&gt;0,"Climate-alignment target",IF(SUMIF('CMA Segmentation'!$AK$80:$AK$166,'Climate-Alignment Target'!AD663,'CMA Segmentation'!$AM$80:$AM$166)&gt;0,"Sector target","No target type selected"))</f>
        <v>No target type selected</v>
      </c>
      <c r="E663" s="557" cm="1">
        <f t="array" ref="E663">SUMPRODUCT(('CMA Segmentation'!$M$80:$M$166=TRUE)*($AD663='CMA Segmentation'!$AK$80:$AK$166)*('Climate-Alignment Target'!E$506='CMA Segmentation'!$Q$79:$V$79)*('CMA Segmentation'!$Q$80:$V$166))</f>
        <v>0</v>
      </c>
      <c r="F663" s="557" t="str" cm="1">
        <f t="array" ref="F663">IF($D663="Climate-alignment target",SUMPRODUCT(('CMA Segmentation'!$M$80:$M$166=TRUE)*($AD663='CMA Segmentation'!$AK$80:$AK$166)*('Climate-Alignment Target'!F$506='CMA Segmentation'!$Q$79:$V$79)*('CMA Segmentation'!$Q$80:$V$166)),"")</f>
        <v/>
      </c>
      <c r="G663" s="557" t="str" cm="1">
        <f t="array" ref="G663">IF($D663="Climate-alignment target",SUMPRODUCT(('CMA Segmentation'!$M$80:$M$166=TRUE)*($AD663='CMA Segmentation'!$AK$80:$AK$166)*('Climate-Alignment Target'!G$506='CMA Segmentation'!$Q$79:$V$79)*('CMA Segmentation'!$Q$80:$V$166)),"")</f>
        <v/>
      </c>
      <c r="H663" s="557" t="str" cm="1">
        <f t="array" ref="H663">IF($D663="Climate-alignment target",SUMPRODUCT(('CMA Segmentation'!$M$80:$M$166=TRUE)*($AD663='CMA Segmentation'!$AK$80:$AK$166)*('Climate-Alignment Target'!H$506='CMA Segmentation'!$Q$79:$V$79)*('CMA Segmentation'!$Q$80:$V$166)),"")</f>
        <v/>
      </c>
      <c r="I663" s="557" t="str" cm="1">
        <f t="array" ref="I663">IF($D663="Climate-alignment target",SUMPRODUCT(('CMA Segmentation'!$M$80:$M$166=TRUE)*($AD663='CMA Segmentation'!$AK$80:$AK$166)*('Climate-Alignment Target'!I$506='CMA Segmentation'!$Q$79:$V$79)*('CMA Segmentation'!$Q$80:$V$166)),"")</f>
        <v/>
      </c>
      <c r="J663" s="557" t="str" cm="1">
        <f t="array" ref="J663">IF($D663="Climate-alignment target",SUMPRODUCT(('CMA Segmentation'!$M$80:$M$166=TRUE)*($AD663='CMA Segmentation'!$AK$80:$AK$166)*('Climate-Alignment Target'!J$506='CMA Segmentation'!$Q$79:$V$79)*('CMA Segmentation'!$Q$80:$V$166)),"")</f>
        <v/>
      </c>
      <c r="K663" s="557" t="str">
        <f t="shared" si="452"/>
        <v/>
      </c>
      <c r="L663" s="557" t="str">
        <f t="shared" si="456"/>
        <v/>
      </c>
      <c r="M663" s="562">
        <f t="shared" si="453"/>
        <v>0</v>
      </c>
      <c r="N663" s="915"/>
      <c r="O663" s="563"/>
      <c r="P663" s="562" t="str">
        <f t="shared" si="457"/>
        <v/>
      </c>
      <c r="Q663" s="560" t="str">
        <f t="shared" si="458"/>
        <v/>
      </c>
      <c r="R663" s="16"/>
      <c r="U663" s="1"/>
      <c r="V663" s="1"/>
      <c r="W663" s="26"/>
      <c r="X663" s="113" t="s">
        <v>373</v>
      </c>
      <c r="Y663" s="113">
        <f t="shared" si="454"/>
        <v>2040</v>
      </c>
      <c r="Z663" s="113">
        <f t="shared" si="455"/>
        <v>0.95</v>
      </c>
      <c r="AA663" s="121"/>
      <c r="AB663" s="121" t="str">
        <f t="shared" si="459"/>
        <v/>
      </c>
      <c r="AC663" s="121" t="str">
        <f t="shared" si="460"/>
        <v/>
      </c>
      <c r="AD663" s="107" t="s">
        <v>173</v>
      </c>
    </row>
    <row r="664" spans="1:30" ht="51" hidden="1" customHeight="1" outlineLevel="3">
      <c r="A664" s="340" t="s">
        <v>121</v>
      </c>
      <c r="B664" s="340" t="s">
        <v>393</v>
      </c>
      <c r="C664" s="927"/>
      <c r="D664" s="333" t="str">
        <f>IF(SUMIF('CMA Segmentation'!$AK$80:$AK$166,'Climate-Alignment Target'!AD664,'CMA Segmentation'!$AL$80:$AL$166)&gt;0,"Climate-alignment target",IF(SUMIF('CMA Segmentation'!$AK$80:$AK$166,'Climate-Alignment Target'!AD664,'CMA Segmentation'!$AM$80:$AM$166)&gt;0,"Sector target","No target type selected"))</f>
        <v>No target type selected</v>
      </c>
      <c r="E664" s="557" cm="1">
        <f t="array" ref="E664">SUMPRODUCT(('CMA Segmentation'!$M$80:$M$166=TRUE)*($AD664='CMA Segmentation'!$AK$80:$AK$166)*('Climate-Alignment Target'!E$506='CMA Segmentation'!$Q$79:$V$79)*('CMA Segmentation'!$Q$80:$V$166))</f>
        <v>0</v>
      </c>
      <c r="F664" s="557" t="str" cm="1">
        <f t="array" ref="F664">IF($D664="Climate-alignment target",SUMPRODUCT(('CMA Segmentation'!$M$80:$M$166=TRUE)*($AD664='CMA Segmentation'!$AK$80:$AK$166)*('Climate-Alignment Target'!F$506='CMA Segmentation'!$Q$79:$V$79)*('CMA Segmentation'!$Q$80:$V$166)),"")</f>
        <v/>
      </c>
      <c r="G664" s="557" t="str" cm="1">
        <f t="array" ref="G664">IF($D664="Climate-alignment target",SUMPRODUCT(('CMA Segmentation'!$M$80:$M$166=TRUE)*($AD664='CMA Segmentation'!$AK$80:$AK$166)*('Climate-Alignment Target'!G$506='CMA Segmentation'!$Q$79:$V$79)*('CMA Segmentation'!$Q$80:$V$166)),"")</f>
        <v/>
      </c>
      <c r="H664" s="557" t="str" cm="1">
        <f t="array" ref="H664">IF($D664="Climate-alignment target",SUMPRODUCT(('CMA Segmentation'!$M$80:$M$166=TRUE)*($AD664='CMA Segmentation'!$AK$80:$AK$166)*('Climate-Alignment Target'!H$506='CMA Segmentation'!$Q$79:$V$79)*('CMA Segmentation'!$Q$80:$V$166)),"")</f>
        <v/>
      </c>
      <c r="I664" s="557" t="str" cm="1">
        <f t="array" ref="I664">IF($D664="Climate-alignment target",SUMPRODUCT(('CMA Segmentation'!$M$80:$M$166=TRUE)*($AD664='CMA Segmentation'!$AK$80:$AK$166)*('Climate-Alignment Target'!I$506='CMA Segmentation'!$Q$79:$V$79)*('CMA Segmentation'!$Q$80:$V$166)),"")</f>
        <v/>
      </c>
      <c r="J664" s="557" t="str" cm="1">
        <f t="array" ref="J664">IF($D664="Climate-alignment target",SUMPRODUCT(('CMA Segmentation'!$M$80:$M$166=TRUE)*($AD664='CMA Segmentation'!$AK$80:$AK$166)*('Climate-Alignment Target'!J$506='CMA Segmentation'!$Q$79:$V$79)*('CMA Segmentation'!$Q$80:$V$166)),"")</f>
        <v/>
      </c>
      <c r="K664" s="557" t="str">
        <f t="shared" si="452"/>
        <v/>
      </c>
      <c r="L664" s="557" t="str">
        <f t="shared" si="456"/>
        <v/>
      </c>
      <c r="M664" s="562">
        <f t="shared" si="453"/>
        <v>0</v>
      </c>
      <c r="N664" s="915"/>
      <c r="O664" s="563"/>
      <c r="P664" s="562" t="str">
        <f>IF(AND($D664="Climate-alignment target",$N$661&lt;&gt;""),IF(M664&gt;$Z664,M664,(M664+($Z664-M664)/($Y664-$I$619)*($N$661-$I$619))),"")</f>
        <v/>
      </c>
      <c r="Q664" s="560" t="str">
        <f t="shared" si="458"/>
        <v/>
      </c>
      <c r="R664" s="16"/>
      <c r="U664" s="1"/>
      <c r="V664" s="1"/>
      <c r="W664" s="26"/>
      <c r="X664" s="113" t="s">
        <v>373</v>
      </c>
      <c r="Y664" s="113">
        <f t="shared" si="454"/>
        <v>2040</v>
      </c>
      <c r="Z664" s="113">
        <f t="shared" si="455"/>
        <v>0.95</v>
      </c>
      <c r="AA664" s="121"/>
      <c r="AB664" s="121" t="str">
        <f t="shared" si="459"/>
        <v/>
      </c>
      <c r="AC664" s="121" t="str">
        <f t="shared" si="460"/>
        <v/>
      </c>
      <c r="AD664" s="107" t="s">
        <v>178</v>
      </c>
    </row>
    <row r="665" spans="1:30" ht="51" hidden="1" customHeight="1" outlineLevel="3">
      <c r="A665" s="340" t="s">
        <v>136</v>
      </c>
      <c r="B665" s="340" t="s">
        <v>393</v>
      </c>
      <c r="C665" s="927"/>
      <c r="D665" s="333" t="str">
        <f>IF(SUMIF('CMA Segmentation'!$AK$80:$AK$166,'Climate-Alignment Target'!AD665,'CMA Segmentation'!$AL$80:$AL$166)&gt;0,"Climate-alignment target",IF(SUMIF('CMA Segmentation'!$AK$80:$AK$166,'Climate-Alignment Target'!AD665,'CMA Segmentation'!$AM$80:$AM$166)&gt;0,"Sector target","No target type selected"))</f>
        <v>No target type selected</v>
      </c>
      <c r="E665" s="557" cm="1">
        <f t="array" ref="E665">SUMPRODUCT(('CMA Segmentation'!$M$80:$M$166=TRUE)*($AD665='CMA Segmentation'!$AK$80:$AK$166)*('Climate-Alignment Target'!E$506='CMA Segmentation'!$Q$79:$V$79)*('CMA Segmentation'!$Q$80:$V$166))</f>
        <v>0</v>
      </c>
      <c r="F665" s="557" t="str" cm="1">
        <f t="array" ref="F665">IF($D665="Climate-alignment target",SUMPRODUCT(('CMA Segmentation'!$M$80:$M$166=TRUE)*($AD665='CMA Segmentation'!$AK$80:$AK$166)*('Climate-Alignment Target'!F$506='CMA Segmentation'!$Q$79:$V$79)*('CMA Segmentation'!$Q$80:$V$166)),"")</f>
        <v/>
      </c>
      <c r="G665" s="557" t="str" cm="1">
        <f t="array" ref="G665">IF($D665="Climate-alignment target",SUMPRODUCT(('CMA Segmentation'!$M$80:$M$166=TRUE)*($AD665='CMA Segmentation'!$AK$80:$AK$166)*('Climate-Alignment Target'!G$506='CMA Segmentation'!$Q$79:$V$79)*('CMA Segmentation'!$Q$80:$V$166)),"")</f>
        <v/>
      </c>
      <c r="H665" s="557" t="str" cm="1">
        <f t="array" ref="H665">IF($D665="Climate-alignment target",SUMPRODUCT(('CMA Segmentation'!$M$80:$M$166=TRUE)*($AD665='CMA Segmentation'!$AK$80:$AK$166)*('Climate-Alignment Target'!H$506='CMA Segmentation'!$Q$79:$V$79)*('CMA Segmentation'!$Q$80:$V$166)),"")</f>
        <v/>
      </c>
      <c r="I665" s="557" t="str" cm="1">
        <f t="array" ref="I665">IF($D665="Climate-alignment target",SUMPRODUCT(('CMA Segmentation'!$M$80:$M$166=TRUE)*($AD665='CMA Segmentation'!$AK$80:$AK$166)*('Climate-Alignment Target'!I$506='CMA Segmentation'!$Q$79:$V$79)*('CMA Segmentation'!$Q$80:$V$166)),"")</f>
        <v/>
      </c>
      <c r="J665" s="557" t="str" cm="1">
        <f t="array" ref="J665">IF($D665="Climate-alignment target",SUMPRODUCT(('CMA Segmentation'!$M$80:$M$166=TRUE)*($AD665='CMA Segmentation'!$AK$80:$AK$166)*('Climate-Alignment Target'!J$506='CMA Segmentation'!$Q$79:$V$79)*('CMA Segmentation'!$Q$80:$V$166)),"")</f>
        <v/>
      </c>
      <c r="K665" s="557" t="str">
        <f t="shared" si="452"/>
        <v/>
      </c>
      <c r="L665" s="557" t="str">
        <f t="shared" si="456"/>
        <v/>
      </c>
      <c r="M665" s="562">
        <f t="shared" si="453"/>
        <v>0</v>
      </c>
      <c r="N665" s="915"/>
      <c r="O665" s="563"/>
      <c r="P665" s="562" t="str">
        <f t="shared" si="457"/>
        <v/>
      </c>
      <c r="Q665" s="560" t="str">
        <f t="shared" si="458"/>
        <v/>
      </c>
      <c r="R665" s="16"/>
      <c r="U665" s="1"/>
      <c r="V665" s="1"/>
      <c r="W665" s="26"/>
      <c r="X665" s="113" t="s">
        <v>378</v>
      </c>
      <c r="Y665" s="113">
        <f t="shared" si="454"/>
        <v>2050</v>
      </c>
      <c r="Z665" s="113">
        <f t="shared" si="455"/>
        <v>0.95</v>
      </c>
      <c r="AA665" s="121"/>
      <c r="AB665" s="121" t="str">
        <f t="shared" si="459"/>
        <v/>
      </c>
      <c r="AC665" s="121" t="str">
        <f t="shared" si="460"/>
        <v/>
      </c>
      <c r="AD665" s="107" t="s">
        <v>216</v>
      </c>
    </row>
    <row r="666" spans="1:30" ht="51" hidden="1" customHeight="1" outlineLevel="3">
      <c r="A666" s="340" t="s">
        <v>121</v>
      </c>
      <c r="B666" s="340" t="s">
        <v>394</v>
      </c>
      <c r="C666" s="927"/>
      <c r="D666" s="333" t="str">
        <f>IF(SUMIF('CMA Segmentation'!$AK$80:$AK$166,'Climate-Alignment Target'!AD666,'CMA Segmentation'!$AL$80:$AL$166)&gt;0,"Climate-alignment target",IF(SUMIF('CMA Segmentation'!$AK$80:$AK$166,'Climate-Alignment Target'!AD666,'CMA Segmentation'!$AM$80:$AM$166)&gt;0,"Sector target","No target type selected"))</f>
        <v>No target type selected</v>
      </c>
      <c r="E666" s="557" cm="1">
        <f t="array" ref="E666">SUMPRODUCT(('CMA Segmentation'!$M$80:$M$166=TRUE)*($AD666='CMA Segmentation'!$AK$80:$AK$166)*('Climate-Alignment Target'!E$506='CMA Segmentation'!$Q$79:$V$79)*('CMA Segmentation'!$Q$80:$V$166))</f>
        <v>0</v>
      </c>
      <c r="F666" s="557" t="str" cm="1">
        <f t="array" ref="F666">IF($D666="Climate-alignment target",SUMPRODUCT(('CMA Segmentation'!$M$80:$M$166=TRUE)*($AD666='CMA Segmentation'!$AK$80:$AK$166)*('Climate-Alignment Target'!F$506='CMA Segmentation'!$Q$79:$V$79)*('CMA Segmentation'!$Q$80:$V$166)),"")</f>
        <v/>
      </c>
      <c r="G666" s="557" t="str" cm="1">
        <f t="array" ref="G666">IF($D666="Climate-alignment target",SUMPRODUCT(('CMA Segmentation'!$M$80:$M$166=TRUE)*($AD666='CMA Segmentation'!$AK$80:$AK$166)*('Climate-Alignment Target'!G$506='CMA Segmentation'!$Q$79:$V$79)*('CMA Segmentation'!$Q$80:$V$166)),"")</f>
        <v/>
      </c>
      <c r="H666" s="557" t="str" cm="1">
        <f t="array" ref="H666">IF($D666="Climate-alignment target",SUMPRODUCT(('CMA Segmentation'!$M$80:$M$166=TRUE)*($AD666='CMA Segmentation'!$AK$80:$AK$166)*('Climate-Alignment Target'!H$506='CMA Segmentation'!$Q$79:$V$79)*('CMA Segmentation'!$Q$80:$V$166)),"")</f>
        <v/>
      </c>
      <c r="I666" s="557" t="str" cm="1">
        <f t="array" ref="I666">IF($D666="Climate-alignment target",SUMPRODUCT(('CMA Segmentation'!$M$80:$M$166=TRUE)*($AD666='CMA Segmentation'!$AK$80:$AK$166)*('Climate-Alignment Target'!I$506='CMA Segmentation'!$Q$79:$V$79)*('CMA Segmentation'!$Q$80:$V$166)),"")</f>
        <v/>
      </c>
      <c r="J666" s="557" t="str" cm="1">
        <f t="array" ref="J666">IF($D666="Climate-alignment target",SUMPRODUCT(('CMA Segmentation'!$M$80:$M$166=TRUE)*($AD666='CMA Segmentation'!$AK$80:$AK$166)*('Climate-Alignment Target'!J$506='CMA Segmentation'!$Q$79:$V$79)*('CMA Segmentation'!$Q$80:$V$166)),"")</f>
        <v/>
      </c>
      <c r="K666" s="557" t="str">
        <f t="shared" si="452"/>
        <v/>
      </c>
      <c r="L666" s="557" t="str">
        <f t="shared" si="456"/>
        <v/>
      </c>
      <c r="M666" s="562">
        <f t="shared" si="453"/>
        <v>0</v>
      </c>
      <c r="N666" s="915"/>
      <c r="O666" s="563"/>
      <c r="P666" s="562" t="str">
        <f t="shared" si="457"/>
        <v/>
      </c>
      <c r="Q666" s="560" t="str">
        <f t="shared" si="458"/>
        <v/>
      </c>
      <c r="R666" s="16"/>
      <c r="U666" s="1"/>
      <c r="V666" s="1"/>
      <c r="W666" s="26"/>
      <c r="X666" s="113" t="s">
        <v>373</v>
      </c>
      <c r="Y666" s="113">
        <f t="shared" si="454"/>
        <v>2040</v>
      </c>
      <c r="Z666" s="113">
        <f t="shared" si="455"/>
        <v>0.95</v>
      </c>
      <c r="AA666" s="121"/>
      <c r="AB666" s="121" t="str">
        <f t="shared" si="459"/>
        <v/>
      </c>
      <c r="AC666" s="121" t="str">
        <f t="shared" si="460"/>
        <v/>
      </c>
      <c r="AD666" s="107" t="s">
        <v>182</v>
      </c>
    </row>
    <row r="667" spans="1:30" ht="51" hidden="1" customHeight="1" outlineLevel="3">
      <c r="A667" s="340" t="s">
        <v>136</v>
      </c>
      <c r="B667" s="340" t="s">
        <v>394</v>
      </c>
      <c r="C667" s="927"/>
      <c r="D667" s="333" t="str">
        <f>IF(SUMIF('CMA Segmentation'!$AK$80:$AK$166,'Climate-Alignment Target'!AD667,'CMA Segmentation'!$AL$80:$AL$166)&gt;0,"Climate-alignment target",IF(SUMIF('CMA Segmentation'!$AK$80:$AK$166,'Climate-Alignment Target'!AD667,'CMA Segmentation'!$AM$80:$AM$166)&gt;0,"Sector target","No target type selected"))</f>
        <v>No target type selected</v>
      </c>
      <c r="E667" s="557" cm="1">
        <f t="array" ref="E667">SUMPRODUCT(('CMA Segmentation'!$M$80:$M$166=TRUE)*($AD667='CMA Segmentation'!$AK$80:$AK$166)*('Climate-Alignment Target'!E$506='CMA Segmentation'!$Q$79:$V$79)*('CMA Segmentation'!$Q$80:$V$166))</f>
        <v>0</v>
      </c>
      <c r="F667" s="557" t="str" cm="1">
        <f t="array" ref="F667">IF($D667="Climate-alignment target",SUMPRODUCT(('CMA Segmentation'!$M$80:$M$166=TRUE)*($AD667='CMA Segmentation'!$AK$80:$AK$166)*('Climate-Alignment Target'!F$506='CMA Segmentation'!$Q$79:$V$79)*('CMA Segmentation'!$Q$80:$V$166)),"")</f>
        <v/>
      </c>
      <c r="G667" s="557" t="str" cm="1">
        <f t="array" ref="G667">IF($D667="Climate-alignment target",SUMPRODUCT(('CMA Segmentation'!$M$80:$M$166=TRUE)*($AD667='CMA Segmentation'!$AK$80:$AK$166)*('Climate-Alignment Target'!G$506='CMA Segmentation'!$Q$79:$V$79)*('CMA Segmentation'!$Q$80:$V$166)),"")</f>
        <v/>
      </c>
      <c r="H667" s="557" t="str" cm="1">
        <f t="array" ref="H667">IF($D667="Climate-alignment target",SUMPRODUCT(('CMA Segmentation'!$M$80:$M$166=TRUE)*($AD667='CMA Segmentation'!$AK$80:$AK$166)*('Climate-Alignment Target'!H$506='CMA Segmentation'!$Q$79:$V$79)*('CMA Segmentation'!$Q$80:$V$166)),"")</f>
        <v/>
      </c>
      <c r="I667" s="557" t="str" cm="1">
        <f t="array" ref="I667">IF($D667="Climate-alignment target",SUMPRODUCT(('CMA Segmentation'!$M$80:$M$166=TRUE)*($AD667='CMA Segmentation'!$AK$80:$AK$166)*('Climate-Alignment Target'!I$506='CMA Segmentation'!$Q$79:$V$79)*('CMA Segmentation'!$Q$80:$V$166)),"")</f>
        <v/>
      </c>
      <c r="J667" s="557" t="str" cm="1">
        <f t="array" ref="J667">IF($D667="Climate-alignment target",SUMPRODUCT(('CMA Segmentation'!$M$80:$M$166=TRUE)*($AD667='CMA Segmentation'!$AK$80:$AK$166)*('Climate-Alignment Target'!J$506='CMA Segmentation'!$Q$79:$V$79)*('CMA Segmentation'!$Q$80:$V$166)),"")</f>
        <v/>
      </c>
      <c r="K667" s="557" t="str">
        <f t="shared" si="452"/>
        <v/>
      </c>
      <c r="L667" s="557" t="str">
        <f t="shared" si="456"/>
        <v/>
      </c>
      <c r="M667" s="562">
        <f t="shared" si="453"/>
        <v>0</v>
      </c>
      <c r="N667" s="915"/>
      <c r="O667" s="563"/>
      <c r="P667" s="562" t="str">
        <f t="shared" si="457"/>
        <v/>
      </c>
      <c r="Q667" s="560" t="str">
        <f t="shared" si="458"/>
        <v/>
      </c>
      <c r="R667" s="16"/>
      <c r="U667" s="1"/>
      <c r="V667" s="1"/>
      <c r="W667" s="26"/>
      <c r="X667" s="113" t="s">
        <v>378</v>
      </c>
      <c r="Y667" s="113">
        <f t="shared" si="454"/>
        <v>2050</v>
      </c>
      <c r="Z667" s="113">
        <f t="shared" si="455"/>
        <v>0.95</v>
      </c>
      <c r="AA667" s="121"/>
      <c r="AB667" s="121" t="str">
        <f t="shared" si="459"/>
        <v/>
      </c>
      <c r="AC667" s="121" t="str">
        <f t="shared" si="460"/>
        <v/>
      </c>
      <c r="AD667" s="107" t="s">
        <v>218</v>
      </c>
    </row>
    <row r="668" spans="1:30" ht="51" hidden="1" customHeight="1" outlineLevel="3">
      <c r="A668" s="340" t="s">
        <v>121</v>
      </c>
      <c r="B668" s="340" t="s">
        <v>395</v>
      </c>
      <c r="C668" s="927"/>
      <c r="D668" s="333" t="str">
        <f>IF(SUMIF('CMA Segmentation'!$AK$80:$AK$166,'Climate-Alignment Target'!AD668,'CMA Segmentation'!$AL$80:$AL$166)&gt;0,"Climate-alignment target",IF(SUMIF('CMA Segmentation'!$AK$80:$AK$166,'Climate-Alignment Target'!AD668,'CMA Segmentation'!$AM$80:$AM$166)&gt;0,"Sector target","No target type selected"))</f>
        <v>No target type selected</v>
      </c>
      <c r="E668" s="557" cm="1">
        <f t="array" ref="E668">SUMPRODUCT(('CMA Segmentation'!$M$80:$M$166=TRUE)*($AD668='CMA Segmentation'!$AK$80:$AK$166)*('Climate-Alignment Target'!E$506='CMA Segmentation'!$Q$79:$V$79)*('CMA Segmentation'!$Q$80:$V$166))</f>
        <v>0</v>
      </c>
      <c r="F668" s="557" t="str" cm="1">
        <f t="array" ref="F668">IF($D668="Climate-alignment target",SUMPRODUCT(('CMA Segmentation'!$M$80:$M$166=TRUE)*($AD668='CMA Segmentation'!$AK$80:$AK$166)*('Climate-Alignment Target'!F$506='CMA Segmentation'!$Q$79:$V$79)*('CMA Segmentation'!$Q$80:$V$166)),"")</f>
        <v/>
      </c>
      <c r="G668" s="557" t="str" cm="1">
        <f t="array" ref="G668">IF($D668="Climate-alignment target",SUMPRODUCT(('CMA Segmentation'!$M$80:$M$166=TRUE)*($AD668='CMA Segmentation'!$AK$80:$AK$166)*('Climate-Alignment Target'!G$506='CMA Segmentation'!$Q$79:$V$79)*('CMA Segmentation'!$Q$80:$V$166)),"")</f>
        <v/>
      </c>
      <c r="H668" s="557" t="str" cm="1">
        <f t="array" ref="H668">IF($D668="Climate-alignment target",SUMPRODUCT(('CMA Segmentation'!$M$80:$M$166=TRUE)*($AD668='CMA Segmentation'!$AK$80:$AK$166)*('Climate-Alignment Target'!H$506='CMA Segmentation'!$Q$79:$V$79)*('CMA Segmentation'!$Q$80:$V$166)),"")</f>
        <v/>
      </c>
      <c r="I668" s="557" t="str" cm="1">
        <f t="array" ref="I668">IF($D668="Climate-alignment target",SUMPRODUCT(('CMA Segmentation'!$M$80:$M$166=TRUE)*($AD668='CMA Segmentation'!$AK$80:$AK$166)*('Climate-Alignment Target'!I$506='CMA Segmentation'!$Q$79:$V$79)*('CMA Segmentation'!$Q$80:$V$166)),"")</f>
        <v/>
      </c>
      <c r="J668" s="557" t="str" cm="1">
        <f t="array" ref="J668">IF($D668="Climate-alignment target",SUMPRODUCT(('CMA Segmentation'!$M$80:$M$166=TRUE)*($AD668='CMA Segmentation'!$AK$80:$AK$166)*('Climate-Alignment Target'!J$506='CMA Segmentation'!$Q$79:$V$79)*('CMA Segmentation'!$Q$80:$V$166)),"")</f>
        <v/>
      </c>
      <c r="K668" s="557" t="str">
        <f t="shared" si="452"/>
        <v/>
      </c>
      <c r="L668" s="557" t="str">
        <f t="shared" si="456"/>
        <v/>
      </c>
      <c r="M668" s="562">
        <f t="shared" si="453"/>
        <v>0</v>
      </c>
      <c r="N668" s="915"/>
      <c r="O668" s="563"/>
      <c r="P668" s="562" t="str">
        <f t="shared" si="457"/>
        <v/>
      </c>
      <c r="Q668" s="560" t="str">
        <f t="shared" si="458"/>
        <v/>
      </c>
      <c r="R668" s="16"/>
      <c r="U668" s="1"/>
      <c r="V668" s="1"/>
      <c r="W668" s="26"/>
      <c r="X668" s="113" t="s">
        <v>373</v>
      </c>
      <c r="Y668" s="113">
        <f t="shared" si="454"/>
        <v>2040</v>
      </c>
      <c r="Z668" s="113">
        <f t="shared" si="455"/>
        <v>0.95</v>
      </c>
      <c r="AA668" s="121"/>
      <c r="AB668" s="121" t="str">
        <f t="shared" si="459"/>
        <v/>
      </c>
      <c r="AC668" s="121" t="str">
        <f t="shared" si="460"/>
        <v/>
      </c>
      <c r="AD668" s="107" t="s">
        <v>187</v>
      </c>
    </row>
    <row r="669" spans="1:30" ht="51" hidden="1" customHeight="1" outlineLevel="3">
      <c r="A669" s="340" t="s">
        <v>136</v>
      </c>
      <c r="B669" s="340" t="s">
        <v>395</v>
      </c>
      <c r="C669" s="927"/>
      <c r="D669" s="333" t="str">
        <f>IF(SUMIF('CMA Segmentation'!$AK$80:$AK$166,'Climate-Alignment Target'!AD669,'CMA Segmentation'!$AL$80:$AL$166)&gt;0,"Climate-alignment target",IF(SUMIF('CMA Segmentation'!$AK$80:$AK$166,'Climate-Alignment Target'!AD669,'CMA Segmentation'!$AM$80:$AM$166)&gt;0,"Sector target","No target type selected"))</f>
        <v>No target type selected</v>
      </c>
      <c r="E669" s="557" cm="1">
        <f t="array" ref="E669">SUMPRODUCT(('CMA Segmentation'!$M$80:$M$166=TRUE)*($AD669='CMA Segmentation'!$AK$80:$AK$166)*('Climate-Alignment Target'!E$506='CMA Segmentation'!$Q$79:$V$79)*('CMA Segmentation'!$Q$80:$V$166))</f>
        <v>0</v>
      </c>
      <c r="F669" s="557" t="str" cm="1">
        <f t="array" ref="F669">IF($D669="Climate-alignment target",SUMPRODUCT(('CMA Segmentation'!$M$80:$M$166=TRUE)*($AD669='CMA Segmentation'!$AK$80:$AK$166)*('Climate-Alignment Target'!F$506='CMA Segmentation'!$Q$79:$V$79)*('CMA Segmentation'!$Q$80:$V$166)),"")</f>
        <v/>
      </c>
      <c r="G669" s="557" t="str" cm="1">
        <f t="array" ref="G669">IF($D669="Climate-alignment target",SUMPRODUCT(('CMA Segmentation'!$M$80:$M$166=TRUE)*($AD669='CMA Segmentation'!$AK$80:$AK$166)*('Climate-Alignment Target'!G$506='CMA Segmentation'!$Q$79:$V$79)*('CMA Segmentation'!$Q$80:$V$166)),"")</f>
        <v/>
      </c>
      <c r="H669" s="557" t="str" cm="1">
        <f t="array" ref="H669">IF($D669="Climate-alignment target",SUMPRODUCT(('CMA Segmentation'!$M$80:$M$166=TRUE)*($AD669='CMA Segmentation'!$AK$80:$AK$166)*('Climate-Alignment Target'!H$506='CMA Segmentation'!$Q$79:$V$79)*('CMA Segmentation'!$Q$80:$V$166)),"")</f>
        <v/>
      </c>
      <c r="I669" s="557" t="str" cm="1">
        <f t="array" ref="I669">IF($D669="Climate-alignment target",SUMPRODUCT(('CMA Segmentation'!$M$80:$M$166=TRUE)*($AD669='CMA Segmentation'!$AK$80:$AK$166)*('Climate-Alignment Target'!I$506='CMA Segmentation'!$Q$79:$V$79)*('CMA Segmentation'!$Q$80:$V$166)),"")</f>
        <v/>
      </c>
      <c r="J669" s="557" t="str" cm="1">
        <f t="array" ref="J669">IF($D669="Climate-alignment target",SUMPRODUCT(('CMA Segmentation'!$M$80:$M$166=TRUE)*($AD669='CMA Segmentation'!$AK$80:$AK$166)*('Climate-Alignment Target'!J$506='CMA Segmentation'!$Q$79:$V$79)*('CMA Segmentation'!$Q$80:$V$166)),"")</f>
        <v/>
      </c>
      <c r="K669" s="557" t="str">
        <f t="shared" si="452"/>
        <v/>
      </c>
      <c r="L669" s="557" t="str">
        <f t="shared" si="456"/>
        <v/>
      </c>
      <c r="M669" s="562">
        <f t="shared" si="453"/>
        <v>0</v>
      </c>
      <c r="N669" s="915"/>
      <c r="O669" s="563"/>
      <c r="P669" s="562" t="str">
        <f t="shared" si="457"/>
        <v/>
      </c>
      <c r="Q669" s="560" t="str">
        <f t="shared" si="458"/>
        <v/>
      </c>
      <c r="R669" s="16"/>
      <c r="U669" s="1"/>
      <c r="V669" s="1"/>
      <c r="W669" s="26"/>
      <c r="X669" s="113" t="s">
        <v>378</v>
      </c>
      <c r="Y669" s="113">
        <f t="shared" si="454"/>
        <v>2050</v>
      </c>
      <c r="Z669" s="113">
        <f t="shared" si="455"/>
        <v>0.95</v>
      </c>
      <c r="AA669" s="121"/>
      <c r="AB669" s="121" t="str">
        <f t="shared" si="459"/>
        <v/>
      </c>
      <c r="AC669" s="121" t="str">
        <f t="shared" si="460"/>
        <v/>
      </c>
      <c r="AD669" s="107" t="s">
        <v>220</v>
      </c>
    </row>
    <row r="670" spans="1:30" ht="51" hidden="1" customHeight="1" outlineLevel="3">
      <c r="A670" s="340" t="s">
        <v>121</v>
      </c>
      <c r="B670" s="340" t="s">
        <v>396</v>
      </c>
      <c r="C670" s="927"/>
      <c r="D670" s="333" t="str">
        <f>IF(SUMIF('CMA Segmentation'!$AK$80:$AK$166,'Climate-Alignment Target'!AD670,'CMA Segmentation'!$AL$80:$AL$166)&gt;0,"Climate-alignment target",IF(SUMIF('CMA Segmentation'!$AK$80:$AK$166,'Climate-Alignment Target'!AD670,'CMA Segmentation'!$AM$80:$AM$166)&gt;0,"Sector target","No target type selected"))</f>
        <v>No target type selected</v>
      </c>
      <c r="E670" s="557" cm="1">
        <f t="array" ref="E670">SUMPRODUCT(('CMA Segmentation'!$M$80:$M$166=TRUE)*($AD670='CMA Segmentation'!$AK$80:$AK$166)*('Climate-Alignment Target'!E$506='CMA Segmentation'!$Q$79:$V$79)*('CMA Segmentation'!$Q$80:$V$166))</f>
        <v>0</v>
      </c>
      <c r="F670" s="557" t="str" cm="1">
        <f t="array" ref="F670">IF($D670="Climate-alignment target",SUMPRODUCT(('CMA Segmentation'!$M$80:$M$166=TRUE)*($AD670='CMA Segmentation'!$AK$80:$AK$166)*('Climate-Alignment Target'!F$506='CMA Segmentation'!$Q$79:$V$79)*('CMA Segmentation'!$Q$80:$V$166)),"")</f>
        <v/>
      </c>
      <c r="G670" s="557" t="str" cm="1">
        <f t="array" ref="G670">IF($D670="Climate-alignment target",SUMPRODUCT(('CMA Segmentation'!$M$80:$M$166=TRUE)*($AD670='CMA Segmentation'!$AK$80:$AK$166)*('Climate-Alignment Target'!G$506='CMA Segmentation'!$Q$79:$V$79)*('CMA Segmentation'!$Q$80:$V$166)),"")</f>
        <v/>
      </c>
      <c r="H670" s="557" t="str" cm="1">
        <f t="array" ref="H670">IF($D670="Climate-alignment target",SUMPRODUCT(('CMA Segmentation'!$M$80:$M$166=TRUE)*($AD670='CMA Segmentation'!$AK$80:$AK$166)*('Climate-Alignment Target'!H$506='CMA Segmentation'!$Q$79:$V$79)*('CMA Segmentation'!$Q$80:$V$166)),"")</f>
        <v/>
      </c>
      <c r="I670" s="557" t="str" cm="1">
        <f t="array" ref="I670">IF($D670="Climate-alignment target",SUMPRODUCT(('CMA Segmentation'!$M$80:$M$166=TRUE)*($AD670='CMA Segmentation'!$AK$80:$AK$166)*('Climate-Alignment Target'!I$506='CMA Segmentation'!$Q$79:$V$79)*('CMA Segmentation'!$Q$80:$V$166)),"")</f>
        <v/>
      </c>
      <c r="J670" s="557" t="str" cm="1">
        <f t="array" ref="J670">IF($D670="Climate-alignment target",SUMPRODUCT(('CMA Segmentation'!$M$80:$M$166=TRUE)*($AD670='CMA Segmentation'!$AK$80:$AK$166)*('Climate-Alignment Target'!J$506='CMA Segmentation'!$Q$79:$V$79)*('CMA Segmentation'!$Q$80:$V$166)),"")</f>
        <v/>
      </c>
      <c r="K670" s="557" t="str">
        <f t="shared" si="452"/>
        <v/>
      </c>
      <c r="L670" s="557" t="str">
        <f t="shared" si="456"/>
        <v/>
      </c>
      <c r="M670" s="562">
        <f t="shared" si="453"/>
        <v>0</v>
      </c>
      <c r="N670" s="915"/>
      <c r="O670" s="563"/>
      <c r="P670" s="562" t="str">
        <f t="shared" si="457"/>
        <v/>
      </c>
      <c r="Q670" s="560" t="str">
        <f t="shared" si="458"/>
        <v/>
      </c>
      <c r="R670" s="16"/>
      <c r="U670" s="1"/>
      <c r="V670" s="1"/>
      <c r="W670" s="26"/>
      <c r="X670" s="113" t="s">
        <v>373</v>
      </c>
      <c r="Y670" s="113">
        <f t="shared" si="454"/>
        <v>2040</v>
      </c>
      <c r="Z670" s="113">
        <f t="shared" si="455"/>
        <v>0.95</v>
      </c>
      <c r="AA670" s="121"/>
      <c r="AB670" s="121" t="str">
        <f t="shared" si="459"/>
        <v/>
      </c>
      <c r="AC670" s="121" t="str">
        <f t="shared" si="460"/>
        <v/>
      </c>
      <c r="AD670" s="107" t="s">
        <v>193</v>
      </c>
    </row>
    <row r="671" spans="1:30" ht="51" hidden="1" customHeight="1" outlineLevel="3">
      <c r="A671" s="340" t="s">
        <v>136</v>
      </c>
      <c r="B671" s="340" t="s">
        <v>396</v>
      </c>
      <c r="C671" s="927"/>
      <c r="D671" s="333" t="str">
        <f>IF(SUMIF('CMA Segmentation'!$AK$80:$AK$166,'Climate-Alignment Target'!AD671,'CMA Segmentation'!$AL$80:$AL$166)&gt;0,"Climate-alignment target",IF(SUMIF('CMA Segmentation'!$AK$80:$AK$166,'Climate-Alignment Target'!AD671,'CMA Segmentation'!$AM$80:$AM$166)&gt;0,"Sector target","No target type selected"))</f>
        <v>No target type selected</v>
      </c>
      <c r="E671" s="557" cm="1">
        <f t="array" ref="E671">SUMPRODUCT(('CMA Segmentation'!$M$80:$M$166=TRUE)*($AD671='CMA Segmentation'!$AK$80:$AK$166)*('Climate-Alignment Target'!E$506='CMA Segmentation'!$Q$79:$V$79)*('CMA Segmentation'!$Q$80:$V$166))</f>
        <v>0</v>
      </c>
      <c r="F671" s="557" t="str" cm="1">
        <f t="array" ref="F671">IF($D671="Climate-alignment target",SUMPRODUCT(('CMA Segmentation'!$M$80:$M$166=TRUE)*($AD671='CMA Segmentation'!$AK$80:$AK$166)*('Climate-Alignment Target'!F$506='CMA Segmentation'!$Q$79:$V$79)*('CMA Segmentation'!$Q$80:$V$166)),"")</f>
        <v/>
      </c>
      <c r="G671" s="557" t="str" cm="1">
        <f t="array" ref="G671">IF($D671="Climate-alignment target",SUMPRODUCT(('CMA Segmentation'!$M$80:$M$166=TRUE)*($AD671='CMA Segmentation'!$AK$80:$AK$166)*('Climate-Alignment Target'!G$506='CMA Segmentation'!$Q$79:$V$79)*('CMA Segmentation'!$Q$80:$V$166)),"")</f>
        <v/>
      </c>
      <c r="H671" s="557" t="str" cm="1">
        <f t="array" ref="H671">IF($D671="Climate-alignment target",SUMPRODUCT(('CMA Segmentation'!$M$80:$M$166=TRUE)*($AD671='CMA Segmentation'!$AK$80:$AK$166)*('Climate-Alignment Target'!H$506='CMA Segmentation'!$Q$79:$V$79)*('CMA Segmentation'!$Q$80:$V$166)),"")</f>
        <v/>
      </c>
      <c r="I671" s="557" t="str" cm="1">
        <f t="array" ref="I671">IF($D671="Climate-alignment target",SUMPRODUCT(('CMA Segmentation'!$M$80:$M$166=TRUE)*($AD671='CMA Segmentation'!$AK$80:$AK$166)*('Climate-Alignment Target'!I$506='CMA Segmentation'!$Q$79:$V$79)*('CMA Segmentation'!$Q$80:$V$166)),"")</f>
        <v/>
      </c>
      <c r="J671" s="557" t="str" cm="1">
        <f t="array" ref="J671">IF($D671="Climate-alignment target",SUMPRODUCT(('CMA Segmentation'!$M$80:$M$166=TRUE)*($AD671='CMA Segmentation'!$AK$80:$AK$166)*('Climate-Alignment Target'!J$506='CMA Segmentation'!$Q$79:$V$79)*('CMA Segmentation'!$Q$80:$V$166)),"")</f>
        <v/>
      </c>
      <c r="K671" s="557" t="str">
        <f t="shared" si="452"/>
        <v/>
      </c>
      <c r="L671" s="557" t="str">
        <f t="shared" si="456"/>
        <v/>
      </c>
      <c r="M671" s="562">
        <f t="shared" si="453"/>
        <v>0</v>
      </c>
      <c r="N671" s="915"/>
      <c r="O671" s="563"/>
      <c r="P671" s="562" t="str">
        <f t="shared" si="457"/>
        <v/>
      </c>
      <c r="Q671" s="560" t="str">
        <f t="shared" si="458"/>
        <v/>
      </c>
      <c r="R671" s="16"/>
      <c r="U671" s="1"/>
      <c r="V671" s="1"/>
      <c r="W671" s="26"/>
      <c r="X671" s="113" t="s">
        <v>378</v>
      </c>
      <c r="Y671" s="113">
        <f t="shared" si="454"/>
        <v>2050</v>
      </c>
      <c r="Z671" s="113">
        <f t="shared" si="455"/>
        <v>0.95</v>
      </c>
      <c r="AA671" s="121"/>
      <c r="AB671" s="121" t="str">
        <f t="shared" si="459"/>
        <v/>
      </c>
      <c r="AC671" s="121" t="str">
        <f t="shared" si="460"/>
        <v/>
      </c>
      <c r="AD671" s="107" t="s">
        <v>221</v>
      </c>
    </row>
    <row r="672" spans="1:30" ht="51" hidden="1" customHeight="1" outlineLevel="3">
      <c r="A672" s="340" t="s">
        <v>121</v>
      </c>
      <c r="B672" s="340" t="s">
        <v>397</v>
      </c>
      <c r="C672" s="927"/>
      <c r="D672" s="333" t="str">
        <f>IF(SUMIF('CMA Segmentation'!$AK$80:$AK$166,'Climate-Alignment Target'!AD672,'CMA Segmentation'!$AL$80:$AL$166)&gt;0,"Climate-alignment target",IF(SUMIF('CMA Segmentation'!$AK$80:$AK$166,'Climate-Alignment Target'!AD672,'CMA Segmentation'!$AM$80:$AM$166)&gt;0,"Sector target","No target type selected"))</f>
        <v>No target type selected</v>
      </c>
      <c r="E672" s="557" cm="1">
        <f t="array" ref="E672">SUMPRODUCT(('CMA Segmentation'!$M$80:$M$166=TRUE)*($AD672='CMA Segmentation'!$AK$80:$AK$166)*('Climate-Alignment Target'!E$506='CMA Segmentation'!$Q$79:$V$79)*('CMA Segmentation'!$Q$80:$V$166))</f>
        <v>0</v>
      </c>
      <c r="F672" s="557" t="str" cm="1">
        <f t="array" ref="F672">IF($D672="Climate-alignment target",SUMPRODUCT(('CMA Segmentation'!$M$80:$M$166=TRUE)*($AD672='CMA Segmentation'!$AK$80:$AK$166)*('Climate-Alignment Target'!F$506='CMA Segmentation'!$Q$79:$V$79)*('CMA Segmentation'!$Q$80:$V$166)),"")</f>
        <v/>
      </c>
      <c r="G672" s="557" t="str" cm="1">
        <f t="array" ref="G672">IF($D672="Climate-alignment target",SUMPRODUCT(('CMA Segmentation'!$M$80:$M$166=TRUE)*($AD672='CMA Segmentation'!$AK$80:$AK$166)*('Climate-Alignment Target'!G$506='CMA Segmentation'!$Q$79:$V$79)*('CMA Segmentation'!$Q$80:$V$166)),"")</f>
        <v/>
      </c>
      <c r="H672" s="557" t="str" cm="1">
        <f t="array" ref="H672">IF($D672="Climate-alignment target",SUMPRODUCT(('CMA Segmentation'!$M$80:$M$166=TRUE)*($AD672='CMA Segmentation'!$AK$80:$AK$166)*('Climate-Alignment Target'!H$506='CMA Segmentation'!$Q$79:$V$79)*('CMA Segmentation'!$Q$80:$V$166)),"")</f>
        <v/>
      </c>
      <c r="I672" s="557" t="str" cm="1">
        <f t="array" ref="I672">IF($D672="Climate-alignment target",SUMPRODUCT(('CMA Segmentation'!$M$80:$M$166=TRUE)*($AD672='CMA Segmentation'!$AK$80:$AK$166)*('Climate-Alignment Target'!I$506='CMA Segmentation'!$Q$79:$V$79)*('CMA Segmentation'!$Q$80:$V$166)),"")</f>
        <v/>
      </c>
      <c r="J672" s="557" t="str" cm="1">
        <f t="array" ref="J672">IF($D672="Climate-alignment target",SUMPRODUCT(('CMA Segmentation'!$M$80:$M$166=TRUE)*($AD672='CMA Segmentation'!$AK$80:$AK$166)*('Climate-Alignment Target'!J$506='CMA Segmentation'!$Q$79:$V$79)*('CMA Segmentation'!$Q$80:$V$166)),"")</f>
        <v/>
      </c>
      <c r="K672" s="557" t="str">
        <f t="shared" si="452"/>
        <v/>
      </c>
      <c r="L672" s="557" t="str">
        <f t="shared" si="456"/>
        <v/>
      </c>
      <c r="M672" s="562">
        <f t="shared" si="453"/>
        <v>0</v>
      </c>
      <c r="N672" s="915"/>
      <c r="O672" s="563"/>
      <c r="P672" s="562" t="str">
        <f t="shared" si="457"/>
        <v/>
      </c>
      <c r="Q672" s="560" t="str">
        <f t="shared" si="458"/>
        <v/>
      </c>
      <c r="R672" s="16"/>
      <c r="U672" s="1"/>
      <c r="V672" s="1"/>
      <c r="W672" s="26"/>
      <c r="X672" s="113" t="s">
        <v>373</v>
      </c>
      <c r="Y672" s="113">
        <f t="shared" si="454"/>
        <v>2040</v>
      </c>
      <c r="Z672" s="113">
        <f t="shared" si="455"/>
        <v>0.95</v>
      </c>
      <c r="AA672" s="121"/>
      <c r="AB672" s="121" t="str">
        <f t="shared" si="459"/>
        <v/>
      </c>
      <c r="AC672" s="121" t="str">
        <f t="shared" si="460"/>
        <v/>
      </c>
      <c r="AD672" s="107" t="s">
        <v>197</v>
      </c>
    </row>
    <row r="673" spans="1:30" ht="51" hidden="1" customHeight="1" outlineLevel="3">
      <c r="A673" s="340" t="s">
        <v>136</v>
      </c>
      <c r="B673" s="340" t="s">
        <v>397</v>
      </c>
      <c r="C673" s="927"/>
      <c r="D673" s="333" t="str">
        <f>IF(SUMIF('CMA Segmentation'!$AK$80:$AK$166,'Climate-Alignment Target'!AD673,'CMA Segmentation'!$AL$80:$AL$166)&gt;0,"Climate-alignment target",IF(SUMIF('CMA Segmentation'!$AK$80:$AK$166,'Climate-Alignment Target'!AD673,'CMA Segmentation'!$AM$80:$AM$166)&gt;0,"Sector target","No target type selected"))</f>
        <v>No target type selected</v>
      </c>
      <c r="E673" s="557" cm="1">
        <f t="array" ref="E673">SUMPRODUCT(('CMA Segmentation'!$M$80:$M$166=TRUE)*($AD673='CMA Segmentation'!$AK$80:$AK$166)*('Climate-Alignment Target'!E$506='CMA Segmentation'!$Q$79:$V$79)*('CMA Segmentation'!$Q$80:$V$166))</f>
        <v>0</v>
      </c>
      <c r="F673" s="557" t="str" cm="1">
        <f t="array" ref="F673">IF($D673="Climate-alignment target",SUMPRODUCT(('CMA Segmentation'!$M$80:$M$166=TRUE)*($AD673='CMA Segmentation'!$AK$80:$AK$166)*('Climate-Alignment Target'!F$506='CMA Segmentation'!$Q$79:$V$79)*('CMA Segmentation'!$Q$80:$V$166)),"")</f>
        <v/>
      </c>
      <c r="G673" s="557" t="str" cm="1">
        <f t="array" ref="G673">IF($D673="Climate-alignment target",SUMPRODUCT(('CMA Segmentation'!$M$80:$M$166=TRUE)*($AD673='CMA Segmentation'!$AK$80:$AK$166)*('Climate-Alignment Target'!G$506='CMA Segmentation'!$Q$79:$V$79)*('CMA Segmentation'!$Q$80:$V$166)),"")</f>
        <v/>
      </c>
      <c r="H673" s="557" t="str" cm="1">
        <f t="array" ref="H673">IF($D673="Climate-alignment target",SUMPRODUCT(('CMA Segmentation'!$M$80:$M$166=TRUE)*($AD673='CMA Segmentation'!$AK$80:$AK$166)*('Climate-Alignment Target'!H$506='CMA Segmentation'!$Q$79:$V$79)*('CMA Segmentation'!$Q$80:$V$166)),"")</f>
        <v/>
      </c>
      <c r="I673" s="557" t="str" cm="1">
        <f t="array" ref="I673">IF($D673="Climate-alignment target",SUMPRODUCT(('CMA Segmentation'!$M$80:$M$166=TRUE)*($AD673='CMA Segmentation'!$AK$80:$AK$166)*('Climate-Alignment Target'!I$506='CMA Segmentation'!$Q$79:$V$79)*('CMA Segmentation'!$Q$80:$V$166)),"")</f>
        <v/>
      </c>
      <c r="J673" s="557" t="str" cm="1">
        <f t="array" ref="J673">IF($D673="Climate-alignment target",SUMPRODUCT(('CMA Segmentation'!$M$80:$M$166=TRUE)*($AD673='CMA Segmentation'!$AK$80:$AK$166)*('Climate-Alignment Target'!J$506='CMA Segmentation'!$Q$79:$V$79)*('CMA Segmentation'!$Q$80:$V$166)),"")</f>
        <v/>
      </c>
      <c r="K673" s="557" t="str">
        <f t="shared" si="452"/>
        <v/>
      </c>
      <c r="L673" s="557" t="str">
        <f t="shared" si="456"/>
        <v/>
      </c>
      <c r="M673" s="562">
        <f t="shared" si="453"/>
        <v>0</v>
      </c>
      <c r="N673" s="915"/>
      <c r="O673" s="563"/>
      <c r="P673" s="562" t="str">
        <f t="shared" si="457"/>
        <v/>
      </c>
      <c r="Q673" s="560" t="str">
        <f t="shared" si="458"/>
        <v/>
      </c>
      <c r="R673" s="16"/>
      <c r="U673" s="1"/>
      <c r="V673" s="1"/>
      <c r="W673" s="26"/>
      <c r="X673" s="113" t="s">
        <v>378</v>
      </c>
      <c r="Y673" s="113">
        <f t="shared" si="454"/>
        <v>2050</v>
      </c>
      <c r="Z673" s="113">
        <f t="shared" si="455"/>
        <v>0.95</v>
      </c>
      <c r="AA673" s="121"/>
      <c r="AB673" s="121" t="str">
        <f t="shared" si="459"/>
        <v/>
      </c>
      <c r="AC673" s="121" t="str">
        <f t="shared" si="460"/>
        <v/>
      </c>
      <c r="AD673" s="107" t="s">
        <v>222</v>
      </c>
    </row>
    <row r="674" spans="1:30" ht="51" hidden="1" customHeight="1" outlineLevel="3">
      <c r="A674" s="340" t="s">
        <v>121</v>
      </c>
      <c r="B674" s="340" t="s">
        <v>398</v>
      </c>
      <c r="C674" s="927"/>
      <c r="D674" s="333" t="str">
        <f>IF(SUMIF('CMA Segmentation'!$AK$80:$AK$166,'Climate-Alignment Target'!AD674,'CMA Segmentation'!$AL$80:$AL$166)&gt;0,"Climate-alignment target",IF(SUMIF('CMA Segmentation'!$AK$80:$AK$166,'Climate-Alignment Target'!AD674,'CMA Segmentation'!$AM$80:$AM$166)&gt;0,"Sector target","No target type selected"))</f>
        <v>No target type selected</v>
      </c>
      <c r="E674" s="557" cm="1">
        <f t="array" ref="E674">SUMPRODUCT(('CMA Segmentation'!$M$80:$M$166=TRUE)*($AD674='CMA Segmentation'!$AK$80:$AK$166)*('Climate-Alignment Target'!E$506='CMA Segmentation'!$Q$79:$V$79)*('CMA Segmentation'!$Q$80:$V$166))</f>
        <v>0</v>
      </c>
      <c r="F674" s="557" t="str" cm="1">
        <f t="array" ref="F674">IF($D674="Climate-alignment target",SUMPRODUCT(('CMA Segmentation'!$M$80:$M$166=TRUE)*($AD674='CMA Segmentation'!$AK$80:$AK$166)*('Climate-Alignment Target'!F$506='CMA Segmentation'!$Q$79:$V$79)*('CMA Segmentation'!$Q$80:$V$166)),"")</f>
        <v/>
      </c>
      <c r="G674" s="557" t="str" cm="1">
        <f t="array" ref="G674">IF($D674="Climate-alignment target",SUMPRODUCT(('CMA Segmentation'!$M$80:$M$166=TRUE)*($AD674='CMA Segmentation'!$AK$80:$AK$166)*('Climate-Alignment Target'!G$506='CMA Segmentation'!$Q$79:$V$79)*('CMA Segmentation'!$Q$80:$V$166)),"")</f>
        <v/>
      </c>
      <c r="H674" s="557" t="str" cm="1">
        <f t="array" ref="H674">IF($D674="Climate-alignment target",SUMPRODUCT(('CMA Segmentation'!$M$80:$M$166=TRUE)*($AD674='CMA Segmentation'!$AK$80:$AK$166)*('Climate-Alignment Target'!H$506='CMA Segmentation'!$Q$79:$V$79)*('CMA Segmentation'!$Q$80:$V$166)),"")</f>
        <v/>
      </c>
      <c r="I674" s="557" t="str" cm="1">
        <f t="array" ref="I674">IF($D674="Climate-alignment target",SUMPRODUCT(('CMA Segmentation'!$M$80:$M$166=TRUE)*($AD674='CMA Segmentation'!$AK$80:$AK$166)*('Climate-Alignment Target'!I$506='CMA Segmentation'!$Q$79:$V$79)*('CMA Segmentation'!$Q$80:$V$166)),"")</f>
        <v/>
      </c>
      <c r="J674" s="557" t="str" cm="1">
        <f t="array" ref="J674">IF($D674="Climate-alignment target",SUMPRODUCT(('CMA Segmentation'!$M$80:$M$166=TRUE)*($AD674='CMA Segmentation'!$AK$80:$AK$166)*('Climate-Alignment Target'!J$506='CMA Segmentation'!$Q$79:$V$79)*('CMA Segmentation'!$Q$80:$V$166)),"")</f>
        <v/>
      </c>
      <c r="K674" s="557" t="str">
        <f t="shared" si="452"/>
        <v/>
      </c>
      <c r="L674" s="557" t="str">
        <f t="shared" si="456"/>
        <v/>
      </c>
      <c r="M674" s="562">
        <f t="shared" si="453"/>
        <v>0</v>
      </c>
      <c r="N674" s="915"/>
      <c r="O674" s="563"/>
      <c r="P674" s="562" t="str">
        <f t="shared" si="457"/>
        <v/>
      </c>
      <c r="Q674" s="560" t="str">
        <f t="shared" si="458"/>
        <v/>
      </c>
      <c r="R674" s="16"/>
      <c r="U674" s="1"/>
      <c r="V674" s="1"/>
      <c r="W674" s="26"/>
      <c r="X674" s="113" t="s">
        <v>373</v>
      </c>
      <c r="Y674" s="113">
        <f t="shared" si="454"/>
        <v>2040</v>
      </c>
      <c r="Z674" s="113">
        <f t="shared" si="455"/>
        <v>0.95</v>
      </c>
      <c r="AA674" s="121"/>
      <c r="AB674" s="121" t="str">
        <f t="shared" si="459"/>
        <v/>
      </c>
      <c r="AC674" s="121" t="str">
        <f t="shared" si="460"/>
        <v/>
      </c>
      <c r="AD674" s="107" t="s">
        <v>202</v>
      </c>
    </row>
    <row r="675" spans="1:30" ht="51" hidden="1" customHeight="1" outlineLevel="3">
      <c r="A675" s="340" t="s">
        <v>136</v>
      </c>
      <c r="B675" s="340" t="s">
        <v>398</v>
      </c>
      <c r="C675" s="927"/>
      <c r="D675" s="333" t="str">
        <f>IF(SUMIF('CMA Segmentation'!$AK$80:$AK$166,'Climate-Alignment Target'!AD675,'CMA Segmentation'!$AL$80:$AL$166)&gt;0,"Climate-alignment target",IF(SUMIF('CMA Segmentation'!$AK$80:$AK$166,'Climate-Alignment Target'!AD675,'CMA Segmentation'!$AM$80:$AM$166)&gt;0,"Sector target","No target type selected"))</f>
        <v>No target type selected</v>
      </c>
      <c r="E675" s="557" cm="1">
        <f t="array" ref="E675">SUMPRODUCT(('CMA Segmentation'!$M$80:$M$166=TRUE)*($AD675='CMA Segmentation'!$AK$80:$AK$166)*('Climate-Alignment Target'!E$506='CMA Segmentation'!$Q$79:$V$79)*('CMA Segmentation'!$Q$80:$V$166))</f>
        <v>0</v>
      </c>
      <c r="F675" s="557" t="str" cm="1">
        <f t="array" ref="F675">IF($D675="Climate-alignment target",SUMPRODUCT(('CMA Segmentation'!$M$80:$M$166=TRUE)*($AD675='CMA Segmentation'!$AK$80:$AK$166)*('Climate-Alignment Target'!F$506='CMA Segmentation'!$Q$79:$V$79)*('CMA Segmentation'!$Q$80:$V$166)),"")</f>
        <v/>
      </c>
      <c r="G675" s="557" t="str" cm="1">
        <f t="array" ref="G675">IF($D675="Climate-alignment target",SUMPRODUCT(('CMA Segmentation'!$M$80:$M$166=TRUE)*($AD675='CMA Segmentation'!$AK$80:$AK$166)*('Climate-Alignment Target'!G$506='CMA Segmentation'!$Q$79:$V$79)*('CMA Segmentation'!$Q$80:$V$166)),"")</f>
        <v/>
      </c>
      <c r="H675" s="557" t="str" cm="1">
        <f t="array" ref="H675">IF($D675="Climate-alignment target",SUMPRODUCT(('CMA Segmentation'!$M$80:$M$166=TRUE)*($AD675='CMA Segmentation'!$AK$80:$AK$166)*('Climate-Alignment Target'!H$506='CMA Segmentation'!$Q$79:$V$79)*('CMA Segmentation'!$Q$80:$V$166)),"")</f>
        <v/>
      </c>
      <c r="I675" s="557" t="str" cm="1">
        <f t="array" ref="I675">IF($D675="Climate-alignment target",SUMPRODUCT(('CMA Segmentation'!$M$80:$M$166=TRUE)*($AD675='CMA Segmentation'!$AK$80:$AK$166)*('Climate-Alignment Target'!I$506='CMA Segmentation'!$Q$79:$V$79)*('CMA Segmentation'!$Q$80:$V$166)),"")</f>
        <v/>
      </c>
      <c r="J675" s="557" t="str" cm="1">
        <f t="array" ref="J675">IF($D675="Climate-alignment target",SUMPRODUCT(('CMA Segmentation'!$M$80:$M$166=TRUE)*($AD675='CMA Segmentation'!$AK$80:$AK$166)*('Climate-Alignment Target'!J$506='CMA Segmentation'!$Q$79:$V$79)*('CMA Segmentation'!$Q$80:$V$166)),"")</f>
        <v/>
      </c>
      <c r="K675" s="557" t="str">
        <f t="shared" si="452"/>
        <v/>
      </c>
      <c r="L675" s="557" t="str">
        <f t="shared" si="456"/>
        <v/>
      </c>
      <c r="M675" s="562">
        <f t="shared" si="453"/>
        <v>0</v>
      </c>
      <c r="N675" s="915"/>
      <c r="O675" s="563"/>
      <c r="P675" s="562" t="str">
        <f t="shared" si="457"/>
        <v/>
      </c>
      <c r="Q675" s="560" t="str">
        <f t="shared" si="458"/>
        <v/>
      </c>
      <c r="R675" s="16"/>
      <c r="U675" s="1"/>
      <c r="V675" s="1"/>
      <c r="W675" s="26"/>
      <c r="X675" s="113" t="s">
        <v>378</v>
      </c>
      <c r="Y675" s="113">
        <f t="shared" si="454"/>
        <v>2050</v>
      </c>
      <c r="Z675" s="113">
        <f t="shared" si="455"/>
        <v>0.95</v>
      </c>
      <c r="AA675" s="121"/>
      <c r="AB675" s="121" t="str">
        <f t="shared" si="459"/>
        <v/>
      </c>
      <c r="AC675" s="121" t="str">
        <f t="shared" si="460"/>
        <v/>
      </c>
      <c r="AD675" s="107" t="s">
        <v>223</v>
      </c>
    </row>
    <row r="676" spans="1:30" ht="51" hidden="1" customHeight="1" outlineLevel="3">
      <c r="A676" s="340" t="s">
        <v>121</v>
      </c>
      <c r="B676" s="340" t="s">
        <v>399</v>
      </c>
      <c r="C676" s="927"/>
      <c r="D676" s="333" t="str">
        <f>IF(SUMIF('CMA Segmentation'!$AK$80:$AK$166,'Climate-Alignment Target'!AD676,'CMA Segmentation'!$AL$80:$AL$166)&gt;0,"Climate-alignment target",IF(SUMIF('CMA Segmentation'!$AK$80:$AK$166,'Climate-Alignment Target'!AD676,'CMA Segmentation'!$AM$80:$AM$166)&gt;0,"Sector target","No target type selected"))</f>
        <v>No target type selected</v>
      </c>
      <c r="E676" s="557" cm="1">
        <f t="array" ref="E676">SUMPRODUCT(('CMA Segmentation'!$M$80:$M$166=TRUE)*($AD676='CMA Segmentation'!$AK$80:$AK$166)*('Climate-Alignment Target'!E$506='CMA Segmentation'!$Q$79:$V$79)*('CMA Segmentation'!$Q$80:$V$166))</f>
        <v>0</v>
      </c>
      <c r="F676" s="557" t="str" cm="1">
        <f t="array" ref="F676">IF($D676="Climate-alignment target",SUMPRODUCT(('CMA Segmentation'!$M$80:$M$166=TRUE)*($AD676='CMA Segmentation'!$AK$80:$AK$166)*('Climate-Alignment Target'!F$506='CMA Segmentation'!$Q$79:$V$79)*('CMA Segmentation'!$Q$80:$V$166)),"")</f>
        <v/>
      </c>
      <c r="G676" s="557" t="str" cm="1">
        <f t="array" ref="G676">IF($D676="Climate-alignment target",SUMPRODUCT(('CMA Segmentation'!$M$80:$M$166=TRUE)*($AD676='CMA Segmentation'!$AK$80:$AK$166)*('Climate-Alignment Target'!G$506='CMA Segmentation'!$Q$79:$V$79)*('CMA Segmentation'!$Q$80:$V$166)),"")</f>
        <v/>
      </c>
      <c r="H676" s="557" t="str" cm="1">
        <f t="array" ref="H676">IF($D676="Climate-alignment target",SUMPRODUCT(('CMA Segmentation'!$M$80:$M$166=TRUE)*($AD676='CMA Segmentation'!$AK$80:$AK$166)*('Climate-Alignment Target'!H$506='CMA Segmentation'!$Q$79:$V$79)*('CMA Segmentation'!$Q$80:$V$166)),"")</f>
        <v/>
      </c>
      <c r="I676" s="557" t="str" cm="1">
        <f t="array" ref="I676">IF($D676="Climate-alignment target",SUMPRODUCT(('CMA Segmentation'!$M$80:$M$166=TRUE)*($AD676='CMA Segmentation'!$AK$80:$AK$166)*('Climate-Alignment Target'!I$506='CMA Segmentation'!$Q$79:$V$79)*('CMA Segmentation'!$Q$80:$V$166)),"")</f>
        <v/>
      </c>
      <c r="J676" s="557" t="str" cm="1">
        <f t="array" ref="J676">IF($D676="Climate-alignment target",SUMPRODUCT(('CMA Segmentation'!$M$80:$M$166=TRUE)*($AD676='CMA Segmentation'!$AK$80:$AK$166)*('Climate-Alignment Target'!J$506='CMA Segmentation'!$Q$79:$V$79)*('CMA Segmentation'!$Q$80:$V$166)),"")</f>
        <v/>
      </c>
      <c r="K676" s="557" t="str">
        <f t="shared" si="452"/>
        <v/>
      </c>
      <c r="L676" s="557" t="str">
        <f t="shared" si="456"/>
        <v/>
      </c>
      <c r="M676" s="562">
        <f t="shared" si="453"/>
        <v>0</v>
      </c>
      <c r="N676" s="915"/>
      <c r="O676" s="563"/>
      <c r="P676" s="562" t="str">
        <f t="shared" si="457"/>
        <v/>
      </c>
      <c r="Q676" s="560" t="str">
        <f t="shared" si="458"/>
        <v/>
      </c>
      <c r="R676" s="16"/>
      <c r="U676" s="1"/>
      <c r="V676" s="1"/>
      <c r="W676" s="26"/>
      <c r="X676" s="113" t="s">
        <v>373</v>
      </c>
      <c r="Y676" s="113">
        <f t="shared" si="454"/>
        <v>2040</v>
      </c>
      <c r="Z676" s="113">
        <f t="shared" si="455"/>
        <v>0.95</v>
      </c>
      <c r="AA676" s="121"/>
      <c r="AB676" s="121" t="str">
        <f t="shared" si="459"/>
        <v/>
      </c>
      <c r="AC676" s="121" t="str">
        <f t="shared" si="460"/>
        <v/>
      </c>
      <c r="AD676" s="107" t="s">
        <v>207</v>
      </c>
    </row>
    <row r="677" spans="1:30" ht="51" hidden="1" customHeight="1" outlineLevel="3">
      <c r="A677" s="340" t="s">
        <v>136</v>
      </c>
      <c r="B677" s="340" t="s">
        <v>399</v>
      </c>
      <c r="C677" s="927"/>
      <c r="D677" s="333" t="str">
        <f>IF(SUMIF('CMA Segmentation'!$AK$80:$AK$166,'Climate-Alignment Target'!AD677,'CMA Segmentation'!$AL$80:$AL$166)&gt;0,"Climate-alignment target",IF(SUMIF('CMA Segmentation'!$AK$80:$AK$166,'Climate-Alignment Target'!AD677,'CMA Segmentation'!$AM$80:$AM$166)&gt;0,"Sector target","No target type selected"))</f>
        <v>No target type selected</v>
      </c>
      <c r="E677" s="557" cm="1">
        <f t="array" ref="E677">SUMPRODUCT(('CMA Segmentation'!$M$80:$M$166=TRUE)*($AD677='CMA Segmentation'!$AK$80:$AK$166)*('Climate-Alignment Target'!E$506='CMA Segmentation'!$Q$79:$V$79)*('CMA Segmentation'!$Q$80:$V$166))</f>
        <v>0</v>
      </c>
      <c r="F677" s="557" t="str" cm="1">
        <f t="array" ref="F677">IF($D677="Climate-alignment target",SUMPRODUCT(('CMA Segmentation'!$M$80:$M$166=TRUE)*($AD677='CMA Segmentation'!$AK$80:$AK$166)*('Climate-Alignment Target'!F$506='CMA Segmentation'!$Q$79:$V$79)*('CMA Segmentation'!$Q$80:$V$166)),"")</f>
        <v/>
      </c>
      <c r="G677" s="557" t="str" cm="1">
        <f t="array" ref="G677">IF($D677="Climate-alignment target",SUMPRODUCT(('CMA Segmentation'!$M$80:$M$166=TRUE)*($AD677='CMA Segmentation'!$AK$80:$AK$166)*('Climate-Alignment Target'!G$506='CMA Segmentation'!$Q$79:$V$79)*('CMA Segmentation'!$Q$80:$V$166)),"")</f>
        <v/>
      </c>
      <c r="H677" s="557" t="str" cm="1">
        <f t="array" ref="H677">IF($D677="Climate-alignment target",SUMPRODUCT(('CMA Segmentation'!$M$80:$M$166=TRUE)*($AD677='CMA Segmentation'!$AK$80:$AK$166)*('Climate-Alignment Target'!H$506='CMA Segmentation'!$Q$79:$V$79)*('CMA Segmentation'!$Q$80:$V$166)),"")</f>
        <v/>
      </c>
      <c r="I677" s="557" t="str" cm="1">
        <f t="array" ref="I677">IF($D677="Climate-alignment target",SUMPRODUCT(('CMA Segmentation'!$M$80:$M$166=TRUE)*($AD677='CMA Segmentation'!$AK$80:$AK$166)*('Climate-Alignment Target'!I$506='CMA Segmentation'!$Q$79:$V$79)*('CMA Segmentation'!$Q$80:$V$166)),"")</f>
        <v/>
      </c>
      <c r="J677" s="557" t="str" cm="1">
        <f t="array" ref="J677">IF($D677="Climate-alignment target",SUMPRODUCT(('CMA Segmentation'!$M$80:$M$166=TRUE)*($AD677='CMA Segmentation'!$AK$80:$AK$166)*('Climate-Alignment Target'!J$506='CMA Segmentation'!$Q$79:$V$79)*('CMA Segmentation'!$Q$80:$V$166)),"")</f>
        <v/>
      </c>
      <c r="K677" s="557" t="str">
        <f t="shared" si="452"/>
        <v/>
      </c>
      <c r="L677" s="557" t="str">
        <f t="shared" si="456"/>
        <v/>
      </c>
      <c r="M677" s="562">
        <f t="shared" si="453"/>
        <v>0</v>
      </c>
      <c r="N677" s="915"/>
      <c r="O677" s="563"/>
      <c r="P677" s="562" t="str">
        <f t="shared" si="457"/>
        <v/>
      </c>
      <c r="Q677" s="560" t="str">
        <f t="shared" si="458"/>
        <v/>
      </c>
      <c r="R677" s="16"/>
      <c r="U677" s="1"/>
      <c r="V677" s="1"/>
      <c r="W677" s="26"/>
      <c r="X677" s="113" t="s">
        <v>378</v>
      </c>
      <c r="Y677" s="113">
        <f t="shared" si="454"/>
        <v>2050</v>
      </c>
      <c r="Z677" s="113">
        <f t="shared" si="455"/>
        <v>0.95</v>
      </c>
      <c r="AA677" s="121"/>
      <c r="AB677" s="121" t="str">
        <f t="shared" si="459"/>
        <v/>
      </c>
      <c r="AC677" s="121" t="str">
        <f t="shared" si="460"/>
        <v/>
      </c>
      <c r="AD677" s="107" t="s">
        <v>224</v>
      </c>
    </row>
    <row r="678" spans="1:30" ht="51" hidden="1" customHeight="1" outlineLevel="3">
      <c r="A678" s="340" t="s">
        <v>121</v>
      </c>
      <c r="B678" s="340" t="s">
        <v>400</v>
      </c>
      <c r="C678" s="927"/>
      <c r="D678" s="333" t="str">
        <f>IF(SUMIF('CMA Segmentation'!$AK$80:$AK$166,'Climate-Alignment Target'!AD678,'CMA Segmentation'!$AL$80:$AL$166)&gt;0,"Climate-alignment target",IF(SUMIF('CMA Segmentation'!$AK$80:$AK$166,'Climate-Alignment Target'!AD678,'CMA Segmentation'!$AM$80:$AM$166)&gt;0,"Sector target","No target type selected"))</f>
        <v>No target type selected</v>
      </c>
      <c r="E678" s="557" cm="1">
        <f t="array" ref="E678">SUMPRODUCT(('CMA Segmentation'!$M$80:$M$166=TRUE)*($AD678='CMA Segmentation'!$AK$80:$AK$166)*('Climate-Alignment Target'!E$506='CMA Segmentation'!$Q$79:$V$79)*('CMA Segmentation'!$Q$80:$V$166))</f>
        <v>0</v>
      </c>
      <c r="F678" s="557" t="str" cm="1">
        <f t="array" ref="F678">IF($D678="Climate-alignment target",SUMPRODUCT(('CMA Segmentation'!$M$80:$M$166=TRUE)*($AD678='CMA Segmentation'!$AK$80:$AK$166)*('Climate-Alignment Target'!F$506='CMA Segmentation'!$Q$79:$V$79)*('CMA Segmentation'!$Q$80:$V$166)),"")</f>
        <v/>
      </c>
      <c r="G678" s="557" t="str" cm="1">
        <f t="array" ref="G678">IF($D678="Climate-alignment target",SUMPRODUCT(('CMA Segmentation'!$M$80:$M$166=TRUE)*($AD678='CMA Segmentation'!$AK$80:$AK$166)*('Climate-Alignment Target'!G$506='CMA Segmentation'!$Q$79:$V$79)*('CMA Segmentation'!$Q$80:$V$166)),"")</f>
        <v/>
      </c>
      <c r="H678" s="557" t="str" cm="1">
        <f t="array" ref="H678">IF($D678="Climate-alignment target",SUMPRODUCT(('CMA Segmentation'!$M$80:$M$166=TRUE)*($AD678='CMA Segmentation'!$AK$80:$AK$166)*('Climate-Alignment Target'!H$506='CMA Segmentation'!$Q$79:$V$79)*('CMA Segmentation'!$Q$80:$V$166)),"")</f>
        <v/>
      </c>
      <c r="I678" s="557" t="str" cm="1">
        <f t="array" ref="I678">IF($D678="Climate-alignment target",SUMPRODUCT(('CMA Segmentation'!$M$80:$M$166=TRUE)*($AD678='CMA Segmentation'!$AK$80:$AK$166)*('Climate-Alignment Target'!I$506='CMA Segmentation'!$Q$79:$V$79)*('CMA Segmentation'!$Q$80:$V$166)),"")</f>
        <v/>
      </c>
      <c r="J678" s="557" t="str" cm="1">
        <f t="array" ref="J678">IF($D678="Climate-alignment target",SUMPRODUCT(('CMA Segmentation'!$M$80:$M$166=TRUE)*($AD678='CMA Segmentation'!$AK$80:$AK$166)*('Climate-Alignment Target'!J$506='CMA Segmentation'!$Q$79:$V$79)*('CMA Segmentation'!$Q$80:$V$166)),"")</f>
        <v/>
      </c>
      <c r="K678" s="557" t="str">
        <f t="shared" si="452"/>
        <v/>
      </c>
      <c r="L678" s="557" t="str">
        <f t="shared" si="456"/>
        <v/>
      </c>
      <c r="M678" s="562">
        <f t="shared" si="453"/>
        <v>0</v>
      </c>
      <c r="N678" s="915"/>
      <c r="O678" s="563"/>
      <c r="P678" s="562" t="str">
        <f t="shared" si="457"/>
        <v/>
      </c>
      <c r="Q678" s="560" t="str">
        <f t="shared" si="458"/>
        <v/>
      </c>
      <c r="R678" s="16"/>
      <c r="U678" s="1"/>
      <c r="V678" s="1"/>
      <c r="W678" s="26"/>
      <c r="X678" s="113" t="s">
        <v>373</v>
      </c>
      <c r="Y678" s="113">
        <f t="shared" si="454"/>
        <v>2040</v>
      </c>
      <c r="Z678" s="113">
        <f t="shared" si="455"/>
        <v>0.95</v>
      </c>
      <c r="AA678" s="121"/>
      <c r="AB678" s="121" t="str">
        <f t="shared" si="459"/>
        <v/>
      </c>
      <c r="AC678" s="121" t="str">
        <f t="shared" si="460"/>
        <v/>
      </c>
      <c r="AD678" s="107" t="s">
        <v>211</v>
      </c>
    </row>
    <row r="679" spans="1:30" ht="51" hidden="1" customHeight="1" outlineLevel="3">
      <c r="A679" s="340" t="s">
        <v>136</v>
      </c>
      <c r="B679" s="340" t="s">
        <v>400</v>
      </c>
      <c r="C679" s="927"/>
      <c r="D679" s="333" t="str">
        <f>IF(SUMIF('CMA Segmentation'!$AK$80:$AK$166,'Climate-Alignment Target'!AD679,'CMA Segmentation'!$AL$80:$AL$166)&gt;0,"Climate-alignment target",IF(SUMIF('CMA Segmentation'!$AK$80:$AK$166,'Climate-Alignment Target'!AD679,'CMA Segmentation'!$AM$80:$AM$166)&gt;0,"Sector target","No target type selected"))</f>
        <v>No target type selected</v>
      </c>
      <c r="E679" s="557" cm="1">
        <f t="array" ref="E679">SUMPRODUCT(('CMA Segmentation'!$M$80:$M$166=TRUE)*($AD679='CMA Segmentation'!$AK$80:$AK$166)*('Climate-Alignment Target'!E$506='CMA Segmentation'!$Q$79:$V$79)*('CMA Segmentation'!$Q$80:$V$166))</f>
        <v>0</v>
      </c>
      <c r="F679" s="557" t="str" cm="1">
        <f t="array" ref="F679">IF($D679="Climate-alignment target",SUMPRODUCT(('CMA Segmentation'!$M$80:$M$166=TRUE)*($AD679='CMA Segmentation'!$AK$80:$AK$166)*('Climate-Alignment Target'!F$506='CMA Segmentation'!$Q$79:$V$79)*('CMA Segmentation'!$Q$80:$V$166)),"")</f>
        <v/>
      </c>
      <c r="G679" s="557" t="str" cm="1">
        <f t="array" ref="G679">IF($D679="Climate-alignment target",SUMPRODUCT(('CMA Segmentation'!$M$80:$M$166=TRUE)*($AD679='CMA Segmentation'!$AK$80:$AK$166)*('Climate-Alignment Target'!G$506='CMA Segmentation'!$Q$79:$V$79)*('CMA Segmentation'!$Q$80:$V$166)),"")</f>
        <v/>
      </c>
      <c r="H679" s="557" t="str" cm="1">
        <f t="array" ref="H679">IF($D679="Climate-alignment target",SUMPRODUCT(('CMA Segmentation'!$M$80:$M$166=TRUE)*($AD679='CMA Segmentation'!$AK$80:$AK$166)*('Climate-Alignment Target'!H$506='CMA Segmentation'!$Q$79:$V$79)*('CMA Segmentation'!$Q$80:$V$166)),"")</f>
        <v/>
      </c>
      <c r="I679" s="557" t="str" cm="1">
        <f t="array" ref="I679">IF($D679="Climate-alignment target",SUMPRODUCT(('CMA Segmentation'!$M$80:$M$166=TRUE)*($AD679='CMA Segmentation'!$AK$80:$AK$166)*('Climate-Alignment Target'!I$506='CMA Segmentation'!$Q$79:$V$79)*('CMA Segmentation'!$Q$80:$V$166)),"")</f>
        <v/>
      </c>
      <c r="J679" s="557" t="str" cm="1">
        <f t="array" ref="J679">IF($D679="Climate-alignment target",SUMPRODUCT(('CMA Segmentation'!$M$80:$M$166=TRUE)*($AD679='CMA Segmentation'!$AK$80:$AK$166)*('Climate-Alignment Target'!J$506='CMA Segmentation'!$Q$79:$V$79)*('CMA Segmentation'!$Q$80:$V$166)),"")</f>
        <v/>
      </c>
      <c r="K679" s="557" t="str">
        <f t="shared" si="452"/>
        <v/>
      </c>
      <c r="L679" s="557" t="str">
        <f>IF(AND(E679=K679,D679="Climate-alignment target"),"OK",IF(D679="Sector target","OK - covered by sector target",IF(AND(E679=0,D679="No target type selected"),"","Select a target type")))</f>
        <v/>
      </c>
      <c r="M679" s="562">
        <f>IF(SUM(F679:J679)=0,0,SUM(H679:J679)/(SUM(F679:J679)))</f>
        <v>0</v>
      </c>
      <c r="N679" s="915"/>
      <c r="O679" s="563"/>
      <c r="P679" s="562" t="str">
        <f t="shared" si="457"/>
        <v/>
      </c>
      <c r="Q679" s="560" t="str">
        <f t="shared" si="458"/>
        <v/>
      </c>
      <c r="R679" s="16"/>
      <c r="U679" s="1"/>
      <c r="V679" s="1"/>
      <c r="W679" s="26"/>
      <c r="X679" s="113" t="s">
        <v>378</v>
      </c>
      <c r="Y679" s="113">
        <f t="shared" si="454"/>
        <v>2050</v>
      </c>
      <c r="Z679" s="113">
        <f t="shared" si="455"/>
        <v>0.95</v>
      </c>
      <c r="AA679" s="121"/>
      <c r="AB679" s="121" t="str">
        <f t="shared" si="459"/>
        <v/>
      </c>
      <c r="AC679" s="121" t="str">
        <f t="shared" si="460"/>
        <v/>
      </c>
      <c r="AD679" s="107" t="s">
        <v>226</v>
      </c>
    </row>
    <row r="680" spans="1:30" ht="51" hidden="1" customHeight="1" outlineLevel="3">
      <c r="A680" s="340" t="s">
        <v>136</v>
      </c>
      <c r="B680" s="340" t="s">
        <v>416</v>
      </c>
      <c r="C680" s="927"/>
      <c r="D680" s="333" t="str">
        <f>IF(SUMIF('CMA Segmentation'!$AK$80:$AK$166,'Climate-Alignment Target'!AD680,'CMA Segmentation'!$AL$80:$AL$166)&gt;0,"Climate-alignment target",IF(SUMIF('CMA Segmentation'!$AK$80:$AK$166,'Climate-Alignment Target'!AD680,'CMA Segmentation'!$AM$80:$AM$166)&gt;0,"Sector target","No target type selected"))</f>
        <v>No target type selected</v>
      </c>
      <c r="E680" s="557" cm="1">
        <f t="array" ref="E680">SUMPRODUCT(('CMA Segmentation'!$M$80:$M$166=TRUE)*($AD680='CMA Segmentation'!$AK$80:$AK$166)*('Climate-Alignment Target'!E$506='CMA Segmentation'!$Q$79:$V$79)*('CMA Segmentation'!$Q$80:$V$166))</f>
        <v>0</v>
      </c>
      <c r="F680" s="557" t="str" cm="1">
        <f t="array" ref="F680">IF($D680="Climate-alignment target",SUMPRODUCT(('CMA Segmentation'!$M$80:$M$166=TRUE)*($AD680='CMA Segmentation'!$AK$80:$AK$166)*('Climate-Alignment Target'!F$506='CMA Segmentation'!$Q$79:$V$79)*('CMA Segmentation'!$Q$80:$V$166)),"")</f>
        <v/>
      </c>
      <c r="G680" s="557" t="str" cm="1">
        <f t="array" ref="G680">IF($D680="Climate-alignment target",SUMPRODUCT(('CMA Segmentation'!$M$80:$M$166=TRUE)*($AD680='CMA Segmentation'!$AK$80:$AK$166)*('Climate-Alignment Target'!G$506='CMA Segmentation'!$Q$79:$V$79)*('CMA Segmentation'!$Q$80:$V$166)),"")</f>
        <v/>
      </c>
      <c r="H680" s="557" t="str" cm="1">
        <f t="array" ref="H680">IF($D680="Climate-alignment target",SUMPRODUCT(('CMA Segmentation'!$M$80:$M$166=TRUE)*($AD680='CMA Segmentation'!$AK$80:$AK$166)*('Climate-Alignment Target'!H$506='CMA Segmentation'!$Q$79:$V$79)*('CMA Segmentation'!$Q$80:$V$166)),"")</f>
        <v/>
      </c>
      <c r="I680" s="557" t="str" cm="1">
        <f t="array" ref="I680">IF($D680="Climate-alignment target",SUMPRODUCT(('CMA Segmentation'!$M$80:$M$166=TRUE)*($AD680='CMA Segmentation'!$AK$80:$AK$166)*('Climate-Alignment Target'!I$506='CMA Segmentation'!$Q$79:$V$79)*('CMA Segmentation'!$Q$80:$V$166)),"")</f>
        <v/>
      </c>
      <c r="J680" s="557" t="str" cm="1">
        <f t="array" ref="J680">IF($D680="Climate-alignment target",SUMPRODUCT(('CMA Segmentation'!$M$80:$M$166=TRUE)*($AD680='CMA Segmentation'!$AK$80:$AK$166)*('Climate-Alignment Target'!J$506='CMA Segmentation'!$Q$79:$V$79)*('CMA Segmentation'!$Q$80:$V$166)),"")</f>
        <v/>
      </c>
      <c r="K680" s="557" t="str">
        <f t="shared" si="452"/>
        <v/>
      </c>
      <c r="L680" s="557" t="str">
        <f t="shared" si="456"/>
        <v/>
      </c>
      <c r="M680" s="562">
        <f>IF(SUM(F680:J680)=0,0,SUM(H680:J680)/(SUM(F680:J680)))</f>
        <v>0</v>
      </c>
      <c r="N680" s="915"/>
      <c r="O680" s="563"/>
      <c r="P680" s="562" t="str">
        <f t="shared" si="457"/>
        <v/>
      </c>
      <c r="Q680" s="560" t="str">
        <f t="shared" si="458"/>
        <v/>
      </c>
      <c r="R680" s="16"/>
      <c r="U680" s="1"/>
      <c r="V680" s="1"/>
      <c r="W680" s="26"/>
      <c r="X680" s="113" t="s">
        <v>378</v>
      </c>
      <c r="Y680" s="113">
        <f t="shared" si="454"/>
        <v>2050</v>
      </c>
      <c r="Z680" s="113">
        <f t="shared" si="455"/>
        <v>0.95</v>
      </c>
      <c r="AA680" s="121"/>
      <c r="AB680" s="121" t="str">
        <f t="shared" si="459"/>
        <v/>
      </c>
      <c r="AC680" s="121" t="str">
        <f t="shared" si="460"/>
        <v/>
      </c>
      <c r="AD680" s="107" t="s">
        <v>265</v>
      </c>
    </row>
    <row r="681" spans="1:30" ht="51" hidden="1" customHeight="1" outlineLevel="3">
      <c r="A681" s="340" t="s">
        <v>136</v>
      </c>
      <c r="B681" s="340" t="s">
        <v>401</v>
      </c>
      <c r="C681" s="927"/>
      <c r="D681" s="333" t="str">
        <f>IF(SUMIF('CMA Segmentation'!$AK$80:$AK$166,'Climate-Alignment Target'!AD681,'CMA Segmentation'!$AL$80:$AL$166)&gt;0,"Climate-alignment target",IF(SUMIF('CMA Segmentation'!$AK$80:$AK$166,'Climate-Alignment Target'!AD681,'CMA Segmentation'!$AM$80:$AM$166)&gt;0,"Sector target","No target type selected"))</f>
        <v>No target type selected</v>
      </c>
      <c r="E681" s="557" cm="1">
        <f t="array" ref="E681">SUMPRODUCT(('CMA Segmentation'!$M$80:$M$166=TRUE)*($AD681='CMA Segmentation'!$AK$80:$AK$166)*('Climate-Alignment Target'!E$506='CMA Segmentation'!$Q$79:$V$79)*('CMA Segmentation'!$Q$80:$V$166))</f>
        <v>0</v>
      </c>
      <c r="F681" s="557" t="str" cm="1">
        <f t="array" ref="F681">IF($D681="Climate-alignment target",SUMPRODUCT(('CMA Segmentation'!$M$80:$M$166=TRUE)*($AD681='CMA Segmentation'!$AK$80:$AK$166)*('Climate-Alignment Target'!F$506='CMA Segmentation'!$Q$79:$V$79)*('CMA Segmentation'!$Q$80:$V$166)),"")</f>
        <v/>
      </c>
      <c r="G681" s="557" t="str" cm="1">
        <f t="array" ref="G681">IF($D681="Climate-alignment target",SUMPRODUCT(('CMA Segmentation'!$M$80:$M$166=TRUE)*($AD681='CMA Segmentation'!$AK$80:$AK$166)*('Climate-Alignment Target'!G$506='CMA Segmentation'!$Q$79:$V$79)*('CMA Segmentation'!$Q$80:$V$166)),"")</f>
        <v/>
      </c>
      <c r="H681" s="557" t="str" cm="1">
        <f t="array" ref="H681">IF($D681="Climate-alignment target",SUMPRODUCT(('CMA Segmentation'!$M$80:$M$166=TRUE)*($AD681='CMA Segmentation'!$AK$80:$AK$166)*('Climate-Alignment Target'!H$506='CMA Segmentation'!$Q$79:$V$79)*('CMA Segmentation'!$Q$80:$V$166)),"")</f>
        <v/>
      </c>
      <c r="I681" s="557" t="str" cm="1">
        <f t="array" ref="I681">IF($D681="Climate-alignment target",SUMPRODUCT(('CMA Segmentation'!$M$80:$M$166=TRUE)*($AD681='CMA Segmentation'!$AK$80:$AK$166)*('Climate-Alignment Target'!I$506='CMA Segmentation'!$Q$79:$V$79)*('CMA Segmentation'!$Q$80:$V$166)),"")</f>
        <v/>
      </c>
      <c r="J681" s="557" t="str" cm="1">
        <f t="array" ref="J681">IF($D681="Climate-alignment target",SUMPRODUCT(('CMA Segmentation'!$M$80:$M$166=TRUE)*($AD681='CMA Segmentation'!$AK$80:$AK$166)*('Climate-Alignment Target'!J$506='CMA Segmentation'!$Q$79:$V$79)*('CMA Segmentation'!$Q$80:$V$166)),"")</f>
        <v/>
      </c>
      <c r="K681" s="557" t="str">
        <f t="shared" si="452"/>
        <v/>
      </c>
      <c r="L681" s="557" t="str">
        <f t="shared" si="456"/>
        <v/>
      </c>
      <c r="M681" s="562">
        <f>IF(SUM(F681:J681)=0,0,SUM(H681:J681)/(SUM(F681:J681)))</f>
        <v>0</v>
      </c>
      <c r="N681" s="915"/>
      <c r="O681" s="563"/>
      <c r="P681" s="562" t="str">
        <f t="shared" si="457"/>
        <v/>
      </c>
      <c r="Q681" s="560" t="str">
        <f t="shared" si="458"/>
        <v/>
      </c>
      <c r="R681" s="16"/>
      <c r="U681" s="1"/>
      <c r="V681" s="1"/>
      <c r="W681" s="26"/>
      <c r="X681" s="113" t="s">
        <v>378</v>
      </c>
      <c r="Y681" s="113">
        <f t="shared" si="454"/>
        <v>2050</v>
      </c>
      <c r="Z681" s="113">
        <f t="shared" si="455"/>
        <v>0.95</v>
      </c>
      <c r="AA681" s="121"/>
      <c r="AB681" s="121" t="str">
        <f t="shared" si="459"/>
        <v/>
      </c>
      <c r="AC681" s="121" t="str">
        <f t="shared" si="460"/>
        <v/>
      </c>
      <c r="AD681" s="107" t="s">
        <v>228</v>
      </c>
    </row>
    <row r="682" spans="1:30" ht="51" hidden="1" customHeight="1" outlineLevel="3">
      <c r="A682" s="340" t="s">
        <v>136</v>
      </c>
      <c r="B682" s="340" t="s">
        <v>135</v>
      </c>
      <c r="C682" s="927"/>
      <c r="D682" s="333" t="str">
        <f>IF(SUMIF('CMA Segmentation'!$AK$80:$AK$166,'Climate-Alignment Target'!AD682,'CMA Segmentation'!$AL$80:$AL$166)&gt;0,"Climate-alignment target",IF(SUMIF('CMA Segmentation'!$AK$80:$AK$166,'Climate-Alignment Target'!AD682,'CMA Segmentation'!$AM$80:$AM$166)&gt;0,"Sector target","No target type selected"))</f>
        <v>No target type selected</v>
      </c>
      <c r="E682" s="557" cm="1">
        <f t="array" ref="E682">SUMPRODUCT(('CMA Segmentation'!$M$80:$M$166=TRUE)*($AD682='CMA Segmentation'!$AK$80:$AK$166)*('Climate-Alignment Target'!E$506='CMA Segmentation'!$Q$79:$V$79)*('CMA Segmentation'!$Q$80:$V$166))</f>
        <v>0</v>
      </c>
      <c r="F682" s="557" t="str" cm="1">
        <f t="array" ref="F682">IF($D682="Climate-alignment target",SUMPRODUCT(('CMA Segmentation'!$M$80:$M$166=TRUE)*($AD682='CMA Segmentation'!$AK$80:$AK$166)*('Climate-Alignment Target'!F$506='CMA Segmentation'!$Q$79:$V$79)*('CMA Segmentation'!$Q$80:$V$166)),"")</f>
        <v/>
      </c>
      <c r="G682" s="557" t="str" cm="1">
        <f t="array" ref="G682">IF($D682="Climate-alignment target",SUMPRODUCT(('CMA Segmentation'!$M$80:$M$166=TRUE)*($AD682='CMA Segmentation'!$AK$80:$AK$166)*('Climate-Alignment Target'!G$506='CMA Segmentation'!$Q$79:$V$79)*('CMA Segmentation'!$Q$80:$V$166)),"")</f>
        <v/>
      </c>
      <c r="H682" s="557" t="str" cm="1">
        <f t="array" ref="H682">IF($D682="Climate-alignment target",SUMPRODUCT(('CMA Segmentation'!$M$80:$M$166=TRUE)*($AD682='CMA Segmentation'!$AK$80:$AK$166)*('Climate-Alignment Target'!H$506='CMA Segmentation'!$Q$79:$V$79)*('CMA Segmentation'!$Q$80:$V$166)),"")</f>
        <v/>
      </c>
      <c r="I682" s="557" t="str" cm="1">
        <f t="array" ref="I682">IF($D682="Climate-alignment target",SUMPRODUCT(('CMA Segmentation'!$M$80:$M$166=TRUE)*($AD682='CMA Segmentation'!$AK$80:$AK$166)*('Climate-Alignment Target'!I$506='CMA Segmentation'!$Q$79:$V$79)*('CMA Segmentation'!$Q$80:$V$166)),"")</f>
        <v/>
      </c>
      <c r="J682" s="557" t="str" cm="1">
        <f t="array" ref="J682">IF($D682="Climate-alignment target",SUMPRODUCT(('CMA Segmentation'!$M$80:$M$166=TRUE)*($AD682='CMA Segmentation'!$AK$80:$AK$166)*('Climate-Alignment Target'!J$506='CMA Segmentation'!$Q$79:$V$79)*('CMA Segmentation'!$Q$80:$V$166)),"")</f>
        <v/>
      </c>
      <c r="K682" s="557" t="str">
        <f t="shared" ref="K682" si="461">IF(D682&lt;&gt;"Climate-alignment target","",SUM(F682:J682))</f>
        <v/>
      </c>
      <c r="L682" s="557" t="str">
        <f t="shared" ref="L682" si="462">IF(AND(E682=K682,D682="Climate-alignment target"),"OK",IF(D682="Sector target","OK - covered by sector target",IF(AND(E682=0,D682="No target type selected"),"","Select a target type")))</f>
        <v/>
      </c>
      <c r="M682" s="562">
        <f>IF(SUM(F682:J682)=0,0,SUM(H682:J682)/(SUM(F682:J682)))</f>
        <v>0</v>
      </c>
      <c r="N682" s="915"/>
      <c r="O682" s="563"/>
      <c r="P682" s="562" t="str">
        <f t="shared" ref="P682" si="463">IF(AND($D682="Climate-alignment target",$N$661&lt;&gt;""),IF(M682&gt;$Z682,M682,(M682+($Z682-M682)/($Y682-$I$619)*($N$661-$I$619))),"")</f>
        <v/>
      </c>
      <c r="Q682" s="560" t="str">
        <f t="shared" ref="Q682" si="464">IF(O682="","",IF(O682-P682&gt;=0,"OK","Minimum ambition not met, please increase ambition"))</f>
        <v/>
      </c>
      <c r="R682" s="16"/>
      <c r="U682" s="1"/>
      <c r="V682" s="1"/>
      <c r="W682" s="26"/>
      <c r="X682" s="113" t="s">
        <v>378</v>
      </c>
      <c r="Y682" s="113">
        <f t="shared" ref="Y682" si="465">_xlfn.XLOOKUP($X682,$AB$17:$AB$24,AE$17:AE$24,0,0)</f>
        <v>2050</v>
      </c>
      <c r="Z682" s="113">
        <f t="shared" ref="Z682" si="466">_xlfn.XLOOKUP($X682,$AB$17:$AB$24,AF$17:AF$24,0,0)</f>
        <v>0.95</v>
      </c>
      <c r="AA682" s="121"/>
      <c r="AB682" s="121" t="str">
        <f t="shared" ref="AB682" si="467">IF($D682&lt;&gt;"Climate-alignment target","",O682*K682)</f>
        <v/>
      </c>
      <c r="AC682" s="121" t="str">
        <f t="shared" ref="AC682" si="468">IF($D682&lt;&gt;"Climate-alignment target","",K682)</f>
        <v/>
      </c>
      <c r="AD682" s="107" t="s">
        <v>214</v>
      </c>
    </row>
    <row r="683" spans="1:30" ht="51" hidden="1" customHeight="1" outlineLevel="3">
      <c r="A683" s="340" t="s">
        <v>130</v>
      </c>
      <c r="B683" s="340" t="s">
        <v>129</v>
      </c>
      <c r="C683" s="927"/>
      <c r="D683" s="333" t="str">
        <f>IF(SUMIF('CMA Segmentation'!$AK$80:$AK$166,'Climate-Alignment Target'!AD683,'CMA Segmentation'!$AL$80:$AL$166)&gt;0,"Climate-alignment target",IF(SUMIF('CMA Segmentation'!$AK$80:$AK$166,'Climate-Alignment Target'!AD683,'CMA Segmentation'!$AM$80:$AM$166)&gt;0,"Sector target","No target type selected"))</f>
        <v>No target type selected</v>
      </c>
      <c r="E683" s="557" cm="1">
        <f t="array" ref="E683">SUMPRODUCT(('CMA Segmentation'!$M$80:$M$166=TRUE)*($AD683='CMA Segmentation'!$AK$80:$AK$166)*('Climate-Alignment Target'!E$506='CMA Segmentation'!$Q$79:$V$79)*('CMA Segmentation'!$Q$80:$V$166))</f>
        <v>0</v>
      </c>
      <c r="F683" s="557" t="str" cm="1">
        <f t="array" ref="F683">IF($D683="Climate-alignment target",SUMPRODUCT(('CMA Segmentation'!$M$80:$M$166=TRUE)*($AD683='CMA Segmentation'!$AK$80:$AK$166)*('Climate-Alignment Target'!F$506='CMA Segmentation'!$Q$79:$V$79)*('CMA Segmentation'!$Q$80:$V$166)),"")</f>
        <v/>
      </c>
      <c r="G683" s="557" t="str" cm="1">
        <f t="array" ref="G683">IF($D683="Climate-alignment target",SUMPRODUCT(('CMA Segmentation'!$M$80:$M$166=TRUE)*($AD683='CMA Segmentation'!$AK$80:$AK$166)*('Climate-Alignment Target'!G$506='CMA Segmentation'!$Q$79:$V$79)*('CMA Segmentation'!$Q$80:$V$166)),"")</f>
        <v/>
      </c>
      <c r="H683" s="557" t="str" cm="1">
        <f t="array" ref="H683">IF($D683="Climate-alignment target",SUMPRODUCT(('CMA Segmentation'!$M$80:$M$166=TRUE)*($AD683='CMA Segmentation'!$AK$80:$AK$166)*('Climate-Alignment Target'!H$506='CMA Segmentation'!$Q$79:$V$79)*('CMA Segmentation'!$Q$80:$V$166)),"")</f>
        <v/>
      </c>
      <c r="I683" s="557" t="str" cm="1">
        <f t="array" ref="I683">IF($D683="Climate-alignment target",SUMPRODUCT(('CMA Segmentation'!$M$80:$M$166=TRUE)*($AD683='CMA Segmentation'!$AK$80:$AK$166)*('Climate-Alignment Target'!I$506='CMA Segmentation'!$Q$79:$V$79)*('CMA Segmentation'!$Q$80:$V$166)),"")</f>
        <v/>
      </c>
      <c r="J683" s="557" t="str" cm="1">
        <f t="array" ref="J683">IF($D683="Climate-alignment target",SUMPRODUCT(('CMA Segmentation'!$M$80:$M$166=TRUE)*($AD683='CMA Segmentation'!$AK$80:$AK$166)*('Climate-Alignment Target'!J$506='CMA Segmentation'!$Q$79:$V$79)*('CMA Segmentation'!$Q$80:$V$166)),"")</f>
        <v/>
      </c>
      <c r="K683" s="557" t="str">
        <f t="shared" si="452"/>
        <v/>
      </c>
      <c r="L683" s="557" t="str">
        <f t="shared" si="456"/>
        <v/>
      </c>
      <c r="M683" s="562">
        <f>IF(SUM(F683:J683)=0,0,SUM(H683:J683)/(SUM(F683:J683)))</f>
        <v>0</v>
      </c>
      <c r="N683" s="915"/>
      <c r="O683" s="563"/>
      <c r="P683" s="562" t="str">
        <f t="shared" si="457"/>
        <v/>
      </c>
      <c r="Q683" s="560" t="str">
        <f t="shared" si="458"/>
        <v/>
      </c>
      <c r="R683" s="16"/>
      <c r="U683" s="1"/>
      <c r="V683" s="1"/>
      <c r="W683" s="26"/>
      <c r="X683" s="113" t="s">
        <v>376</v>
      </c>
      <c r="Y683" s="113">
        <f t="shared" si="454"/>
        <v>2040</v>
      </c>
      <c r="Z683" s="113">
        <f t="shared" si="455"/>
        <v>0.95</v>
      </c>
      <c r="AA683" s="121"/>
      <c r="AB683" s="121" t="str">
        <f t="shared" si="459"/>
        <v/>
      </c>
      <c r="AC683" s="121" t="str">
        <f t="shared" si="460"/>
        <v/>
      </c>
      <c r="AD683" s="107" t="s">
        <v>213</v>
      </c>
    </row>
    <row r="684" spans="1:30" ht="15" hidden="1" customHeight="1" outlineLevel="3">
      <c r="B684" s="1"/>
      <c r="C684" s="1"/>
      <c r="D684" s="1"/>
      <c r="E684" s="1"/>
      <c r="F684" s="1"/>
      <c r="G684" s="20"/>
      <c r="H684" s="1"/>
      <c r="I684" s="1"/>
      <c r="Q684" s="608"/>
      <c r="R684" s="608"/>
      <c r="S684" s="608"/>
      <c r="T684" s="608"/>
      <c r="Z684" s="121"/>
    </row>
    <row r="685" spans="1:30" ht="15" hidden="1" customHeight="1" outlineLevel="3">
      <c r="A685" s="858" t="s">
        <v>402</v>
      </c>
      <c r="B685" s="858"/>
      <c r="C685" s="858"/>
      <c r="D685" s="858"/>
      <c r="E685" s="858"/>
      <c r="F685" s="858"/>
      <c r="G685" s="858"/>
      <c r="H685" s="858"/>
      <c r="I685" s="858"/>
      <c r="J685" s="858"/>
      <c r="K685" s="858"/>
      <c r="L685" s="858"/>
      <c r="M685" s="858"/>
      <c r="N685" s="858"/>
      <c r="O685" s="858"/>
      <c r="P685" s="858"/>
      <c r="Q685" s="858"/>
      <c r="R685" s="858"/>
      <c r="S685" s="858"/>
      <c r="T685" s="858"/>
      <c r="U685" s="70"/>
      <c r="V685" s="70"/>
      <c r="W685" s="70"/>
      <c r="X685" s="123"/>
    </row>
    <row r="686" spans="1:30" ht="6.75" hidden="1" customHeight="1" outlineLevel="3">
      <c r="B686" s="1"/>
      <c r="C686" s="1"/>
      <c r="D686" s="1"/>
      <c r="E686" s="1"/>
      <c r="F686" s="1"/>
      <c r="G686" s="21"/>
      <c r="H686" s="1"/>
      <c r="I686" s="1"/>
      <c r="N686" s="608"/>
      <c r="O686" s="608"/>
      <c r="P686" s="608"/>
      <c r="Z686" s="121"/>
      <c r="AA686" s="121"/>
    </row>
    <row r="687" spans="1:30" ht="30" hidden="1" customHeight="1" outlineLevel="3">
      <c r="A687" s="885" t="s">
        <v>99</v>
      </c>
      <c r="B687" s="885"/>
      <c r="C687" s="912" t="s">
        <v>364</v>
      </c>
      <c r="D687" s="798" t="s">
        <v>403</v>
      </c>
      <c r="E687" s="885" t="s">
        <v>365</v>
      </c>
      <c r="F687" s="885"/>
      <c r="G687" s="885"/>
      <c r="H687" s="885"/>
      <c r="I687" s="885"/>
      <c r="J687" s="885"/>
      <c r="K687" s="885"/>
      <c r="L687" s="885"/>
      <c r="M687" s="798" t="s">
        <v>809</v>
      </c>
      <c r="N687" s="885" t="s">
        <v>366</v>
      </c>
      <c r="O687" s="885"/>
      <c r="P687" s="885"/>
      <c r="Q687" s="834" t="s">
        <v>367</v>
      </c>
      <c r="R687" s="868"/>
      <c r="S687" s="868"/>
      <c r="T687" s="835"/>
      <c r="W687" s="1"/>
      <c r="X687" s="121"/>
    </row>
    <row r="688" spans="1:30" ht="68" hidden="1" outlineLevel="3">
      <c r="A688" s="885"/>
      <c r="B688" s="885"/>
      <c r="C688" s="912"/>
      <c r="D688" s="798"/>
      <c r="E688" s="36" t="s">
        <v>106</v>
      </c>
      <c r="F688" s="554" t="s">
        <v>101</v>
      </c>
      <c r="G688" s="554" t="s">
        <v>102</v>
      </c>
      <c r="H688" s="558" t="s">
        <v>103</v>
      </c>
      <c r="I688" s="558" t="s">
        <v>104</v>
      </c>
      <c r="J688" s="554" t="s">
        <v>105</v>
      </c>
      <c r="K688" s="798" t="s">
        <v>807</v>
      </c>
      <c r="L688" s="798" t="s">
        <v>808</v>
      </c>
      <c r="M688" s="798"/>
      <c r="N688" s="885" t="s">
        <v>822</v>
      </c>
      <c r="O688" s="885" t="s">
        <v>826</v>
      </c>
      <c r="P688" s="885" t="s">
        <v>824</v>
      </c>
      <c r="Q688" s="885" t="s">
        <v>810</v>
      </c>
      <c r="R688" s="885" t="s">
        <v>811</v>
      </c>
      <c r="S688" s="885" t="s">
        <v>812</v>
      </c>
      <c r="T688" s="798" t="s">
        <v>813</v>
      </c>
      <c r="V688" s="1"/>
      <c r="W688" s="68"/>
    </row>
    <row r="689" spans="1:35" ht="23.25" hidden="1" customHeight="1" outlineLevel="3">
      <c r="A689" s="885"/>
      <c r="B689" s="885"/>
      <c r="C689" s="912"/>
      <c r="D689" s="798"/>
      <c r="E689" s="40" t="s">
        <v>819</v>
      </c>
      <c r="F689" s="928" t="s">
        <v>806</v>
      </c>
      <c r="G689" s="929"/>
      <c r="H689" s="929"/>
      <c r="I689" s="929"/>
      <c r="J689" s="929"/>
      <c r="K689" s="798"/>
      <c r="L689" s="798"/>
      <c r="M689" s="798"/>
      <c r="N689" s="885"/>
      <c r="O689" s="885"/>
      <c r="P689" s="885"/>
      <c r="Q689" s="885"/>
      <c r="R689" s="885"/>
      <c r="S689" s="885"/>
      <c r="T689" s="798"/>
      <c r="V689" s="1"/>
      <c r="W689" s="68"/>
    </row>
    <row r="690" spans="1:35" ht="30" hidden="1" customHeight="1" outlineLevel="3">
      <c r="A690" s="916" t="s">
        <v>113</v>
      </c>
      <c r="B690" s="916"/>
      <c r="C690" s="901" t="s">
        <v>356</v>
      </c>
      <c r="D690" s="930" t="s">
        <v>404</v>
      </c>
      <c r="E690" s="557">
        <f>SUMIFS(K$661:K$683,$A$661:$A$683,$A690)</f>
        <v>0</v>
      </c>
      <c r="F690" s="557">
        <f t="shared" ref="F690:J693" si="469">SUMIFS(F$661:F$683,$A$661:$A$683,$A690,$D$661:$D$683,$D$231)</f>
        <v>0</v>
      </c>
      <c r="G690" s="557">
        <f t="shared" si="469"/>
        <v>0</v>
      </c>
      <c r="H690" s="557">
        <f t="shared" si="469"/>
        <v>0</v>
      </c>
      <c r="I690" s="557">
        <f t="shared" si="469"/>
        <v>0</v>
      </c>
      <c r="J690" s="557">
        <f t="shared" si="469"/>
        <v>0</v>
      </c>
      <c r="K690" s="557" t="str">
        <f t="shared" ref="K690:K693" si="470">IF(E690=0,"",SUM(F690:J690))</f>
        <v/>
      </c>
      <c r="L690" s="557" t="str">
        <f>IF(E690=0,"",IF(E690-K690=0,"OK","Review financial exposure"))</f>
        <v/>
      </c>
      <c r="M690" s="562">
        <f>IF(SUM(F690:J690)=0,0,(H690+I690+J690)/(SUM(F690:J690)))</f>
        <v>0</v>
      </c>
      <c r="N690" s="902">
        <f>N661</f>
        <v>0</v>
      </c>
      <c r="O690" s="562" t="str">
        <f>IFERROR(SUMIF($A$661:$A$683,$A690,$AB$661:$AB$683)/SUMIF($A$661:$A$683,$A690,$AC$661:$AC$683),"")</f>
        <v/>
      </c>
      <c r="P690" s="933" t="str">
        <f>IFERROR(SUMPRODUCT(O690:O693,K690:K693)/SUM(K690:K693),"")</f>
        <v/>
      </c>
      <c r="Q690" s="908"/>
      <c r="R690" s="909"/>
      <c r="S690" s="897" t="str">
        <f>IF(Q690="","",95%)</f>
        <v/>
      </c>
      <c r="T690" s="898" t="str">
        <f>IF(R690="","",IF(R690-S690&gt;=0,"OK","Minimum ambition not met, please increase ambition"))</f>
        <v/>
      </c>
      <c r="V690" s="1"/>
      <c r="W690" s="68"/>
      <c r="X690" s="107"/>
      <c r="AI690" s="120" t="s">
        <v>441</v>
      </c>
    </row>
    <row r="691" spans="1:35" ht="30" hidden="1" customHeight="1" outlineLevel="3">
      <c r="A691" s="916" t="s">
        <v>121</v>
      </c>
      <c r="B691" s="916"/>
      <c r="C691" s="901"/>
      <c r="D691" s="931"/>
      <c r="E691" s="557">
        <f>SUMIFS(K$661:K$683,$A$661:$A$683,$A691)</f>
        <v>0</v>
      </c>
      <c r="F691" s="557">
        <f t="shared" si="469"/>
        <v>0</v>
      </c>
      <c r="G691" s="557">
        <f t="shared" si="469"/>
        <v>0</v>
      </c>
      <c r="H691" s="557">
        <f t="shared" si="469"/>
        <v>0</v>
      </c>
      <c r="I691" s="557">
        <f t="shared" si="469"/>
        <v>0</v>
      </c>
      <c r="J691" s="557">
        <f t="shared" si="469"/>
        <v>0</v>
      </c>
      <c r="K691" s="557" t="str">
        <f t="shared" si="470"/>
        <v/>
      </c>
      <c r="L691" s="557" t="str">
        <f t="shared" ref="L691:L693" si="471">IF(E691=0,"",IF(E691-K691=0,"OK","Review financial exposure"))</f>
        <v/>
      </c>
      <c r="M691" s="562">
        <f>IF(SUM(F691:J691)=0,0,(H691+I691+J691)/(SUM(F691:J691)))</f>
        <v>0</v>
      </c>
      <c r="N691" s="903"/>
      <c r="O691" s="562" t="str">
        <f>IFERROR(SUMIF($A$661:$A$683,$A691,$AB$661:$AB$683)/SUMIF($A$661:$A$683,$A691,$AC$661:$AC$683),"")</f>
        <v/>
      </c>
      <c r="P691" s="933"/>
      <c r="Q691" s="908"/>
      <c r="R691" s="909"/>
      <c r="S691" s="897"/>
      <c r="T691" s="898"/>
      <c r="V691" s="1"/>
      <c r="W691" s="68"/>
      <c r="X691" s="107"/>
    </row>
    <row r="692" spans="1:35" ht="30" hidden="1" customHeight="1" outlineLevel="3">
      <c r="A692" s="916" t="s">
        <v>130</v>
      </c>
      <c r="B692" s="916"/>
      <c r="C692" s="901"/>
      <c r="D692" s="931"/>
      <c r="E692" s="557">
        <f>SUMIFS(K$661:K$683,$A$661:$A$683,$A692)</f>
        <v>0</v>
      </c>
      <c r="F692" s="557">
        <f t="shared" si="469"/>
        <v>0</v>
      </c>
      <c r="G692" s="557">
        <f t="shared" si="469"/>
        <v>0</v>
      </c>
      <c r="H692" s="557">
        <f t="shared" si="469"/>
        <v>0</v>
      </c>
      <c r="I692" s="557">
        <f t="shared" si="469"/>
        <v>0</v>
      </c>
      <c r="J692" s="557">
        <f t="shared" si="469"/>
        <v>0</v>
      </c>
      <c r="K692" s="557" t="str">
        <f t="shared" si="470"/>
        <v/>
      </c>
      <c r="L692" s="557" t="str">
        <f t="shared" si="471"/>
        <v/>
      </c>
      <c r="M692" s="562">
        <f>IF(SUM(F692:J692)=0,0,(H692+I692+J692)/(SUM(F692:J692)))</f>
        <v>0</v>
      </c>
      <c r="N692" s="903"/>
      <c r="O692" s="562" t="str">
        <f>IFERROR(SUMIF($A$661:$A$683,$A692,$AB$661:$AB$683)/SUMIF($A$661:$A$683,$A692,$AC$661:$AC$683),"")</f>
        <v/>
      </c>
      <c r="P692" s="933"/>
      <c r="Q692" s="908"/>
      <c r="R692" s="909"/>
      <c r="S692" s="897"/>
      <c r="T692" s="898"/>
      <c r="V692" s="1"/>
      <c r="W692" s="24"/>
      <c r="X692" s="108"/>
      <c r="Y692" s="108"/>
      <c r="Z692" s="108"/>
      <c r="AA692" s="108"/>
      <c r="AB692" s="108"/>
      <c r="AC692" s="107"/>
    </row>
    <row r="693" spans="1:35" ht="30" hidden="1" customHeight="1" outlineLevel="3">
      <c r="A693" s="916" t="s">
        <v>136</v>
      </c>
      <c r="B693" s="916"/>
      <c r="C693" s="901"/>
      <c r="D693" s="932"/>
      <c r="E693" s="557">
        <f>SUMIFS(K$661:K$683,$A$661:$A$683,$A693)</f>
        <v>0</v>
      </c>
      <c r="F693" s="557">
        <f t="shared" si="469"/>
        <v>0</v>
      </c>
      <c r="G693" s="557">
        <f t="shared" si="469"/>
        <v>0</v>
      </c>
      <c r="H693" s="557">
        <f t="shared" si="469"/>
        <v>0</v>
      </c>
      <c r="I693" s="557">
        <f t="shared" si="469"/>
        <v>0</v>
      </c>
      <c r="J693" s="557">
        <f t="shared" si="469"/>
        <v>0</v>
      </c>
      <c r="K693" s="557" t="str">
        <f t="shared" si="470"/>
        <v/>
      </c>
      <c r="L693" s="557" t="str">
        <f t="shared" si="471"/>
        <v/>
      </c>
      <c r="M693" s="562">
        <f>IF(SUM(F693:J693)=0,0,(H693+I693+J693)/(SUM(F693:J693)))</f>
        <v>0</v>
      </c>
      <c r="N693" s="904"/>
      <c r="O693" s="562" t="str">
        <f>IFERROR(SUMIF($A$661:$A$683,$A693,$AB$661:$AB$683)/SUMIF($A$661:$A$683,$A693,$AC$661:$AC$683),"")</f>
        <v/>
      </c>
      <c r="P693" s="933"/>
      <c r="Q693" s="908"/>
      <c r="R693" s="909"/>
      <c r="S693" s="897"/>
      <c r="T693" s="898"/>
      <c r="V693" s="1"/>
      <c r="W693" s="24"/>
      <c r="X693" s="107"/>
    </row>
    <row r="694" spans="1:35" ht="13.5" hidden="1" customHeight="1" outlineLevel="2"/>
    <row r="695" spans="1:35" ht="13.5" hidden="1" customHeight="1" outlineLevel="2"/>
    <row r="696" spans="1:35" ht="15.75" hidden="1" customHeight="1" outlineLevel="2" collapsed="1">
      <c r="A696" s="867" t="s">
        <v>380</v>
      </c>
      <c r="B696" s="867"/>
      <c r="C696" s="867"/>
      <c r="D696" s="556"/>
      <c r="E696" s="556"/>
      <c r="F696" s="64"/>
      <c r="G696" s="64"/>
      <c r="H696" s="64"/>
      <c r="I696" s="64"/>
      <c r="J696" s="64"/>
      <c r="K696" s="64"/>
      <c r="L696" s="64"/>
      <c r="M696" s="64"/>
      <c r="N696" s="64"/>
      <c r="O696" s="64"/>
      <c r="P696" s="64"/>
      <c r="Q696" s="64"/>
      <c r="R696" s="64"/>
      <c r="S696" s="64"/>
      <c r="T696" s="64"/>
      <c r="U696" s="64"/>
      <c r="V696" s="64"/>
    </row>
    <row r="697" spans="1:35" ht="13.5" hidden="1" customHeight="1" outlineLevel="3">
      <c r="A697" s="1"/>
      <c r="B697" s="1"/>
      <c r="C697" s="18"/>
      <c r="D697" s="1"/>
      <c r="E697" s="1"/>
    </row>
    <row r="698" spans="1:35" s="122" customFormat="1" ht="20.25" hidden="1" customHeight="1" outlineLevel="3">
      <c r="A698" s="858" t="s">
        <v>406</v>
      </c>
      <c r="B698" s="858"/>
      <c r="C698" s="858"/>
      <c r="D698" s="858"/>
      <c r="E698" s="858"/>
      <c r="F698" s="858"/>
      <c r="G698" s="858"/>
      <c r="H698" s="858"/>
      <c r="I698" s="858"/>
      <c r="J698" s="858"/>
      <c r="K698" s="858"/>
      <c r="L698" s="858"/>
      <c r="M698" s="858"/>
      <c r="N698" s="858"/>
      <c r="O698" s="858"/>
      <c r="P698" s="858"/>
      <c r="Q698" s="858"/>
      <c r="R698" s="70"/>
      <c r="S698" s="70"/>
      <c r="T698" s="70"/>
      <c r="U698" s="12"/>
      <c r="V698" s="12"/>
      <c r="W698" s="12"/>
    </row>
    <row r="699" spans="1:35" ht="6" hidden="1" customHeight="1" outlineLevel="3">
      <c r="A699" s="1"/>
      <c r="B699" s="917"/>
      <c r="C699" s="917"/>
      <c r="D699" s="917"/>
      <c r="E699" s="917"/>
      <c r="F699" s="917"/>
      <c r="G699" s="917"/>
      <c r="H699" s="17"/>
      <c r="I699" s="17"/>
      <c r="J699" s="17"/>
      <c r="K699" s="17"/>
      <c r="L699" s="17"/>
      <c r="M699" s="17"/>
      <c r="N699" s="17"/>
      <c r="O699" s="17"/>
      <c r="P699" s="17"/>
      <c r="Q699" s="17"/>
      <c r="R699" s="17"/>
      <c r="S699" s="17"/>
      <c r="T699" s="17"/>
      <c r="U699" s="17"/>
      <c r="V699" s="17"/>
      <c r="W699" s="17"/>
      <c r="X699" s="110"/>
      <c r="Y699" s="110"/>
      <c r="Z699" s="110"/>
      <c r="AA699" s="110"/>
    </row>
    <row r="700" spans="1:35" ht="15.75" hidden="1" customHeight="1" outlineLevel="3">
      <c r="A700" s="918" t="s">
        <v>99</v>
      </c>
      <c r="B700" s="918" t="s">
        <v>387</v>
      </c>
      <c r="C700" s="920" t="s">
        <v>364</v>
      </c>
      <c r="D700" s="918" t="s">
        <v>818</v>
      </c>
      <c r="E700" s="885" t="s">
        <v>365</v>
      </c>
      <c r="F700" s="885"/>
      <c r="G700" s="885"/>
      <c r="H700" s="885"/>
      <c r="I700" s="885"/>
      <c r="J700" s="885"/>
      <c r="K700" s="885"/>
      <c r="L700" s="885"/>
      <c r="M700" s="798" t="s">
        <v>809</v>
      </c>
      <c r="N700" s="887" t="s">
        <v>366</v>
      </c>
      <c r="O700" s="887"/>
      <c r="P700" s="887"/>
      <c r="Q700" s="887"/>
      <c r="R700" s="13"/>
      <c r="S700" s="17"/>
      <c r="T700" s="17"/>
      <c r="U700" s="17"/>
      <c r="V700" s="17"/>
      <c r="W700" s="17"/>
      <c r="X700" s="110"/>
    </row>
    <row r="701" spans="1:35" ht="78" hidden="1" customHeight="1" outlineLevel="3">
      <c r="A701" s="918"/>
      <c r="B701" s="918"/>
      <c r="C701" s="920"/>
      <c r="D701" s="918"/>
      <c r="E701" s="36" t="s">
        <v>106</v>
      </c>
      <c r="F701" s="554" t="s">
        <v>101</v>
      </c>
      <c r="G701" s="554" t="s">
        <v>102</v>
      </c>
      <c r="H701" s="558" t="s">
        <v>103</v>
      </c>
      <c r="I701" s="558" t="s">
        <v>104</v>
      </c>
      <c r="J701" s="554" t="s">
        <v>105</v>
      </c>
      <c r="K701" s="798" t="s">
        <v>807</v>
      </c>
      <c r="L701" s="798" t="s">
        <v>808</v>
      </c>
      <c r="M701" s="798"/>
      <c r="N701" s="922" t="s">
        <v>810</v>
      </c>
      <c r="O701" s="923" t="s">
        <v>811</v>
      </c>
      <c r="P701" s="922" t="s">
        <v>821</v>
      </c>
      <c r="Q701" s="924" t="s">
        <v>813</v>
      </c>
      <c r="R701" s="13"/>
      <c r="S701" s="17"/>
      <c r="T701" s="66"/>
      <c r="U701" s="67"/>
      <c r="V701" s="1"/>
      <c r="W701" s="27"/>
      <c r="X701" s="110"/>
      <c r="Y701" s="110"/>
      <c r="Z701" s="110"/>
    </row>
    <row r="702" spans="1:35" ht="90" hidden="1" customHeight="1" outlineLevel="3">
      <c r="A702" s="919"/>
      <c r="B702" s="919"/>
      <c r="C702" s="921"/>
      <c r="D702" s="919"/>
      <c r="E702" s="40" t="s">
        <v>819</v>
      </c>
      <c r="F702" s="925" t="s">
        <v>817</v>
      </c>
      <c r="G702" s="926"/>
      <c r="H702" s="926"/>
      <c r="I702" s="926"/>
      <c r="J702" s="926"/>
      <c r="K702" s="798"/>
      <c r="L702" s="798"/>
      <c r="M702" s="798"/>
      <c r="N702" s="922"/>
      <c r="O702" s="924"/>
      <c r="P702" s="922"/>
      <c r="Q702" s="924"/>
      <c r="R702" s="13"/>
      <c r="U702" s="1"/>
      <c r="V702" s="1"/>
      <c r="W702" s="27"/>
      <c r="X702" s="110"/>
      <c r="Y702" s="110"/>
      <c r="Z702" s="110"/>
      <c r="AA702" s="110" t="s">
        <v>388</v>
      </c>
      <c r="AB702" s="110" t="s">
        <v>389</v>
      </c>
      <c r="AC702" s="110" t="s">
        <v>390</v>
      </c>
    </row>
    <row r="703" spans="1:35" ht="50" hidden="1" customHeight="1" outlineLevel="3">
      <c r="A703" s="894" t="s">
        <v>113</v>
      </c>
      <c r="B703" s="886" t="s">
        <v>391</v>
      </c>
      <c r="C703" s="333" t="s">
        <v>369</v>
      </c>
      <c r="D703" s="333" t="str">
        <f>_xlfn.XLOOKUP(AC703,$AD$661:$AD$683,$D$661:$D$683,"No target",0)</f>
        <v>No target type selected</v>
      </c>
      <c r="E703" s="892" cm="1">
        <f t="array" ref="E703">SUMPRODUCT(('CMA Segmentation'!$M$80:$M$166=TRUE)*($AC703='CMA Segmentation'!$AK$80:$AK$166)*('Climate-Alignment Target'!E$242='CMA Segmentation'!$Q$79:$V$79)*('CMA Segmentation'!$Q$80:$V$166))</f>
        <v>0</v>
      </c>
      <c r="F703" s="5"/>
      <c r="G703" s="5"/>
      <c r="H703" s="5"/>
      <c r="I703" s="5"/>
      <c r="J703" s="5"/>
      <c r="K703" s="557" t="str">
        <f>IF(D703&lt;&gt;"Climate-alignment target","",SUM(F703:J703))</f>
        <v/>
      </c>
      <c r="L703" s="712" t="str">
        <f>IF(K703="","",IF(E703=(K703+K704),"OK",IF(D703="Sector target","OK - covered by sector target",IF(AND(E703=0,D703="No target type selected"),"OK","Review financial exposure"))))</f>
        <v/>
      </c>
      <c r="M703" s="562">
        <f>IF(SUM(F703:J703)=0,0,SUM(H703:J703)/(SUM(F703:J703)))</f>
        <v>0</v>
      </c>
      <c r="N703" s="915"/>
      <c r="O703" s="563"/>
      <c r="P703" s="562" t="str">
        <f t="shared" ref="P703:P748" si="472">IF(AND($D703="Climate-alignment target",$N$703&lt;&gt;""),IF(M703&gt;$Z703,M703,(M703+($Z703-M703)/($Y703-$I$9)*($N$92-$I$9))),"")</f>
        <v/>
      </c>
      <c r="Q703" s="560" t="str">
        <f>IF(O703="","",IF(O703-P703&gt;=0,"OK","Minimum ambition not met, please increase ambition"))</f>
        <v/>
      </c>
      <c r="R703" s="16"/>
      <c r="T703" s="121" t="s">
        <v>113</v>
      </c>
      <c r="U703" s="1"/>
      <c r="V703" s="1"/>
      <c r="W703" s="26"/>
      <c r="X703" s="113" t="s">
        <v>368</v>
      </c>
      <c r="Y703" s="113">
        <f t="shared" ref="Y703:Y748" si="473">_xlfn.XLOOKUP($X703,$AB$17:$AB$24,AE$17:AE$24,0,0)</f>
        <v>2035</v>
      </c>
      <c r="Z703" s="113">
        <f t="shared" ref="Z703:Z748" si="474">_xlfn.XLOOKUP($X703,$AB$17:$AB$24,AF$17:AF$24,0,0)</f>
        <v>0.95</v>
      </c>
      <c r="AA703" s="121" t="str">
        <f>IF($D703&lt;&gt;"Climate-alignment target","",O703*K703)</f>
        <v/>
      </c>
      <c r="AB703" s="121" t="str">
        <f>IF($D703&lt;&gt;"Climate-alignment target","",K703)</f>
        <v/>
      </c>
      <c r="AC703" s="107" t="s">
        <v>171</v>
      </c>
    </row>
    <row r="704" spans="1:35" ht="50" hidden="1" customHeight="1" outlineLevel="3">
      <c r="A704" s="895"/>
      <c r="B704" s="886"/>
      <c r="C704" s="333" t="s">
        <v>372</v>
      </c>
      <c r="D704" s="333" t="str">
        <f>D703</f>
        <v>No target type selected</v>
      </c>
      <c r="E704" s="893"/>
      <c r="F704" s="5"/>
      <c r="G704" s="5"/>
      <c r="H704" s="5"/>
      <c r="I704" s="5"/>
      <c r="J704" s="5"/>
      <c r="K704" s="557" t="str">
        <f>IF(D704&lt;&gt;"Climate-alignment target","",SUM(F704:J704))</f>
        <v/>
      </c>
      <c r="L704" s="713"/>
      <c r="M704" s="562">
        <f>IF(SUM(F704:J704)=0,0,SUM(H704:J704)/(SUM(F704:J704)))</f>
        <v>0</v>
      </c>
      <c r="N704" s="915"/>
      <c r="O704" s="563"/>
      <c r="P704" s="562" t="str">
        <f t="shared" si="472"/>
        <v/>
      </c>
      <c r="Q704" s="560" t="str">
        <f t="shared" ref="Q704:Q748" si="475">IF(O704="","",IF(O704-P704&gt;=0,"OK","Minimum ambition not met, please increase ambition"))</f>
        <v/>
      </c>
      <c r="R704" s="16"/>
      <c r="T704" s="121" t="s">
        <v>113</v>
      </c>
      <c r="U704" s="1"/>
      <c r="V704" s="1"/>
      <c r="W704" s="26"/>
      <c r="X704" s="113" t="s">
        <v>371</v>
      </c>
      <c r="Y704" s="113">
        <f t="shared" si="473"/>
        <v>2035</v>
      </c>
      <c r="Z704" s="113">
        <f t="shared" si="474"/>
        <v>0.85</v>
      </c>
      <c r="AA704" s="121" t="str">
        <f t="shared" ref="AA704:AA748" si="476">IF($D704&lt;&gt;"Climate-alignment target","",O704*K704)</f>
        <v/>
      </c>
      <c r="AB704" s="121" t="str">
        <f t="shared" ref="AB704:AB748" si="477">IF($D704&lt;&gt;"Climate-alignment target","",K704)</f>
        <v/>
      </c>
      <c r="AC704" s="107"/>
    </row>
    <row r="705" spans="1:29" ht="50" hidden="1" customHeight="1" outlineLevel="3">
      <c r="A705" s="895"/>
      <c r="B705" s="886" t="s">
        <v>392</v>
      </c>
      <c r="C705" s="333" t="s">
        <v>369</v>
      </c>
      <c r="D705" s="333" t="str">
        <f>_xlfn.XLOOKUP(AC705,$AD$661:$AD$683,$D$661:$D$683,"No target",0)</f>
        <v>No target type selected</v>
      </c>
      <c r="E705" s="892" cm="1">
        <f t="array" ref="E705">SUMPRODUCT(('CMA Segmentation'!$M$80:$M$166=TRUE)*($AC705='CMA Segmentation'!$AK$80:$AK$166)*('Climate-Alignment Target'!E$242='CMA Segmentation'!$Q$79:$V$79)*('CMA Segmentation'!$Q$80:$V$166))</f>
        <v>0</v>
      </c>
      <c r="F705" s="5"/>
      <c r="G705" s="5"/>
      <c r="H705" s="5"/>
      <c r="I705" s="5"/>
      <c r="J705" s="5"/>
      <c r="K705" s="557" t="str">
        <f t="shared" ref="K705:K748" si="478">IF(D705&lt;&gt;"Climate-alignment target","",SUM(F705:J705))</f>
        <v/>
      </c>
      <c r="L705" s="712" t="str">
        <f>IF(K705="","",IF(E705=(K705+K706),"OK",IF(D705="Sector target","OK - covered by sector target",IF(AND(E705=0,D705="No target type selected"),"OK","Review financial exposure"))))</f>
        <v/>
      </c>
      <c r="M705" s="562">
        <f>IF(SUM(F705:J705)=0,0,SUM(H705:J705)/(SUM(F705:J705)))</f>
        <v>0</v>
      </c>
      <c r="N705" s="915"/>
      <c r="O705" s="563"/>
      <c r="P705" s="562" t="str">
        <f t="shared" si="472"/>
        <v/>
      </c>
      <c r="Q705" s="560" t="str">
        <f t="shared" si="475"/>
        <v/>
      </c>
      <c r="R705" s="16"/>
      <c r="T705" s="121" t="s">
        <v>113</v>
      </c>
      <c r="U705" s="1"/>
      <c r="V705" s="1"/>
      <c r="W705" s="26"/>
      <c r="X705" s="113" t="s">
        <v>368</v>
      </c>
      <c r="Y705" s="113">
        <f t="shared" si="473"/>
        <v>2035</v>
      </c>
      <c r="Z705" s="113">
        <f t="shared" si="474"/>
        <v>0.95</v>
      </c>
      <c r="AA705" s="121" t="str">
        <f t="shared" si="476"/>
        <v/>
      </c>
      <c r="AB705" s="121" t="str">
        <f t="shared" si="477"/>
        <v/>
      </c>
      <c r="AC705" s="107" t="s">
        <v>172</v>
      </c>
    </row>
    <row r="706" spans="1:29" ht="50" hidden="1" customHeight="1" outlineLevel="3">
      <c r="A706" s="896"/>
      <c r="B706" s="886"/>
      <c r="C706" s="333" t="s">
        <v>372</v>
      </c>
      <c r="D706" s="333" t="str">
        <f t="shared" ref="D706" si="479">D705</f>
        <v>No target type selected</v>
      </c>
      <c r="E706" s="893"/>
      <c r="F706" s="5"/>
      <c r="G706" s="5"/>
      <c r="H706" s="5"/>
      <c r="I706" s="5"/>
      <c r="J706" s="5"/>
      <c r="K706" s="557" t="str">
        <f>IF(D706&lt;&gt;"Climate-alignment target","",SUM(F706:J706))</f>
        <v/>
      </c>
      <c r="L706" s="713"/>
      <c r="M706" s="562">
        <f>IF(SUM(F706:J706)=0,0,SUM(H706:J706)/(SUM(F706:J706)))</f>
        <v>0</v>
      </c>
      <c r="N706" s="915"/>
      <c r="O706" s="563"/>
      <c r="P706" s="562" t="str">
        <f t="shared" si="472"/>
        <v/>
      </c>
      <c r="Q706" s="560" t="str">
        <f t="shared" si="475"/>
        <v/>
      </c>
      <c r="R706" s="16"/>
      <c r="T706" s="121" t="s">
        <v>113</v>
      </c>
      <c r="U706" s="1"/>
      <c r="V706" s="1"/>
      <c r="W706" s="26"/>
      <c r="X706" s="113" t="s">
        <v>371</v>
      </c>
      <c r="Y706" s="113">
        <f t="shared" si="473"/>
        <v>2035</v>
      </c>
      <c r="Z706" s="113">
        <f t="shared" si="474"/>
        <v>0.85</v>
      </c>
      <c r="AA706" s="121" t="str">
        <f t="shared" si="476"/>
        <v/>
      </c>
      <c r="AB706" s="121" t="str">
        <f t="shared" si="477"/>
        <v/>
      </c>
      <c r="AC706" s="107"/>
    </row>
    <row r="707" spans="1:29" ht="50" hidden="1" customHeight="1" outlineLevel="3">
      <c r="A707" s="863" t="s">
        <v>121</v>
      </c>
      <c r="B707" s="340" t="s">
        <v>120</v>
      </c>
      <c r="C707" s="333" t="s">
        <v>369</v>
      </c>
      <c r="D707" s="333" t="str">
        <f t="shared" ref="D707" si="480">_xlfn.XLOOKUP(AC707,$AD$661:$AD$683,$D$661:$D$683,"No target",0)</f>
        <v>No target type selected</v>
      </c>
      <c r="E707" s="892" cm="1">
        <f t="array" ref="E707">SUMPRODUCT(('CMA Segmentation'!$M$80:$M$166=TRUE)*($AC707='CMA Segmentation'!$AK$80:$AK$166)*('Climate-Alignment Target'!E$242='CMA Segmentation'!$Q$79:$V$79)*('CMA Segmentation'!$Q$80:$V$166))</f>
        <v>0</v>
      </c>
      <c r="F707" s="5"/>
      <c r="G707" s="5"/>
      <c r="H707" s="5"/>
      <c r="I707" s="5"/>
      <c r="J707" s="5"/>
      <c r="K707" s="557" t="str">
        <f t="shared" si="478"/>
        <v/>
      </c>
      <c r="L707" s="712" t="str">
        <f>IF(K707="","",IF(E707=(K707+K708),"OK",IF(D707="Sector target","OK - covered by sector target",IF(AND(E707=0,D707="No target type selected"),"OK","Review financial exposure"))))</f>
        <v/>
      </c>
      <c r="M707" s="562">
        <f t="shared" ref="M707:M748" si="481">IF(SUM(F707:J707)=0,0,SUM(H707:J707)/(SUM(F707:J707)))</f>
        <v>0</v>
      </c>
      <c r="N707" s="915"/>
      <c r="O707" s="563"/>
      <c r="P707" s="562" t="str">
        <f t="shared" si="472"/>
        <v/>
      </c>
      <c r="Q707" s="560" t="str">
        <f>IF(O707="","",IF(O707-P707&gt;=0,"OK","Minimum ambition not met, please increase ambition"))</f>
        <v/>
      </c>
      <c r="R707" s="16"/>
      <c r="T707" s="124" t="s">
        <v>121</v>
      </c>
      <c r="U707" s="1"/>
      <c r="V707" s="1"/>
      <c r="W707" s="26"/>
      <c r="X707" s="113" t="s">
        <v>373</v>
      </c>
      <c r="Y707" s="113">
        <f t="shared" si="473"/>
        <v>2040</v>
      </c>
      <c r="Z707" s="113">
        <f t="shared" si="474"/>
        <v>0.95</v>
      </c>
      <c r="AA707" s="121" t="str">
        <f t="shared" si="476"/>
        <v/>
      </c>
      <c r="AB707" s="121" t="str">
        <f t="shared" si="477"/>
        <v/>
      </c>
      <c r="AC707" s="107" t="s">
        <v>173</v>
      </c>
    </row>
    <row r="708" spans="1:29" ht="50" hidden="1" customHeight="1" outlineLevel="3">
      <c r="A708" s="865"/>
      <c r="B708" s="340" t="s">
        <v>120</v>
      </c>
      <c r="C708" s="333" t="s">
        <v>372</v>
      </c>
      <c r="D708" s="333" t="str">
        <f t="shared" ref="D708" si="482">D707</f>
        <v>No target type selected</v>
      </c>
      <c r="E708" s="893"/>
      <c r="F708" s="5"/>
      <c r="G708" s="5"/>
      <c r="H708" s="5"/>
      <c r="I708" s="5"/>
      <c r="J708" s="5"/>
      <c r="K708" s="557" t="str">
        <f t="shared" si="478"/>
        <v/>
      </c>
      <c r="L708" s="713"/>
      <c r="M708" s="562">
        <f t="shared" si="481"/>
        <v>0</v>
      </c>
      <c r="N708" s="915"/>
      <c r="O708" s="563"/>
      <c r="P708" s="562" t="str">
        <f t="shared" si="472"/>
        <v/>
      </c>
      <c r="Q708" s="560" t="str">
        <f t="shared" si="475"/>
        <v/>
      </c>
      <c r="R708" s="16"/>
      <c r="T708" s="124" t="s">
        <v>121</v>
      </c>
      <c r="U708" s="1"/>
      <c r="V708" s="1"/>
      <c r="W708" s="26"/>
      <c r="X708" s="113" t="s">
        <v>374</v>
      </c>
      <c r="Y708" s="113">
        <f t="shared" si="473"/>
        <v>2040</v>
      </c>
      <c r="Z708" s="113">
        <f t="shared" si="474"/>
        <v>0.85</v>
      </c>
      <c r="AA708" s="121" t="str">
        <f t="shared" si="476"/>
        <v/>
      </c>
      <c r="AB708" s="121" t="str">
        <f t="shared" si="477"/>
        <v/>
      </c>
      <c r="AC708" s="107"/>
    </row>
    <row r="709" spans="1:29" ht="50" hidden="1" customHeight="1" outlineLevel="3">
      <c r="A709" s="863" t="s">
        <v>121</v>
      </c>
      <c r="B709" s="886" t="s">
        <v>393</v>
      </c>
      <c r="C709" s="333" t="s">
        <v>369</v>
      </c>
      <c r="D709" s="333" t="str">
        <f t="shared" ref="D709" si="483">_xlfn.XLOOKUP(AC709,$AD$661:$AD$683,$D$661:$D$683,"No target",0)</f>
        <v>No target type selected</v>
      </c>
      <c r="E709" s="892" cm="1">
        <f t="array" ref="E709">SUMPRODUCT(('CMA Segmentation'!$M$80:$M$166=TRUE)*($AC709='CMA Segmentation'!$AK$80:$AK$166)*('Climate-Alignment Target'!E$242='CMA Segmentation'!$Q$79:$V$79)*('CMA Segmentation'!$Q$80:$V$166))</f>
        <v>0</v>
      </c>
      <c r="F709" s="5"/>
      <c r="G709" s="5"/>
      <c r="H709" s="5"/>
      <c r="I709" s="5"/>
      <c r="J709" s="5"/>
      <c r="K709" s="557" t="str">
        <f t="shared" si="478"/>
        <v/>
      </c>
      <c r="L709" s="712" t="str">
        <f t="shared" ref="L709" si="484">IF(K709="","",IF(E709=(K709+K710),"OK",IF(D709="Sector target","OK - covered by sector target",IF(AND(E709=0,D709="No target type selected"),"OK","Review financial exposure"))))</f>
        <v/>
      </c>
      <c r="M709" s="562">
        <f t="shared" si="481"/>
        <v>0</v>
      </c>
      <c r="N709" s="915"/>
      <c r="O709" s="563"/>
      <c r="P709" s="562" t="str">
        <f t="shared" si="472"/>
        <v/>
      </c>
      <c r="Q709" s="560" t="str">
        <f t="shared" si="475"/>
        <v/>
      </c>
      <c r="R709" s="16"/>
      <c r="T709" s="124" t="s">
        <v>121</v>
      </c>
      <c r="U709" s="1"/>
      <c r="V709" s="1"/>
      <c r="W709" s="26"/>
      <c r="X709" s="113" t="s">
        <v>373</v>
      </c>
      <c r="Y709" s="113">
        <f t="shared" si="473"/>
        <v>2040</v>
      </c>
      <c r="Z709" s="113">
        <f t="shared" si="474"/>
        <v>0.95</v>
      </c>
      <c r="AA709" s="121" t="str">
        <f t="shared" si="476"/>
        <v/>
      </c>
      <c r="AB709" s="121" t="str">
        <f t="shared" si="477"/>
        <v/>
      </c>
      <c r="AC709" s="107" t="s">
        <v>178</v>
      </c>
    </row>
    <row r="710" spans="1:29" ht="50" hidden="1" customHeight="1" outlineLevel="3">
      <c r="A710" s="865"/>
      <c r="B710" s="886"/>
      <c r="C710" s="333" t="s">
        <v>372</v>
      </c>
      <c r="D710" s="333" t="str">
        <f t="shared" ref="D710" si="485">D709</f>
        <v>No target type selected</v>
      </c>
      <c r="E710" s="893"/>
      <c r="F710" s="5"/>
      <c r="G710" s="5"/>
      <c r="H710" s="5"/>
      <c r="I710" s="5"/>
      <c r="J710" s="5"/>
      <c r="K710" s="557" t="str">
        <f t="shared" si="478"/>
        <v/>
      </c>
      <c r="L710" s="713"/>
      <c r="M710" s="562">
        <f t="shared" si="481"/>
        <v>0</v>
      </c>
      <c r="N710" s="915"/>
      <c r="O710" s="563"/>
      <c r="P710" s="562" t="str">
        <f t="shared" si="472"/>
        <v/>
      </c>
      <c r="Q710" s="560" t="str">
        <f t="shared" si="475"/>
        <v/>
      </c>
      <c r="R710" s="16"/>
      <c r="T710" s="124" t="s">
        <v>121</v>
      </c>
      <c r="U710" s="1"/>
      <c r="V710" s="1"/>
      <c r="W710" s="26"/>
      <c r="X710" s="113" t="s">
        <v>374</v>
      </c>
      <c r="Y710" s="113">
        <f t="shared" si="473"/>
        <v>2040</v>
      </c>
      <c r="Z710" s="113">
        <f t="shared" si="474"/>
        <v>0.85</v>
      </c>
      <c r="AA710" s="121" t="str">
        <f t="shared" si="476"/>
        <v/>
      </c>
      <c r="AB710" s="121" t="str">
        <f t="shared" si="477"/>
        <v/>
      </c>
      <c r="AC710" s="107"/>
    </row>
    <row r="711" spans="1:29" ht="50" hidden="1" customHeight="1" outlineLevel="3">
      <c r="A711" s="863" t="s">
        <v>136</v>
      </c>
      <c r="B711" s="886" t="s">
        <v>393</v>
      </c>
      <c r="C711" s="333" t="s">
        <v>369</v>
      </c>
      <c r="D711" s="333" t="str">
        <f t="shared" ref="D711" si="486">_xlfn.XLOOKUP(AC711,$AD$661:$AD$683,$D$661:$D$683,"No target",0)</f>
        <v>No target type selected</v>
      </c>
      <c r="E711" s="892" cm="1">
        <f t="array" ref="E711">SUMPRODUCT(('CMA Segmentation'!$M$80:$M$166=TRUE)*($AC711='CMA Segmentation'!$AK$80:$AK$166)*('Climate-Alignment Target'!E$242='CMA Segmentation'!$Q$79:$V$79)*('CMA Segmentation'!$Q$80:$V$166))</f>
        <v>0</v>
      </c>
      <c r="F711" s="5"/>
      <c r="G711" s="5"/>
      <c r="H711" s="5"/>
      <c r="I711" s="5"/>
      <c r="J711" s="5"/>
      <c r="K711" s="557" t="str">
        <f t="shared" si="478"/>
        <v/>
      </c>
      <c r="L711" s="712" t="str">
        <f t="shared" ref="L711" si="487">IF(K711="","",IF(E711=(K711+K712),"OK",IF(D711="Sector target","OK - covered by sector target",IF(AND(E711=0,D711="No target type selected"),"OK","Review financial exposure"))))</f>
        <v/>
      </c>
      <c r="M711" s="562">
        <f t="shared" si="481"/>
        <v>0</v>
      </c>
      <c r="N711" s="915"/>
      <c r="O711" s="563"/>
      <c r="P711" s="562" t="str">
        <f t="shared" si="472"/>
        <v/>
      </c>
      <c r="Q711" s="560" t="str">
        <f t="shared" si="475"/>
        <v/>
      </c>
      <c r="R711" s="16"/>
      <c r="T711" s="124" t="s">
        <v>136</v>
      </c>
      <c r="U711" s="1"/>
      <c r="V711" s="1"/>
      <c r="W711" s="26"/>
      <c r="X711" s="113" t="s">
        <v>378</v>
      </c>
      <c r="Y711" s="113">
        <f t="shared" si="473"/>
        <v>2050</v>
      </c>
      <c r="Z711" s="113">
        <f t="shared" si="474"/>
        <v>0.95</v>
      </c>
      <c r="AA711" s="121" t="str">
        <f t="shared" si="476"/>
        <v/>
      </c>
      <c r="AB711" s="121" t="str">
        <f t="shared" si="477"/>
        <v/>
      </c>
      <c r="AC711" s="107" t="s">
        <v>216</v>
      </c>
    </row>
    <row r="712" spans="1:29" ht="50" hidden="1" customHeight="1" outlineLevel="3">
      <c r="A712" s="865"/>
      <c r="B712" s="886"/>
      <c r="C712" s="333" t="s">
        <v>372</v>
      </c>
      <c r="D712" s="333" t="str">
        <f t="shared" ref="D712" si="488">D711</f>
        <v>No target type selected</v>
      </c>
      <c r="E712" s="893"/>
      <c r="F712" s="5"/>
      <c r="G712" s="5"/>
      <c r="H712" s="5"/>
      <c r="I712" s="5"/>
      <c r="J712" s="5"/>
      <c r="K712" s="557" t="str">
        <f t="shared" si="478"/>
        <v/>
      </c>
      <c r="L712" s="713"/>
      <c r="M712" s="562">
        <f t="shared" si="481"/>
        <v>0</v>
      </c>
      <c r="N712" s="915"/>
      <c r="O712" s="563"/>
      <c r="P712" s="562" t="str">
        <f t="shared" si="472"/>
        <v/>
      </c>
      <c r="Q712" s="560" t="str">
        <f t="shared" si="475"/>
        <v/>
      </c>
      <c r="R712" s="16"/>
      <c r="T712" s="124" t="s">
        <v>136</v>
      </c>
      <c r="U712" s="1"/>
      <c r="V712" s="1"/>
      <c r="W712" s="26"/>
      <c r="X712" s="113" t="s">
        <v>379</v>
      </c>
      <c r="Y712" s="113">
        <f t="shared" si="473"/>
        <v>2050</v>
      </c>
      <c r="Z712" s="113">
        <f t="shared" si="474"/>
        <v>0.85</v>
      </c>
      <c r="AA712" s="121" t="str">
        <f t="shared" si="476"/>
        <v/>
      </c>
      <c r="AB712" s="121" t="str">
        <f t="shared" si="477"/>
        <v/>
      </c>
      <c r="AC712" s="107"/>
    </row>
    <row r="713" spans="1:29" ht="50" hidden="1" customHeight="1" outlineLevel="3">
      <c r="A713" s="863" t="s">
        <v>121</v>
      </c>
      <c r="B713" s="886" t="s">
        <v>394</v>
      </c>
      <c r="C713" s="333" t="s">
        <v>369</v>
      </c>
      <c r="D713" s="333" t="str">
        <f t="shared" ref="D713" si="489">_xlfn.XLOOKUP(AC713,$AD$661:$AD$683,$D$661:$D$683,"No target",0)</f>
        <v>No target type selected</v>
      </c>
      <c r="E713" s="892" cm="1">
        <f t="array" ref="E713">SUMPRODUCT(('CMA Segmentation'!$M$80:$M$166=TRUE)*($AC713='CMA Segmentation'!$AK$80:$AK$166)*('Climate-Alignment Target'!E$242='CMA Segmentation'!$Q$79:$V$79)*('CMA Segmentation'!$Q$80:$V$166))</f>
        <v>0</v>
      </c>
      <c r="F713" s="5"/>
      <c r="G713" s="5"/>
      <c r="H713" s="5"/>
      <c r="I713" s="5"/>
      <c r="J713" s="5"/>
      <c r="K713" s="557" t="str">
        <f t="shared" si="478"/>
        <v/>
      </c>
      <c r="L713" s="712" t="str">
        <f t="shared" ref="L713" si="490">IF(K713="","",IF(E713=(K713+K714),"OK",IF(D713="Sector target","OK - covered by sector target",IF(AND(E713=0,D713="No target type selected"),"OK","Review financial exposure"))))</f>
        <v/>
      </c>
      <c r="M713" s="562">
        <f t="shared" si="481"/>
        <v>0</v>
      </c>
      <c r="N713" s="915"/>
      <c r="O713" s="563"/>
      <c r="P713" s="562" t="str">
        <f t="shared" si="472"/>
        <v/>
      </c>
      <c r="Q713" s="560" t="str">
        <f t="shared" si="475"/>
        <v/>
      </c>
      <c r="R713" s="16"/>
      <c r="T713" s="124" t="s">
        <v>121</v>
      </c>
      <c r="U713" s="1"/>
      <c r="V713" s="1"/>
      <c r="W713" s="26"/>
      <c r="X713" s="113" t="s">
        <v>373</v>
      </c>
      <c r="Y713" s="113">
        <f t="shared" si="473"/>
        <v>2040</v>
      </c>
      <c r="Z713" s="113">
        <f t="shared" si="474"/>
        <v>0.95</v>
      </c>
      <c r="AA713" s="121" t="str">
        <f t="shared" si="476"/>
        <v/>
      </c>
      <c r="AB713" s="121" t="str">
        <f t="shared" si="477"/>
        <v/>
      </c>
      <c r="AC713" s="107" t="s">
        <v>182</v>
      </c>
    </row>
    <row r="714" spans="1:29" ht="50" hidden="1" customHeight="1" outlineLevel="3">
      <c r="A714" s="865"/>
      <c r="B714" s="886"/>
      <c r="C714" s="333" t="s">
        <v>372</v>
      </c>
      <c r="D714" s="333" t="str">
        <f t="shared" ref="D714" si="491">D713</f>
        <v>No target type selected</v>
      </c>
      <c r="E714" s="893"/>
      <c r="F714" s="5"/>
      <c r="G714" s="5"/>
      <c r="H714" s="5"/>
      <c r="I714" s="5"/>
      <c r="J714" s="5"/>
      <c r="K714" s="557" t="str">
        <f t="shared" si="478"/>
        <v/>
      </c>
      <c r="L714" s="713"/>
      <c r="M714" s="562">
        <f t="shared" si="481"/>
        <v>0</v>
      </c>
      <c r="N714" s="915"/>
      <c r="O714" s="563"/>
      <c r="P714" s="562" t="str">
        <f t="shared" si="472"/>
        <v/>
      </c>
      <c r="Q714" s="560" t="str">
        <f t="shared" si="475"/>
        <v/>
      </c>
      <c r="R714" s="16"/>
      <c r="T714" s="124" t="s">
        <v>121</v>
      </c>
      <c r="U714" s="1"/>
      <c r="V714" s="1"/>
      <c r="W714" s="26"/>
      <c r="X714" s="113" t="s">
        <v>374</v>
      </c>
      <c r="Y714" s="113">
        <f t="shared" si="473"/>
        <v>2040</v>
      </c>
      <c r="Z714" s="113">
        <f t="shared" si="474"/>
        <v>0.85</v>
      </c>
      <c r="AA714" s="121" t="str">
        <f t="shared" si="476"/>
        <v/>
      </c>
      <c r="AB714" s="121" t="str">
        <f t="shared" si="477"/>
        <v/>
      </c>
      <c r="AC714" s="107"/>
    </row>
    <row r="715" spans="1:29" ht="50" hidden="1" customHeight="1" outlineLevel="3">
      <c r="A715" s="863" t="s">
        <v>136</v>
      </c>
      <c r="B715" s="886" t="s">
        <v>394</v>
      </c>
      <c r="C715" s="333" t="s">
        <v>369</v>
      </c>
      <c r="D715" s="333" t="str">
        <f t="shared" ref="D715" si="492">_xlfn.XLOOKUP(AC715,$AD$661:$AD$683,$D$661:$D$683,"No target",0)</f>
        <v>No target type selected</v>
      </c>
      <c r="E715" s="892" cm="1">
        <f t="array" ref="E715">SUMPRODUCT(('CMA Segmentation'!$M$80:$M$166=TRUE)*($AC715='CMA Segmentation'!$AK$80:$AK$166)*('Climate-Alignment Target'!E$242='CMA Segmentation'!$Q$79:$V$79)*('CMA Segmentation'!$Q$80:$V$166))</f>
        <v>0</v>
      </c>
      <c r="F715" s="5"/>
      <c r="G715" s="5"/>
      <c r="H715" s="5"/>
      <c r="I715" s="5"/>
      <c r="J715" s="5"/>
      <c r="K715" s="557" t="str">
        <f t="shared" si="478"/>
        <v/>
      </c>
      <c r="L715" s="712" t="str">
        <f t="shared" ref="L715" si="493">IF(K715="","",IF(E715=(K715+K716),"OK",IF(D715="Sector target","OK - covered by sector target",IF(AND(E715=0,D715="No target type selected"),"OK","Review financial exposure"))))</f>
        <v/>
      </c>
      <c r="M715" s="562">
        <f t="shared" si="481"/>
        <v>0</v>
      </c>
      <c r="N715" s="915"/>
      <c r="O715" s="563"/>
      <c r="P715" s="562" t="str">
        <f t="shared" si="472"/>
        <v/>
      </c>
      <c r="Q715" s="560" t="str">
        <f t="shared" si="475"/>
        <v/>
      </c>
      <c r="R715" s="16"/>
      <c r="T715" s="124" t="s">
        <v>136</v>
      </c>
      <c r="U715" s="1"/>
      <c r="V715" s="1"/>
      <c r="W715" s="26"/>
      <c r="X715" s="113" t="s">
        <v>378</v>
      </c>
      <c r="Y715" s="113">
        <f t="shared" si="473"/>
        <v>2050</v>
      </c>
      <c r="Z715" s="113">
        <f t="shared" si="474"/>
        <v>0.95</v>
      </c>
      <c r="AA715" s="121" t="str">
        <f t="shared" si="476"/>
        <v/>
      </c>
      <c r="AB715" s="121" t="str">
        <f t="shared" si="477"/>
        <v/>
      </c>
      <c r="AC715" s="107" t="s">
        <v>218</v>
      </c>
    </row>
    <row r="716" spans="1:29" ht="50" hidden="1" customHeight="1" outlineLevel="3">
      <c r="A716" s="865"/>
      <c r="B716" s="886"/>
      <c r="C716" s="333" t="s">
        <v>372</v>
      </c>
      <c r="D716" s="333" t="str">
        <f t="shared" ref="D716" si="494">D715</f>
        <v>No target type selected</v>
      </c>
      <c r="E716" s="893"/>
      <c r="F716" s="5"/>
      <c r="G716" s="5"/>
      <c r="H716" s="5"/>
      <c r="I716" s="5"/>
      <c r="J716" s="5"/>
      <c r="K716" s="557" t="str">
        <f t="shared" si="478"/>
        <v/>
      </c>
      <c r="L716" s="713"/>
      <c r="M716" s="562">
        <f t="shared" si="481"/>
        <v>0</v>
      </c>
      <c r="N716" s="915"/>
      <c r="O716" s="563"/>
      <c r="P716" s="562" t="str">
        <f t="shared" si="472"/>
        <v/>
      </c>
      <c r="Q716" s="560" t="str">
        <f t="shared" si="475"/>
        <v/>
      </c>
      <c r="R716" s="16"/>
      <c r="T716" s="124" t="s">
        <v>136</v>
      </c>
      <c r="U716" s="1"/>
      <c r="V716" s="1"/>
      <c r="W716" s="26"/>
      <c r="X716" s="113" t="s">
        <v>379</v>
      </c>
      <c r="Y716" s="113">
        <f t="shared" si="473"/>
        <v>2050</v>
      </c>
      <c r="Z716" s="113">
        <f t="shared" si="474"/>
        <v>0.85</v>
      </c>
      <c r="AA716" s="121" t="str">
        <f t="shared" si="476"/>
        <v/>
      </c>
      <c r="AB716" s="121" t="str">
        <f t="shared" si="477"/>
        <v/>
      </c>
      <c r="AC716" s="107"/>
    </row>
    <row r="717" spans="1:29" ht="50" hidden="1" customHeight="1" outlineLevel="3">
      <c r="A717" s="863" t="s">
        <v>121</v>
      </c>
      <c r="B717" s="886" t="s">
        <v>395</v>
      </c>
      <c r="C717" s="333" t="s">
        <v>369</v>
      </c>
      <c r="D717" s="333" t="str">
        <f t="shared" ref="D717" si="495">_xlfn.XLOOKUP(AC717,$AD$661:$AD$683,$D$661:$D$683,"No target",0)</f>
        <v>No target type selected</v>
      </c>
      <c r="E717" s="892" cm="1">
        <f t="array" ref="E717">SUMPRODUCT(('CMA Segmentation'!$M$80:$M$166=TRUE)*($AC717='CMA Segmentation'!$AK$80:$AK$166)*('Climate-Alignment Target'!E$242='CMA Segmentation'!$Q$79:$V$79)*('CMA Segmentation'!$Q$80:$V$166))</f>
        <v>0</v>
      </c>
      <c r="F717" s="5"/>
      <c r="G717" s="5"/>
      <c r="H717" s="5"/>
      <c r="I717" s="5"/>
      <c r="J717" s="5"/>
      <c r="K717" s="557" t="str">
        <f t="shared" si="478"/>
        <v/>
      </c>
      <c r="L717" s="712" t="str">
        <f t="shared" ref="L717" si="496">IF(K717="","",IF(E717=(K717+K718),"OK",IF(D717="Sector target","OK - covered by sector target",IF(AND(E717=0,D717="No target type selected"),"OK","Review financial exposure"))))</f>
        <v/>
      </c>
      <c r="M717" s="562">
        <f t="shared" si="481"/>
        <v>0</v>
      </c>
      <c r="N717" s="915"/>
      <c r="O717" s="563"/>
      <c r="P717" s="562" t="str">
        <f t="shared" si="472"/>
        <v/>
      </c>
      <c r="Q717" s="560" t="str">
        <f t="shared" si="475"/>
        <v/>
      </c>
      <c r="R717" s="16"/>
      <c r="T717" s="124" t="s">
        <v>121</v>
      </c>
      <c r="U717" s="1"/>
      <c r="V717" s="1"/>
      <c r="W717" s="26"/>
      <c r="X717" s="113" t="s">
        <v>373</v>
      </c>
      <c r="Y717" s="113">
        <f t="shared" si="473"/>
        <v>2040</v>
      </c>
      <c r="Z717" s="113">
        <f t="shared" si="474"/>
        <v>0.95</v>
      </c>
      <c r="AA717" s="121" t="str">
        <f t="shared" si="476"/>
        <v/>
      </c>
      <c r="AB717" s="121" t="str">
        <f t="shared" si="477"/>
        <v/>
      </c>
      <c r="AC717" s="107" t="s">
        <v>187</v>
      </c>
    </row>
    <row r="718" spans="1:29" ht="50" hidden="1" customHeight="1" outlineLevel="3">
      <c r="A718" s="865"/>
      <c r="B718" s="886"/>
      <c r="C718" s="333" t="s">
        <v>372</v>
      </c>
      <c r="D718" s="333" t="str">
        <f t="shared" ref="D718" si="497">D717</f>
        <v>No target type selected</v>
      </c>
      <c r="E718" s="893"/>
      <c r="F718" s="5"/>
      <c r="G718" s="5"/>
      <c r="H718" s="5"/>
      <c r="I718" s="5"/>
      <c r="J718" s="5"/>
      <c r="K718" s="557" t="str">
        <f t="shared" si="478"/>
        <v/>
      </c>
      <c r="L718" s="713"/>
      <c r="M718" s="562">
        <f t="shared" si="481"/>
        <v>0</v>
      </c>
      <c r="N718" s="915"/>
      <c r="O718" s="563"/>
      <c r="P718" s="562" t="str">
        <f t="shared" si="472"/>
        <v/>
      </c>
      <c r="Q718" s="560" t="str">
        <f t="shared" si="475"/>
        <v/>
      </c>
      <c r="R718" s="16"/>
      <c r="T718" s="124" t="s">
        <v>121</v>
      </c>
      <c r="U718" s="1"/>
      <c r="V718" s="1"/>
      <c r="W718" s="26"/>
      <c r="X718" s="113" t="s">
        <v>374</v>
      </c>
      <c r="Y718" s="113">
        <f t="shared" si="473"/>
        <v>2040</v>
      </c>
      <c r="Z718" s="113">
        <f t="shared" si="474"/>
        <v>0.85</v>
      </c>
      <c r="AA718" s="121" t="str">
        <f t="shared" si="476"/>
        <v/>
      </c>
      <c r="AB718" s="121" t="str">
        <f t="shared" si="477"/>
        <v/>
      </c>
      <c r="AC718" s="107"/>
    </row>
    <row r="719" spans="1:29" ht="50" hidden="1" customHeight="1" outlineLevel="3">
      <c r="A719" s="863" t="s">
        <v>136</v>
      </c>
      <c r="B719" s="886" t="s">
        <v>395</v>
      </c>
      <c r="C719" s="333" t="s">
        <v>369</v>
      </c>
      <c r="D719" s="333" t="str">
        <f t="shared" ref="D719" si="498">_xlfn.XLOOKUP(AC719,$AD$661:$AD$683,$D$661:$D$683,"No target",0)</f>
        <v>No target type selected</v>
      </c>
      <c r="E719" s="892" cm="1">
        <f t="array" ref="E719">SUMPRODUCT(('CMA Segmentation'!$M$80:$M$166=TRUE)*($AC719='CMA Segmentation'!$AK$80:$AK$166)*('Climate-Alignment Target'!E$242='CMA Segmentation'!$Q$79:$V$79)*('CMA Segmentation'!$Q$80:$V$166))</f>
        <v>0</v>
      </c>
      <c r="F719" s="5"/>
      <c r="G719" s="5"/>
      <c r="H719" s="5"/>
      <c r="I719" s="5"/>
      <c r="J719" s="5"/>
      <c r="K719" s="557" t="str">
        <f t="shared" si="478"/>
        <v/>
      </c>
      <c r="L719" s="712" t="str">
        <f t="shared" ref="L719" si="499">IF(K719="","",IF(E719=(K719+K720),"OK",IF(D719="Sector target","OK - covered by sector target",IF(AND(E719=0,D719="No target type selected"),"OK","Review financial exposure"))))</f>
        <v/>
      </c>
      <c r="M719" s="562">
        <f t="shared" si="481"/>
        <v>0</v>
      </c>
      <c r="N719" s="915"/>
      <c r="O719" s="563"/>
      <c r="P719" s="562" t="str">
        <f t="shared" si="472"/>
        <v/>
      </c>
      <c r="Q719" s="560" t="str">
        <f t="shared" si="475"/>
        <v/>
      </c>
      <c r="R719" s="16"/>
      <c r="T719" s="124" t="s">
        <v>136</v>
      </c>
      <c r="U719" s="1"/>
      <c r="V719" s="1"/>
      <c r="W719" s="26"/>
      <c r="X719" s="113" t="s">
        <v>378</v>
      </c>
      <c r="Y719" s="113">
        <f t="shared" si="473"/>
        <v>2050</v>
      </c>
      <c r="Z719" s="113">
        <f t="shared" si="474"/>
        <v>0.95</v>
      </c>
      <c r="AA719" s="121" t="str">
        <f t="shared" si="476"/>
        <v/>
      </c>
      <c r="AB719" s="121" t="str">
        <f t="shared" si="477"/>
        <v/>
      </c>
      <c r="AC719" s="107" t="s">
        <v>220</v>
      </c>
    </row>
    <row r="720" spans="1:29" ht="50" hidden="1" customHeight="1" outlineLevel="3">
      <c r="A720" s="865"/>
      <c r="B720" s="886"/>
      <c r="C720" s="333" t="s">
        <v>372</v>
      </c>
      <c r="D720" s="333" t="str">
        <f t="shared" ref="D720" si="500">D719</f>
        <v>No target type selected</v>
      </c>
      <c r="E720" s="893"/>
      <c r="F720" s="5"/>
      <c r="G720" s="5"/>
      <c r="H720" s="5"/>
      <c r="I720" s="5"/>
      <c r="J720" s="5"/>
      <c r="K720" s="557" t="str">
        <f t="shared" si="478"/>
        <v/>
      </c>
      <c r="L720" s="713"/>
      <c r="M720" s="562">
        <f t="shared" si="481"/>
        <v>0</v>
      </c>
      <c r="N720" s="915"/>
      <c r="O720" s="563"/>
      <c r="P720" s="562" t="str">
        <f t="shared" si="472"/>
        <v/>
      </c>
      <c r="Q720" s="560" t="str">
        <f t="shared" si="475"/>
        <v/>
      </c>
      <c r="R720" s="16"/>
      <c r="T720" s="124" t="s">
        <v>136</v>
      </c>
      <c r="U720" s="1"/>
      <c r="V720" s="1"/>
      <c r="W720" s="26"/>
      <c r="X720" s="113" t="s">
        <v>379</v>
      </c>
      <c r="Y720" s="113">
        <f t="shared" si="473"/>
        <v>2050</v>
      </c>
      <c r="Z720" s="113">
        <f t="shared" si="474"/>
        <v>0.85</v>
      </c>
      <c r="AA720" s="121" t="str">
        <f t="shared" si="476"/>
        <v/>
      </c>
      <c r="AB720" s="121" t="str">
        <f t="shared" si="477"/>
        <v/>
      </c>
      <c r="AC720" s="107"/>
    </row>
    <row r="721" spans="1:29" ht="50" hidden="1" customHeight="1" outlineLevel="3">
      <c r="A721" s="863" t="s">
        <v>121</v>
      </c>
      <c r="B721" s="886" t="s">
        <v>396</v>
      </c>
      <c r="C721" s="333" t="s">
        <v>369</v>
      </c>
      <c r="D721" s="333" t="str">
        <f t="shared" ref="D721" si="501">_xlfn.XLOOKUP(AC721,$AD$661:$AD$683,$D$661:$D$683,"No target",0)</f>
        <v>No target type selected</v>
      </c>
      <c r="E721" s="892" cm="1">
        <f t="array" ref="E721">SUMPRODUCT(('CMA Segmentation'!$M$80:$M$166=TRUE)*($AC721='CMA Segmentation'!$AK$80:$AK$166)*('Climate-Alignment Target'!E$242='CMA Segmentation'!$Q$79:$V$79)*('CMA Segmentation'!$Q$80:$V$166))</f>
        <v>0</v>
      </c>
      <c r="F721" s="5"/>
      <c r="G721" s="5"/>
      <c r="H721" s="5"/>
      <c r="I721" s="5"/>
      <c r="J721" s="5"/>
      <c r="K721" s="557" t="str">
        <f t="shared" si="478"/>
        <v/>
      </c>
      <c r="L721" s="712" t="str">
        <f t="shared" ref="L721" si="502">IF(K721="","",IF(E721=(K721+K722),"OK",IF(D721="Sector target","OK - covered by sector target",IF(AND(E721=0,D721="No target type selected"),"OK","Review financial exposure"))))</f>
        <v/>
      </c>
      <c r="M721" s="562">
        <f t="shared" si="481"/>
        <v>0</v>
      </c>
      <c r="N721" s="915"/>
      <c r="O721" s="563"/>
      <c r="P721" s="562" t="str">
        <f t="shared" si="472"/>
        <v/>
      </c>
      <c r="Q721" s="560" t="str">
        <f t="shared" si="475"/>
        <v/>
      </c>
      <c r="R721" s="16"/>
      <c r="T721" s="124" t="s">
        <v>121</v>
      </c>
      <c r="U721" s="1"/>
      <c r="V721" s="1"/>
      <c r="W721" s="26"/>
      <c r="X721" s="113" t="s">
        <v>373</v>
      </c>
      <c r="Y721" s="113">
        <f t="shared" si="473"/>
        <v>2040</v>
      </c>
      <c r="Z721" s="113">
        <f t="shared" si="474"/>
        <v>0.95</v>
      </c>
      <c r="AA721" s="121" t="str">
        <f t="shared" si="476"/>
        <v/>
      </c>
      <c r="AB721" s="121" t="str">
        <f t="shared" si="477"/>
        <v/>
      </c>
      <c r="AC721" s="107" t="s">
        <v>193</v>
      </c>
    </row>
    <row r="722" spans="1:29" ht="50" hidden="1" customHeight="1" outlineLevel="3">
      <c r="A722" s="865"/>
      <c r="B722" s="886"/>
      <c r="C722" s="333" t="s">
        <v>372</v>
      </c>
      <c r="D722" s="333" t="str">
        <f t="shared" ref="D722" si="503">D721</f>
        <v>No target type selected</v>
      </c>
      <c r="E722" s="893"/>
      <c r="F722" s="5"/>
      <c r="G722" s="5"/>
      <c r="H722" s="5"/>
      <c r="I722" s="5"/>
      <c r="J722" s="5"/>
      <c r="K722" s="557" t="str">
        <f t="shared" si="478"/>
        <v/>
      </c>
      <c r="L722" s="713"/>
      <c r="M722" s="562">
        <f t="shared" si="481"/>
        <v>0</v>
      </c>
      <c r="N722" s="915"/>
      <c r="O722" s="563"/>
      <c r="P722" s="562" t="str">
        <f t="shared" si="472"/>
        <v/>
      </c>
      <c r="Q722" s="560" t="str">
        <f t="shared" si="475"/>
        <v/>
      </c>
      <c r="R722" s="16"/>
      <c r="T722" s="124" t="s">
        <v>121</v>
      </c>
      <c r="U722" s="1"/>
      <c r="V722" s="1"/>
      <c r="W722" s="26"/>
      <c r="X722" s="113" t="s">
        <v>374</v>
      </c>
      <c r="Y722" s="113">
        <f t="shared" si="473"/>
        <v>2040</v>
      </c>
      <c r="Z722" s="113">
        <f t="shared" si="474"/>
        <v>0.85</v>
      </c>
      <c r="AA722" s="121" t="str">
        <f t="shared" si="476"/>
        <v/>
      </c>
      <c r="AB722" s="121" t="str">
        <f t="shared" si="477"/>
        <v/>
      </c>
      <c r="AC722" s="107"/>
    </row>
    <row r="723" spans="1:29" ht="50" hidden="1" customHeight="1" outlineLevel="3">
      <c r="A723" s="863" t="s">
        <v>136</v>
      </c>
      <c r="B723" s="886" t="s">
        <v>396</v>
      </c>
      <c r="C723" s="333" t="s">
        <v>369</v>
      </c>
      <c r="D723" s="333" t="str">
        <f t="shared" ref="D723" si="504">_xlfn.XLOOKUP(AC723,$AD$661:$AD$683,$D$661:$D$683,"No target",0)</f>
        <v>No target type selected</v>
      </c>
      <c r="E723" s="892" cm="1">
        <f t="array" ref="E723">SUMPRODUCT(('CMA Segmentation'!$M$80:$M$166=TRUE)*($AC723='CMA Segmentation'!$AK$80:$AK$166)*('Climate-Alignment Target'!E$242='CMA Segmentation'!$Q$79:$V$79)*('CMA Segmentation'!$Q$80:$V$166))</f>
        <v>0</v>
      </c>
      <c r="F723" s="5"/>
      <c r="G723" s="5"/>
      <c r="H723" s="5"/>
      <c r="I723" s="5"/>
      <c r="J723" s="5"/>
      <c r="K723" s="557" t="str">
        <f t="shared" si="478"/>
        <v/>
      </c>
      <c r="L723" s="712" t="str">
        <f t="shared" ref="L723" si="505">IF(K723="","",IF(E723=(K723+K724),"OK",IF(D723="Sector target","OK - covered by sector target",IF(AND(E723=0,D723="No target type selected"),"OK","Review financial exposure"))))</f>
        <v/>
      </c>
      <c r="M723" s="562">
        <f t="shared" si="481"/>
        <v>0</v>
      </c>
      <c r="N723" s="915"/>
      <c r="O723" s="563"/>
      <c r="P723" s="562" t="str">
        <f t="shared" si="472"/>
        <v/>
      </c>
      <c r="Q723" s="560" t="str">
        <f t="shared" si="475"/>
        <v/>
      </c>
      <c r="R723" s="16"/>
      <c r="T723" s="124" t="s">
        <v>136</v>
      </c>
      <c r="U723" s="1"/>
      <c r="V723" s="1"/>
      <c r="W723" s="26"/>
      <c r="X723" s="113" t="s">
        <v>378</v>
      </c>
      <c r="Y723" s="113">
        <f t="shared" si="473"/>
        <v>2050</v>
      </c>
      <c r="Z723" s="113">
        <f t="shared" si="474"/>
        <v>0.95</v>
      </c>
      <c r="AA723" s="121" t="str">
        <f t="shared" si="476"/>
        <v/>
      </c>
      <c r="AB723" s="121" t="str">
        <f t="shared" si="477"/>
        <v/>
      </c>
      <c r="AC723" s="107" t="s">
        <v>221</v>
      </c>
    </row>
    <row r="724" spans="1:29" ht="50" hidden="1" customHeight="1" outlineLevel="3">
      <c r="A724" s="865"/>
      <c r="B724" s="886"/>
      <c r="C724" s="333" t="s">
        <v>372</v>
      </c>
      <c r="D724" s="333" t="str">
        <f t="shared" ref="D724" si="506">D723</f>
        <v>No target type selected</v>
      </c>
      <c r="E724" s="893"/>
      <c r="F724" s="5"/>
      <c r="G724" s="5"/>
      <c r="H724" s="5"/>
      <c r="I724" s="5"/>
      <c r="J724" s="5"/>
      <c r="K724" s="557" t="str">
        <f t="shared" si="478"/>
        <v/>
      </c>
      <c r="L724" s="713"/>
      <c r="M724" s="562">
        <f t="shared" si="481"/>
        <v>0</v>
      </c>
      <c r="N724" s="915"/>
      <c r="O724" s="563"/>
      <c r="P724" s="562" t="str">
        <f t="shared" si="472"/>
        <v/>
      </c>
      <c r="Q724" s="560" t="str">
        <f t="shared" si="475"/>
        <v/>
      </c>
      <c r="R724" s="16"/>
      <c r="T724" s="124" t="s">
        <v>136</v>
      </c>
      <c r="U724" s="1"/>
      <c r="V724" s="1"/>
      <c r="W724" s="26"/>
      <c r="X724" s="113" t="s">
        <v>379</v>
      </c>
      <c r="Y724" s="113">
        <f t="shared" si="473"/>
        <v>2050</v>
      </c>
      <c r="Z724" s="113">
        <f t="shared" si="474"/>
        <v>0.85</v>
      </c>
      <c r="AA724" s="121" t="str">
        <f t="shared" si="476"/>
        <v/>
      </c>
      <c r="AB724" s="121" t="str">
        <f t="shared" si="477"/>
        <v/>
      </c>
      <c r="AC724" s="107"/>
    </row>
    <row r="725" spans="1:29" ht="50" hidden="1" customHeight="1" outlineLevel="3">
      <c r="A725" s="863" t="s">
        <v>121</v>
      </c>
      <c r="B725" s="886" t="s">
        <v>397</v>
      </c>
      <c r="C725" s="333" t="s">
        <v>369</v>
      </c>
      <c r="D725" s="333" t="str">
        <f t="shared" ref="D725" si="507">_xlfn.XLOOKUP(AC725,$AD$661:$AD$683,$D$661:$D$683,"No target",0)</f>
        <v>No target type selected</v>
      </c>
      <c r="E725" s="892" cm="1">
        <f t="array" ref="E725">SUMPRODUCT(('CMA Segmentation'!$M$80:$M$166=TRUE)*($AC725='CMA Segmentation'!$AK$80:$AK$166)*('Climate-Alignment Target'!E$242='CMA Segmentation'!$Q$79:$V$79)*('CMA Segmentation'!$Q$80:$V$166))</f>
        <v>0</v>
      </c>
      <c r="F725" s="5"/>
      <c r="G725" s="5"/>
      <c r="H725" s="5"/>
      <c r="I725" s="5"/>
      <c r="J725" s="5"/>
      <c r="K725" s="557" t="str">
        <f t="shared" si="478"/>
        <v/>
      </c>
      <c r="L725" s="712" t="str">
        <f t="shared" ref="L725" si="508">IF(K725="","",IF(E725=(K725+K726),"OK",IF(D725="Sector target","OK - covered by sector target",IF(AND(E725=0,D725="No target type selected"),"OK","Review financial exposure"))))</f>
        <v/>
      </c>
      <c r="M725" s="562">
        <f t="shared" si="481"/>
        <v>0</v>
      </c>
      <c r="N725" s="915"/>
      <c r="O725" s="563"/>
      <c r="P725" s="562" t="str">
        <f t="shared" si="472"/>
        <v/>
      </c>
      <c r="Q725" s="560" t="str">
        <f t="shared" si="475"/>
        <v/>
      </c>
      <c r="R725" s="16"/>
      <c r="T725" s="124" t="s">
        <v>121</v>
      </c>
      <c r="U725" s="1"/>
      <c r="V725" s="1"/>
      <c r="W725" s="26"/>
      <c r="X725" s="113" t="s">
        <v>373</v>
      </c>
      <c r="Y725" s="113">
        <f t="shared" si="473"/>
        <v>2040</v>
      </c>
      <c r="Z725" s="113">
        <f t="shared" si="474"/>
        <v>0.95</v>
      </c>
      <c r="AA725" s="121" t="str">
        <f t="shared" si="476"/>
        <v/>
      </c>
      <c r="AB725" s="121" t="str">
        <f t="shared" si="477"/>
        <v/>
      </c>
      <c r="AC725" s="107" t="s">
        <v>197</v>
      </c>
    </row>
    <row r="726" spans="1:29" ht="50" hidden="1" customHeight="1" outlineLevel="3">
      <c r="A726" s="865"/>
      <c r="B726" s="886"/>
      <c r="C726" s="333" t="s">
        <v>372</v>
      </c>
      <c r="D726" s="333" t="str">
        <f t="shared" ref="D726" si="509">D725</f>
        <v>No target type selected</v>
      </c>
      <c r="E726" s="893"/>
      <c r="F726" s="5"/>
      <c r="G726" s="5"/>
      <c r="H726" s="5"/>
      <c r="I726" s="5"/>
      <c r="J726" s="5"/>
      <c r="K726" s="557" t="str">
        <f t="shared" si="478"/>
        <v/>
      </c>
      <c r="L726" s="713"/>
      <c r="M726" s="562">
        <f t="shared" si="481"/>
        <v>0</v>
      </c>
      <c r="N726" s="915"/>
      <c r="O726" s="563"/>
      <c r="P726" s="562" t="str">
        <f t="shared" si="472"/>
        <v/>
      </c>
      <c r="Q726" s="560" t="str">
        <f t="shared" si="475"/>
        <v/>
      </c>
      <c r="R726" s="16"/>
      <c r="T726" s="124" t="s">
        <v>121</v>
      </c>
      <c r="U726" s="1"/>
      <c r="V726" s="1"/>
      <c r="W726" s="26"/>
      <c r="X726" s="113" t="s">
        <v>374</v>
      </c>
      <c r="Y726" s="113">
        <f t="shared" si="473"/>
        <v>2040</v>
      </c>
      <c r="Z726" s="113">
        <f t="shared" si="474"/>
        <v>0.85</v>
      </c>
      <c r="AA726" s="121" t="str">
        <f t="shared" si="476"/>
        <v/>
      </c>
      <c r="AB726" s="121" t="str">
        <f t="shared" si="477"/>
        <v/>
      </c>
      <c r="AC726" s="107"/>
    </row>
    <row r="727" spans="1:29" ht="50" hidden="1" customHeight="1" outlineLevel="3">
      <c r="A727" s="863" t="s">
        <v>136</v>
      </c>
      <c r="B727" s="886" t="s">
        <v>397</v>
      </c>
      <c r="C727" s="333" t="s">
        <v>369</v>
      </c>
      <c r="D727" s="333" t="str">
        <f t="shared" ref="D727" si="510">_xlfn.XLOOKUP(AC727,$AD$661:$AD$683,$D$661:$D$683,"No target",0)</f>
        <v>No target type selected</v>
      </c>
      <c r="E727" s="892" cm="1">
        <f t="array" ref="E727">SUMPRODUCT(('CMA Segmentation'!$M$80:$M$166=TRUE)*($AC727='CMA Segmentation'!$AK$80:$AK$166)*('Climate-Alignment Target'!E$242='CMA Segmentation'!$Q$79:$V$79)*('CMA Segmentation'!$Q$80:$V$166))</f>
        <v>0</v>
      </c>
      <c r="F727" s="5"/>
      <c r="G727" s="5"/>
      <c r="H727" s="5"/>
      <c r="I727" s="5"/>
      <c r="J727" s="5"/>
      <c r="K727" s="557" t="str">
        <f t="shared" si="478"/>
        <v/>
      </c>
      <c r="L727" s="712" t="str">
        <f t="shared" ref="L727" si="511">IF(K727="","",IF(E727=(K727+K728),"OK",IF(D727="Sector target","OK - covered by sector target",IF(AND(E727=0,D727="No target type selected"),"OK","Review financial exposure"))))</f>
        <v/>
      </c>
      <c r="M727" s="562">
        <f t="shared" si="481"/>
        <v>0</v>
      </c>
      <c r="N727" s="915"/>
      <c r="O727" s="563"/>
      <c r="P727" s="562" t="str">
        <f t="shared" si="472"/>
        <v/>
      </c>
      <c r="Q727" s="560" t="str">
        <f t="shared" si="475"/>
        <v/>
      </c>
      <c r="R727" s="16"/>
      <c r="T727" s="124" t="s">
        <v>136</v>
      </c>
      <c r="U727" s="1"/>
      <c r="V727" s="1"/>
      <c r="W727" s="26"/>
      <c r="X727" s="113" t="s">
        <v>378</v>
      </c>
      <c r="Y727" s="113">
        <f t="shared" si="473"/>
        <v>2050</v>
      </c>
      <c r="Z727" s="113">
        <f t="shared" si="474"/>
        <v>0.95</v>
      </c>
      <c r="AA727" s="121" t="str">
        <f t="shared" si="476"/>
        <v/>
      </c>
      <c r="AB727" s="121" t="str">
        <f t="shared" si="477"/>
        <v/>
      </c>
      <c r="AC727" s="107" t="s">
        <v>222</v>
      </c>
    </row>
    <row r="728" spans="1:29" ht="50" hidden="1" customHeight="1" outlineLevel="3">
      <c r="A728" s="865"/>
      <c r="B728" s="886"/>
      <c r="C728" s="333" t="s">
        <v>372</v>
      </c>
      <c r="D728" s="333" t="str">
        <f t="shared" ref="D728" si="512">D727</f>
        <v>No target type selected</v>
      </c>
      <c r="E728" s="893"/>
      <c r="F728" s="5"/>
      <c r="G728" s="5"/>
      <c r="H728" s="5"/>
      <c r="I728" s="5"/>
      <c r="J728" s="5"/>
      <c r="K728" s="557" t="str">
        <f t="shared" si="478"/>
        <v/>
      </c>
      <c r="L728" s="713"/>
      <c r="M728" s="562">
        <f t="shared" si="481"/>
        <v>0</v>
      </c>
      <c r="N728" s="915"/>
      <c r="O728" s="563"/>
      <c r="P728" s="562" t="str">
        <f t="shared" si="472"/>
        <v/>
      </c>
      <c r="Q728" s="560" t="str">
        <f t="shared" si="475"/>
        <v/>
      </c>
      <c r="R728" s="16"/>
      <c r="T728" s="124" t="s">
        <v>136</v>
      </c>
      <c r="U728" s="1"/>
      <c r="V728" s="1"/>
      <c r="W728" s="26"/>
      <c r="X728" s="113" t="s">
        <v>379</v>
      </c>
      <c r="Y728" s="113">
        <f t="shared" si="473"/>
        <v>2050</v>
      </c>
      <c r="Z728" s="113">
        <f t="shared" si="474"/>
        <v>0.85</v>
      </c>
      <c r="AA728" s="121" t="str">
        <f t="shared" si="476"/>
        <v/>
      </c>
      <c r="AB728" s="121" t="str">
        <f t="shared" si="477"/>
        <v/>
      </c>
      <c r="AC728" s="107"/>
    </row>
    <row r="729" spans="1:29" ht="50" hidden="1" customHeight="1" outlineLevel="3">
      <c r="A729" s="863" t="s">
        <v>121</v>
      </c>
      <c r="B729" s="886" t="s">
        <v>398</v>
      </c>
      <c r="C729" s="333" t="s">
        <v>369</v>
      </c>
      <c r="D729" s="333" t="str">
        <f t="shared" ref="D729" si="513">_xlfn.XLOOKUP(AC729,$AD$661:$AD$683,$D$661:$D$683,"No target",0)</f>
        <v>No target type selected</v>
      </c>
      <c r="E729" s="892" cm="1">
        <f t="array" ref="E729">SUMPRODUCT(('CMA Segmentation'!$M$80:$M$166=TRUE)*($AC729='CMA Segmentation'!$AK$80:$AK$166)*('Climate-Alignment Target'!E$242='CMA Segmentation'!$Q$79:$V$79)*('CMA Segmentation'!$Q$80:$V$166))</f>
        <v>0</v>
      </c>
      <c r="F729" s="5"/>
      <c r="G729" s="5"/>
      <c r="H729" s="5"/>
      <c r="I729" s="5"/>
      <c r="J729" s="5"/>
      <c r="K729" s="557" t="str">
        <f t="shared" si="478"/>
        <v/>
      </c>
      <c r="L729" s="712" t="str">
        <f t="shared" ref="L729" si="514">IF(K729="","",IF(E729=(K729+K730),"OK",IF(D729="Sector target","OK - covered by sector target",IF(AND(E729=0,D729="No target type selected"),"OK","Review financial exposure"))))</f>
        <v/>
      </c>
      <c r="M729" s="562">
        <f t="shared" si="481"/>
        <v>0</v>
      </c>
      <c r="N729" s="915"/>
      <c r="O729" s="563"/>
      <c r="P729" s="562" t="str">
        <f t="shared" si="472"/>
        <v/>
      </c>
      <c r="Q729" s="560" t="str">
        <f t="shared" si="475"/>
        <v/>
      </c>
      <c r="R729" s="16"/>
      <c r="T729" s="124" t="s">
        <v>121</v>
      </c>
      <c r="U729" s="1"/>
      <c r="V729" s="1"/>
      <c r="W729" s="26"/>
      <c r="X729" s="113" t="s">
        <v>373</v>
      </c>
      <c r="Y729" s="113">
        <f t="shared" si="473"/>
        <v>2040</v>
      </c>
      <c r="Z729" s="113">
        <f t="shared" si="474"/>
        <v>0.95</v>
      </c>
      <c r="AA729" s="121" t="str">
        <f t="shared" si="476"/>
        <v/>
      </c>
      <c r="AB729" s="121" t="str">
        <f t="shared" si="477"/>
        <v/>
      </c>
      <c r="AC729" s="107" t="s">
        <v>202</v>
      </c>
    </row>
    <row r="730" spans="1:29" ht="50" hidden="1" customHeight="1" outlineLevel="3">
      <c r="A730" s="865"/>
      <c r="B730" s="886"/>
      <c r="C730" s="333" t="s">
        <v>372</v>
      </c>
      <c r="D730" s="333" t="str">
        <f t="shared" ref="D730" si="515">D729</f>
        <v>No target type selected</v>
      </c>
      <c r="E730" s="893"/>
      <c r="F730" s="5"/>
      <c r="G730" s="5"/>
      <c r="H730" s="5"/>
      <c r="I730" s="5"/>
      <c r="J730" s="5"/>
      <c r="K730" s="557" t="str">
        <f t="shared" si="478"/>
        <v/>
      </c>
      <c r="L730" s="713"/>
      <c r="M730" s="562">
        <f t="shared" si="481"/>
        <v>0</v>
      </c>
      <c r="N730" s="915"/>
      <c r="O730" s="563"/>
      <c r="P730" s="562" t="str">
        <f t="shared" si="472"/>
        <v/>
      </c>
      <c r="Q730" s="560" t="str">
        <f t="shared" si="475"/>
        <v/>
      </c>
      <c r="R730" s="16"/>
      <c r="T730" s="124" t="s">
        <v>121</v>
      </c>
      <c r="U730" s="1"/>
      <c r="V730" s="1"/>
      <c r="W730" s="26"/>
      <c r="X730" s="113" t="s">
        <v>374</v>
      </c>
      <c r="Y730" s="113">
        <f t="shared" si="473"/>
        <v>2040</v>
      </c>
      <c r="Z730" s="113">
        <f t="shared" si="474"/>
        <v>0.85</v>
      </c>
      <c r="AA730" s="121" t="str">
        <f t="shared" si="476"/>
        <v/>
      </c>
      <c r="AB730" s="121" t="str">
        <f t="shared" si="477"/>
        <v/>
      </c>
      <c r="AC730" s="107"/>
    </row>
    <row r="731" spans="1:29" ht="50" hidden="1" customHeight="1" outlineLevel="3">
      <c r="A731" s="863" t="s">
        <v>136</v>
      </c>
      <c r="B731" s="886" t="s">
        <v>398</v>
      </c>
      <c r="C731" s="333" t="s">
        <v>369</v>
      </c>
      <c r="D731" s="333" t="str">
        <f t="shared" ref="D731" si="516">_xlfn.XLOOKUP(AC731,$AD$661:$AD$683,$D$661:$D$683,"No target",0)</f>
        <v>No target type selected</v>
      </c>
      <c r="E731" s="892" cm="1">
        <f t="array" ref="E731">SUMPRODUCT(('CMA Segmentation'!$M$80:$M$166=TRUE)*($AC731='CMA Segmentation'!$AK$80:$AK$166)*('Climate-Alignment Target'!E$242='CMA Segmentation'!$Q$79:$V$79)*('CMA Segmentation'!$Q$80:$V$166))</f>
        <v>0</v>
      </c>
      <c r="F731" s="5"/>
      <c r="G731" s="5"/>
      <c r="H731" s="5"/>
      <c r="I731" s="5"/>
      <c r="J731" s="5"/>
      <c r="K731" s="557" t="str">
        <f t="shared" si="478"/>
        <v/>
      </c>
      <c r="L731" s="712" t="str">
        <f t="shared" ref="L731" si="517">IF(K731="","",IF(E731=(K731+K732),"OK",IF(D731="Sector target","OK - covered by sector target",IF(AND(E731=0,D731="No target type selected"),"OK","Review financial exposure"))))</f>
        <v/>
      </c>
      <c r="M731" s="562">
        <f t="shared" si="481"/>
        <v>0</v>
      </c>
      <c r="N731" s="915"/>
      <c r="O731" s="563"/>
      <c r="P731" s="562" t="str">
        <f t="shared" si="472"/>
        <v/>
      </c>
      <c r="Q731" s="560" t="str">
        <f t="shared" si="475"/>
        <v/>
      </c>
      <c r="R731" s="16"/>
      <c r="T731" s="124" t="s">
        <v>136</v>
      </c>
      <c r="U731" s="1"/>
      <c r="V731" s="1"/>
      <c r="W731" s="26"/>
      <c r="X731" s="113" t="s">
        <v>378</v>
      </c>
      <c r="Y731" s="113">
        <f t="shared" si="473"/>
        <v>2050</v>
      </c>
      <c r="Z731" s="113">
        <f t="shared" si="474"/>
        <v>0.95</v>
      </c>
      <c r="AA731" s="121" t="str">
        <f t="shared" si="476"/>
        <v/>
      </c>
      <c r="AB731" s="121" t="str">
        <f t="shared" si="477"/>
        <v/>
      </c>
      <c r="AC731" s="107" t="s">
        <v>223</v>
      </c>
    </row>
    <row r="732" spans="1:29" ht="50" hidden="1" customHeight="1" outlineLevel="3">
      <c r="A732" s="865"/>
      <c r="B732" s="886"/>
      <c r="C732" s="333" t="s">
        <v>372</v>
      </c>
      <c r="D732" s="333" t="str">
        <f t="shared" ref="D732" si="518">D731</f>
        <v>No target type selected</v>
      </c>
      <c r="E732" s="893"/>
      <c r="F732" s="5"/>
      <c r="G732" s="5"/>
      <c r="H732" s="5"/>
      <c r="I732" s="5"/>
      <c r="J732" s="5"/>
      <c r="K732" s="557" t="str">
        <f t="shared" si="478"/>
        <v/>
      </c>
      <c r="L732" s="713"/>
      <c r="M732" s="562">
        <f t="shared" si="481"/>
        <v>0</v>
      </c>
      <c r="N732" s="915"/>
      <c r="O732" s="563"/>
      <c r="P732" s="562" t="str">
        <f t="shared" si="472"/>
        <v/>
      </c>
      <c r="Q732" s="560" t="str">
        <f t="shared" si="475"/>
        <v/>
      </c>
      <c r="R732" s="16"/>
      <c r="T732" s="124" t="s">
        <v>136</v>
      </c>
      <c r="U732" s="1"/>
      <c r="V732" s="1"/>
      <c r="W732" s="26"/>
      <c r="X732" s="113" t="s">
        <v>379</v>
      </c>
      <c r="Y732" s="113">
        <f t="shared" si="473"/>
        <v>2050</v>
      </c>
      <c r="Z732" s="113">
        <f t="shared" si="474"/>
        <v>0.85</v>
      </c>
      <c r="AA732" s="121" t="str">
        <f t="shared" si="476"/>
        <v/>
      </c>
      <c r="AB732" s="121" t="str">
        <f t="shared" si="477"/>
        <v/>
      </c>
      <c r="AC732" s="107"/>
    </row>
    <row r="733" spans="1:29" ht="50" hidden="1" customHeight="1" outlineLevel="3">
      <c r="A733" s="863" t="s">
        <v>121</v>
      </c>
      <c r="B733" s="886" t="s">
        <v>399</v>
      </c>
      <c r="C733" s="333" t="s">
        <v>369</v>
      </c>
      <c r="D733" s="333" t="str">
        <f t="shared" ref="D733" si="519">_xlfn.XLOOKUP(AC733,$AD$661:$AD$683,$D$661:$D$683,"No target",0)</f>
        <v>No target type selected</v>
      </c>
      <c r="E733" s="892" cm="1">
        <f t="array" ref="E733">SUMPRODUCT(('CMA Segmentation'!$M$80:$M$166=TRUE)*($AC733='CMA Segmentation'!$AK$80:$AK$166)*('Climate-Alignment Target'!E$242='CMA Segmentation'!$Q$79:$V$79)*('CMA Segmentation'!$Q$80:$V$166))</f>
        <v>0</v>
      </c>
      <c r="F733" s="5"/>
      <c r="G733" s="5"/>
      <c r="H733" s="5"/>
      <c r="I733" s="5"/>
      <c r="J733" s="5"/>
      <c r="K733" s="557" t="str">
        <f t="shared" si="478"/>
        <v/>
      </c>
      <c r="L733" s="712" t="str">
        <f t="shared" ref="L733" si="520">IF(K733="","",IF(E733=(K733+K734),"OK",IF(D733="Sector target","OK - covered by sector target",IF(AND(E733=0,D733="No target type selected"),"OK","Review financial exposure"))))</f>
        <v/>
      </c>
      <c r="M733" s="562">
        <f t="shared" si="481"/>
        <v>0</v>
      </c>
      <c r="N733" s="915"/>
      <c r="O733" s="563"/>
      <c r="P733" s="562" t="str">
        <f t="shared" si="472"/>
        <v/>
      </c>
      <c r="Q733" s="560" t="str">
        <f t="shared" si="475"/>
        <v/>
      </c>
      <c r="R733" s="16"/>
      <c r="T733" s="124" t="s">
        <v>121</v>
      </c>
      <c r="U733" s="1"/>
      <c r="V733" s="1"/>
      <c r="W733" s="26"/>
      <c r="X733" s="113" t="s">
        <v>373</v>
      </c>
      <c r="Y733" s="113">
        <f t="shared" si="473"/>
        <v>2040</v>
      </c>
      <c r="Z733" s="113">
        <f t="shared" si="474"/>
        <v>0.95</v>
      </c>
      <c r="AA733" s="121" t="str">
        <f t="shared" si="476"/>
        <v/>
      </c>
      <c r="AB733" s="121" t="str">
        <f t="shared" si="477"/>
        <v/>
      </c>
      <c r="AC733" s="107" t="s">
        <v>207</v>
      </c>
    </row>
    <row r="734" spans="1:29" ht="50" hidden="1" customHeight="1" outlineLevel="3">
      <c r="A734" s="865"/>
      <c r="B734" s="886"/>
      <c r="C734" s="333" t="s">
        <v>372</v>
      </c>
      <c r="D734" s="333" t="str">
        <f t="shared" ref="D734" si="521">D733</f>
        <v>No target type selected</v>
      </c>
      <c r="E734" s="893"/>
      <c r="F734" s="5"/>
      <c r="G734" s="5"/>
      <c r="H734" s="5"/>
      <c r="I734" s="5"/>
      <c r="J734" s="5"/>
      <c r="K734" s="557" t="str">
        <f t="shared" si="478"/>
        <v/>
      </c>
      <c r="L734" s="713"/>
      <c r="M734" s="562">
        <f t="shared" si="481"/>
        <v>0</v>
      </c>
      <c r="N734" s="915"/>
      <c r="O734" s="563"/>
      <c r="P734" s="562" t="str">
        <f t="shared" si="472"/>
        <v/>
      </c>
      <c r="Q734" s="560" t="str">
        <f t="shared" si="475"/>
        <v/>
      </c>
      <c r="R734" s="16"/>
      <c r="T734" s="124" t="s">
        <v>121</v>
      </c>
      <c r="U734" s="1"/>
      <c r="V734" s="1"/>
      <c r="W734" s="26"/>
      <c r="X734" s="113" t="s">
        <v>374</v>
      </c>
      <c r="Y734" s="113">
        <f t="shared" si="473"/>
        <v>2040</v>
      </c>
      <c r="Z734" s="113">
        <f t="shared" si="474"/>
        <v>0.85</v>
      </c>
      <c r="AA734" s="121" t="str">
        <f t="shared" si="476"/>
        <v/>
      </c>
      <c r="AB734" s="121" t="str">
        <f t="shared" si="477"/>
        <v/>
      </c>
      <c r="AC734" s="107"/>
    </row>
    <row r="735" spans="1:29" ht="50" hidden="1" customHeight="1" outlineLevel="3">
      <c r="A735" s="863" t="s">
        <v>136</v>
      </c>
      <c r="B735" s="886" t="s">
        <v>399</v>
      </c>
      <c r="C735" s="333" t="s">
        <v>369</v>
      </c>
      <c r="D735" s="333" t="str">
        <f t="shared" ref="D735" si="522">_xlfn.XLOOKUP(AC735,$AD$661:$AD$683,$D$661:$D$683,"No target",0)</f>
        <v>No target type selected</v>
      </c>
      <c r="E735" s="892" cm="1">
        <f t="array" ref="E735">SUMPRODUCT(('CMA Segmentation'!$M$80:$M$166=TRUE)*($AC735='CMA Segmentation'!$AK$80:$AK$166)*('Climate-Alignment Target'!E$242='CMA Segmentation'!$Q$79:$V$79)*('CMA Segmentation'!$Q$80:$V$166))</f>
        <v>0</v>
      </c>
      <c r="F735" s="5"/>
      <c r="G735" s="5"/>
      <c r="H735" s="5"/>
      <c r="I735" s="5"/>
      <c r="J735" s="5"/>
      <c r="K735" s="557" t="str">
        <f t="shared" si="478"/>
        <v/>
      </c>
      <c r="L735" s="712" t="str">
        <f t="shared" ref="L735" si="523">IF(K735="","",IF(E735=(K735+K736),"OK",IF(D735="Sector target","OK - covered by sector target",IF(AND(E735=0,D735="No target type selected"),"OK","Review financial exposure"))))</f>
        <v/>
      </c>
      <c r="M735" s="562">
        <f t="shared" si="481"/>
        <v>0</v>
      </c>
      <c r="N735" s="915"/>
      <c r="O735" s="563"/>
      <c r="P735" s="562" t="str">
        <f t="shared" si="472"/>
        <v/>
      </c>
      <c r="Q735" s="560" t="str">
        <f t="shared" si="475"/>
        <v/>
      </c>
      <c r="R735" s="16"/>
      <c r="T735" s="124" t="s">
        <v>136</v>
      </c>
      <c r="U735" s="1"/>
      <c r="V735" s="1"/>
      <c r="W735" s="26"/>
      <c r="X735" s="113" t="s">
        <v>378</v>
      </c>
      <c r="Y735" s="113">
        <f t="shared" si="473"/>
        <v>2050</v>
      </c>
      <c r="Z735" s="113">
        <f t="shared" si="474"/>
        <v>0.95</v>
      </c>
      <c r="AA735" s="121" t="str">
        <f t="shared" si="476"/>
        <v/>
      </c>
      <c r="AB735" s="121" t="str">
        <f t="shared" si="477"/>
        <v/>
      </c>
      <c r="AC735" s="107" t="s">
        <v>224</v>
      </c>
    </row>
    <row r="736" spans="1:29" ht="50" hidden="1" customHeight="1" outlineLevel="3">
      <c r="A736" s="865"/>
      <c r="B736" s="886"/>
      <c r="C736" s="333" t="s">
        <v>372</v>
      </c>
      <c r="D736" s="333" t="str">
        <f t="shared" ref="D736" si="524">D735</f>
        <v>No target type selected</v>
      </c>
      <c r="E736" s="893"/>
      <c r="F736" s="5"/>
      <c r="G736" s="5"/>
      <c r="H736" s="5"/>
      <c r="I736" s="5"/>
      <c r="J736" s="5"/>
      <c r="K736" s="557" t="str">
        <f t="shared" si="478"/>
        <v/>
      </c>
      <c r="L736" s="713"/>
      <c r="M736" s="562">
        <f t="shared" si="481"/>
        <v>0</v>
      </c>
      <c r="N736" s="915"/>
      <c r="O736" s="563"/>
      <c r="P736" s="562" t="str">
        <f t="shared" si="472"/>
        <v/>
      </c>
      <c r="Q736" s="560" t="str">
        <f t="shared" si="475"/>
        <v/>
      </c>
      <c r="R736" s="16"/>
      <c r="T736" s="124" t="s">
        <v>136</v>
      </c>
      <c r="U736" s="1"/>
      <c r="V736" s="1"/>
      <c r="W736" s="26"/>
      <c r="X736" s="113" t="s">
        <v>379</v>
      </c>
      <c r="Y736" s="113">
        <f t="shared" si="473"/>
        <v>2050</v>
      </c>
      <c r="Z736" s="113">
        <f t="shared" si="474"/>
        <v>0.85</v>
      </c>
      <c r="AA736" s="121" t="str">
        <f t="shared" si="476"/>
        <v/>
      </c>
      <c r="AB736" s="121" t="str">
        <f t="shared" si="477"/>
        <v/>
      </c>
      <c r="AC736" s="107"/>
    </row>
    <row r="737" spans="1:29" ht="50" hidden="1" customHeight="1" outlineLevel="3">
      <c r="A737" s="863" t="s">
        <v>121</v>
      </c>
      <c r="B737" s="886" t="s">
        <v>400</v>
      </c>
      <c r="C737" s="333" t="s">
        <v>369</v>
      </c>
      <c r="D737" s="333" t="str">
        <f t="shared" ref="D737" si="525">_xlfn.XLOOKUP(AC737,$AD$661:$AD$683,$D$661:$D$683,"No target",0)</f>
        <v>No target type selected</v>
      </c>
      <c r="E737" s="892" cm="1">
        <f t="array" ref="E737">SUMPRODUCT(('CMA Segmentation'!$M$80:$M$166=TRUE)*($AC737='CMA Segmentation'!$AK$80:$AK$166)*('Climate-Alignment Target'!E$242='CMA Segmentation'!$Q$79:$V$79)*('CMA Segmentation'!$Q$80:$V$166))</f>
        <v>0</v>
      </c>
      <c r="F737" s="5"/>
      <c r="G737" s="5"/>
      <c r="H737" s="5"/>
      <c r="I737" s="5"/>
      <c r="J737" s="5"/>
      <c r="K737" s="557" t="str">
        <f>IF(D737&lt;&gt;"Climate-alignment target","",SUM(F737:J737))</f>
        <v/>
      </c>
      <c r="L737" s="712" t="str">
        <f t="shared" ref="L737" si="526">IF(K737="","",IF(E737=(K737+K738),"OK",IF(D737="Sector target","OK - covered by sector target",IF(AND(E737=0,D737="No target type selected"),"OK","Review financial exposure"))))</f>
        <v/>
      </c>
      <c r="M737" s="562">
        <f t="shared" si="481"/>
        <v>0</v>
      </c>
      <c r="N737" s="915"/>
      <c r="O737" s="563"/>
      <c r="P737" s="562" t="str">
        <f t="shared" si="472"/>
        <v/>
      </c>
      <c r="Q737" s="560" t="str">
        <f t="shared" si="475"/>
        <v/>
      </c>
      <c r="R737" s="16"/>
      <c r="T737" s="124" t="s">
        <v>121</v>
      </c>
      <c r="U737" s="1"/>
      <c r="V737" s="1"/>
      <c r="W737" s="26"/>
      <c r="X737" s="113" t="s">
        <v>373</v>
      </c>
      <c r="Y737" s="113">
        <f t="shared" si="473"/>
        <v>2040</v>
      </c>
      <c r="Z737" s="113">
        <f t="shared" si="474"/>
        <v>0.95</v>
      </c>
      <c r="AA737" s="121" t="str">
        <f t="shared" si="476"/>
        <v/>
      </c>
      <c r="AB737" s="121" t="str">
        <f t="shared" si="477"/>
        <v/>
      </c>
      <c r="AC737" s="107" t="s">
        <v>211</v>
      </c>
    </row>
    <row r="738" spans="1:29" ht="50" hidden="1" customHeight="1" outlineLevel="3">
      <c r="A738" s="865"/>
      <c r="B738" s="886"/>
      <c r="C738" s="333" t="s">
        <v>372</v>
      </c>
      <c r="D738" s="333" t="str">
        <f t="shared" ref="D738" si="527">D737</f>
        <v>No target type selected</v>
      </c>
      <c r="E738" s="893"/>
      <c r="F738" s="5"/>
      <c r="G738" s="5"/>
      <c r="H738" s="5"/>
      <c r="I738" s="5"/>
      <c r="J738" s="5"/>
      <c r="K738" s="557" t="str">
        <f t="shared" si="478"/>
        <v/>
      </c>
      <c r="L738" s="713"/>
      <c r="M738" s="562">
        <f t="shared" si="481"/>
        <v>0</v>
      </c>
      <c r="N738" s="915"/>
      <c r="O738" s="563"/>
      <c r="P738" s="562" t="str">
        <f t="shared" si="472"/>
        <v/>
      </c>
      <c r="Q738" s="560" t="str">
        <f t="shared" si="475"/>
        <v/>
      </c>
      <c r="R738" s="16"/>
      <c r="T738" s="124" t="s">
        <v>121</v>
      </c>
      <c r="U738" s="1"/>
      <c r="V738" s="1"/>
      <c r="W738" s="26"/>
      <c r="X738" s="113" t="s">
        <v>374</v>
      </c>
      <c r="Y738" s="113">
        <f t="shared" si="473"/>
        <v>2040</v>
      </c>
      <c r="Z738" s="113">
        <f t="shared" si="474"/>
        <v>0.85</v>
      </c>
      <c r="AA738" s="121" t="str">
        <f t="shared" si="476"/>
        <v/>
      </c>
      <c r="AB738" s="121" t="str">
        <f t="shared" si="477"/>
        <v/>
      </c>
      <c r="AC738" s="107"/>
    </row>
    <row r="739" spans="1:29" ht="50" hidden="1" customHeight="1" outlineLevel="3">
      <c r="A739" s="881" t="s">
        <v>136</v>
      </c>
      <c r="B739" s="886" t="s">
        <v>400</v>
      </c>
      <c r="C739" s="333" t="s">
        <v>369</v>
      </c>
      <c r="D739" s="333" t="str">
        <f t="shared" ref="D739" si="528">_xlfn.XLOOKUP(AC739,$AD$661:$AD$683,$D$661:$D$683,"No target",0)</f>
        <v>No target type selected</v>
      </c>
      <c r="E739" s="892" cm="1">
        <f t="array" ref="E739">SUMPRODUCT(('CMA Segmentation'!$M$80:$M$166=TRUE)*($AC739='CMA Segmentation'!$AK$80:$AK$166)*('Climate-Alignment Target'!E$242='CMA Segmentation'!$Q$79:$V$79)*('CMA Segmentation'!$Q$80:$V$166))</f>
        <v>0</v>
      </c>
      <c r="F739" s="5"/>
      <c r="G739" s="5"/>
      <c r="H739" s="5"/>
      <c r="I739" s="5"/>
      <c r="J739" s="5"/>
      <c r="K739" s="557" t="str">
        <f t="shared" si="478"/>
        <v/>
      </c>
      <c r="L739" s="712" t="str">
        <f t="shared" ref="L739" si="529">IF(K739="","",IF(E739=(K739+K740),"OK",IF(D739="Sector target","OK - covered by sector target",IF(AND(E739=0,D739="No target type selected"),"OK","Review financial exposure"))))</f>
        <v/>
      </c>
      <c r="M739" s="562">
        <f t="shared" si="481"/>
        <v>0</v>
      </c>
      <c r="N739" s="915"/>
      <c r="O739" s="563"/>
      <c r="P739" s="562" t="str">
        <f t="shared" si="472"/>
        <v/>
      </c>
      <c r="Q739" s="560" t="str">
        <f t="shared" si="475"/>
        <v/>
      </c>
      <c r="R739" s="16"/>
      <c r="T739" s="124" t="s">
        <v>136</v>
      </c>
      <c r="U739" s="1"/>
      <c r="V739" s="1"/>
      <c r="W739" s="26"/>
      <c r="X739" s="113" t="s">
        <v>378</v>
      </c>
      <c r="Y739" s="113">
        <f t="shared" si="473"/>
        <v>2050</v>
      </c>
      <c r="Z739" s="113">
        <f t="shared" si="474"/>
        <v>0.95</v>
      </c>
      <c r="AA739" s="121" t="str">
        <f t="shared" si="476"/>
        <v/>
      </c>
      <c r="AB739" s="121" t="str">
        <f t="shared" si="477"/>
        <v/>
      </c>
      <c r="AC739" s="107" t="s">
        <v>226</v>
      </c>
    </row>
    <row r="740" spans="1:29" ht="50" hidden="1" customHeight="1" outlineLevel="3">
      <c r="A740" s="882"/>
      <c r="B740" s="886"/>
      <c r="C740" s="333" t="s">
        <v>372</v>
      </c>
      <c r="D740" s="333" t="str">
        <f t="shared" ref="D740" si="530">D739</f>
        <v>No target type selected</v>
      </c>
      <c r="E740" s="893"/>
      <c r="F740" s="5"/>
      <c r="G740" s="5"/>
      <c r="H740" s="5"/>
      <c r="I740" s="5"/>
      <c r="J740" s="5"/>
      <c r="K740" s="557" t="str">
        <f t="shared" si="478"/>
        <v/>
      </c>
      <c r="L740" s="713"/>
      <c r="M740" s="562">
        <f t="shared" si="481"/>
        <v>0</v>
      </c>
      <c r="N740" s="915"/>
      <c r="O740" s="563"/>
      <c r="P740" s="562" t="str">
        <f t="shared" si="472"/>
        <v/>
      </c>
      <c r="Q740" s="560" t="str">
        <f t="shared" si="475"/>
        <v/>
      </c>
      <c r="R740" s="16"/>
      <c r="T740" s="124" t="s">
        <v>136</v>
      </c>
      <c r="U740" s="1"/>
      <c r="V740" s="1"/>
      <c r="W740" s="26"/>
      <c r="X740" s="113" t="s">
        <v>379</v>
      </c>
      <c r="Y740" s="113">
        <f t="shared" si="473"/>
        <v>2050</v>
      </c>
      <c r="Z740" s="113">
        <f t="shared" si="474"/>
        <v>0.85</v>
      </c>
      <c r="AA740" s="121" t="str">
        <f t="shared" si="476"/>
        <v/>
      </c>
      <c r="AB740" s="121" t="str">
        <f t="shared" si="477"/>
        <v/>
      </c>
      <c r="AC740" s="108"/>
    </row>
    <row r="741" spans="1:29" ht="50" hidden="1" customHeight="1" outlineLevel="3">
      <c r="A741" s="882"/>
      <c r="B741" s="863" t="s">
        <v>416</v>
      </c>
      <c r="C741" s="333" t="s">
        <v>369</v>
      </c>
      <c r="D741" s="333" t="str">
        <f t="shared" ref="D741" si="531">_xlfn.XLOOKUP(AC741,$AD$661:$AD$683,$D$661:$D$683,"No target",0)</f>
        <v>No target type selected</v>
      </c>
      <c r="E741" s="892" cm="1">
        <f t="array" ref="E741">SUMPRODUCT(('CMA Segmentation'!$M$80:$M$166=TRUE)*($AC741='CMA Segmentation'!$AK$80:$AK$166)*('Climate-Alignment Target'!E$242='CMA Segmentation'!$Q$79:$V$79)*('CMA Segmentation'!$Q$80:$V$166))</f>
        <v>0</v>
      </c>
      <c r="F741" s="5"/>
      <c r="G741" s="5"/>
      <c r="H741" s="5"/>
      <c r="I741" s="5"/>
      <c r="J741" s="5"/>
      <c r="K741" s="557" t="str">
        <f t="shared" si="478"/>
        <v/>
      </c>
      <c r="L741" s="712" t="str">
        <f t="shared" ref="L741" si="532">IF(K741="","",IF(E741=(K741+K742),"OK",IF(D741="Sector target","OK - covered by sector target",IF(AND(E741=0,D741="No target type selected"),"OK","Review financial exposure"))))</f>
        <v/>
      </c>
      <c r="M741" s="562">
        <f t="shared" si="481"/>
        <v>0</v>
      </c>
      <c r="N741" s="915"/>
      <c r="O741" s="563"/>
      <c r="P741" s="562" t="str">
        <f t="shared" si="472"/>
        <v/>
      </c>
      <c r="Q741" s="560" t="str">
        <f t="shared" si="475"/>
        <v/>
      </c>
      <c r="R741" s="16"/>
      <c r="T741" s="124" t="s">
        <v>136</v>
      </c>
      <c r="U741" s="1"/>
      <c r="V741" s="1"/>
      <c r="W741" s="26"/>
      <c r="X741" s="113" t="s">
        <v>378</v>
      </c>
      <c r="Y741" s="113">
        <f t="shared" si="473"/>
        <v>2050</v>
      </c>
      <c r="Z741" s="113">
        <f t="shared" si="474"/>
        <v>0.95</v>
      </c>
      <c r="AA741" s="121" t="str">
        <f t="shared" si="476"/>
        <v/>
      </c>
      <c r="AB741" s="121" t="str">
        <f t="shared" si="477"/>
        <v/>
      </c>
      <c r="AC741" s="108" t="s">
        <v>265</v>
      </c>
    </row>
    <row r="742" spans="1:29" ht="50" hidden="1" customHeight="1" outlineLevel="3">
      <c r="A742" s="882"/>
      <c r="B742" s="865"/>
      <c r="C742" s="333" t="s">
        <v>372</v>
      </c>
      <c r="D742" s="333" t="str">
        <f t="shared" ref="D742" si="533">D741</f>
        <v>No target type selected</v>
      </c>
      <c r="E742" s="893"/>
      <c r="F742" s="5"/>
      <c r="G742" s="5"/>
      <c r="H742" s="5"/>
      <c r="I742" s="5"/>
      <c r="J742" s="5"/>
      <c r="K742" s="557" t="str">
        <f t="shared" si="478"/>
        <v/>
      </c>
      <c r="L742" s="713"/>
      <c r="M742" s="562">
        <f t="shared" si="481"/>
        <v>0</v>
      </c>
      <c r="N742" s="915"/>
      <c r="O742" s="563"/>
      <c r="P742" s="562" t="str">
        <f t="shared" si="472"/>
        <v/>
      </c>
      <c r="Q742" s="560" t="str">
        <f t="shared" si="475"/>
        <v/>
      </c>
      <c r="R742" s="16"/>
      <c r="T742" s="124" t="s">
        <v>136</v>
      </c>
      <c r="U742" s="1"/>
      <c r="V742" s="1"/>
      <c r="W742" s="26"/>
      <c r="X742" s="113" t="s">
        <v>379</v>
      </c>
      <c r="Y742" s="113">
        <f t="shared" si="473"/>
        <v>2050</v>
      </c>
      <c r="Z742" s="113">
        <f t="shared" si="474"/>
        <v>0.85</v>
      </c>
      <c r="AA742" s="121" t="str">
        <f t="shared" si="476"/>
        <v/>
      </c>
      <c r="AB742" s="121" t="str">
        <f t="shared" si="477"/>
        <v/>
      </c>
      <c r="AC742" s="108"/>
    </row>
    <row r="743" spans="1:29" ht="50" hidden="1" customHeight="1" outlineLevel="3">
      <c r="A743" s="882"/>
      <c r="B743" s="863" t="s">
        <v>69</v>
      </c>
      <c r="C743" s="333" t="s">
        <v>369</v>
      </c>
      <c r="D743" s="333" t="str">
        <f t="shared" ref="D743:D745" si="534">_xlfn.XLOOKUP(AC743,$AD$661:$AD$683,$D$661:$D$683,"No target",0)</f>
        <v>No target type selected</v>
      </c>
      <c r="E743" s="892" cm="1">
        <f t="array" ref="E743">SUMPRODUCT(('CMA Segmentation'!$M$80:$M$166=TRUE)*($AC743='CMA Segmentation'!$AK$80:$AK$166)*('Climate-Alignment Target'!E$242='CMA Segmentation'!$Q$79:$V$79)*('CMA Segmentation'!$Q$80:$V$166))</f>
        <v>0</v>
      </c>
      <c r="F743" s="5"/>
      <c r="G743" s="5"/>
      <c r="H743" s="5"/>
      <c r="I743" s="5"/>
      <c r="J743" s="5"/>
      <c r="K743" s="557" t="str">
        <f t="shared" si="478"/>
        <v/>
      </c>
      <c r="L743" s="712" t="str">
        <f t="shared" ref="L743:L745" si="535">IF(K743="","",IF(E743=(K743+K744),"OK",IF(D743="Sector target","OK - covered by sector target",IF(AND(E743=0,D743="No target type selected"),"OK","Review financial exposure"))))</f>
        <v/>
      </c>
      <c r="M743" s="562">
        <f t="shared" si="481"/>
        <v>0</v>
      </c>
      <c r="N743" s="915"/>
      <c r="O743" s="563"/>
      <c r="P743" s="562" t="str">
        <f t="shared" si="472"/>
        <v/>
      </c>
      <c r="Q743" s="560" t="str">
        <f t="shared" si="475"/>
        <v/>
      </c>
      <c r="R743" s="16"/>
      <c r="T743" s="124" t="s">
        <v>136</v>
      </c>
      <c r="U743" s="1"/>
      <c r="V743" s="1"/>
      <c r="W743" s="26"/>
      <c r="X743" s="113" t="s">
        <v>378</v>
      </c>
      <c r="Y743" s="113">
        <f t="shared" si="473"/>
        <v>2050</v>
      </c>
      <c r="Z743" s="113">
        <f t="shared" si="474"/>
        <v>0.95</v>
      </c>
      <c r="AA743" s="121" t="str">
        <f t="shared" si="476"/>
        <v/>
      </c>
      <c r="AB743" s="121" t="str">
        <f t="shared" si="477"/>
        <v/>
      </c>
      <c r="AC743" s="108" t="s">
        <v>228</v>
      </c>
    </row>
    <row r="744" spans="1:29" ht="50" hidden="1" customHeight="1" outlineLevel="3">
      <c r="A744" s="882"/>
      <c r="B744" s="865"/>
      <c r="C744" s="333" t="s">
        <v>372</v>
      </c>
      <c r="D744" s="333" t="str">
        <f t="shared" ref="D744:D746" si="536">D743</f>
        <v>No target type selected</v>
      </c>
      <c r="E744" s="893"/>
      <c r="F744" s="5"/>
      <c r="G744" s="5"/>
      <c r="H744" s="5"/>
      <c r="I744" s="5"/>
      <c r="J744" s="5"/>
      <c r="K744" s="557" t="str">
        <f t="shared" si="478"/>
        <v/>
      </c>
      <c r="L744" s="713"/>
      <c r="M744" s="562">
        <f t="shared" si="481"/>
        <v>0</v>
      </c>
      <c r="N744" s="915"/>
      <c r="O744" s="563"/>
      <c r="P744" s="562" t="str">
        <f t="shared" si="472"/>
        <v/>
      </c>
      <c r="Q744" s="560" t="str">
        <f t="shared" si="475"/>
        <v/>
      </c>
      <c r="R744" s="16"/>
      <c r="T744" s="124" t="s">
        <v>136</v>
      </c>
      <c r="W744" s="65"/>
      <c r="X744" s="113" t="s">
        <v>379</v>
      </c>
      <c r="Y744" s="113">
        <f t="shared" si="473"/>
        <v>2050</v>
      </c>
      <c r="Z744" s="113">
        <f t="shared" si="474"/>
        <v>0.85</v>
      </c>
      <c r="AA744" s="121" t="str">
        <f t="shared" si="476"/>
        <v/>
      </c>
      <c r="AB744" s="121" t="str">
        <f t="shared" si="477"/>
        <v/>
      </c>
      <c r="AC744" s="107"/>
    </row>
    <row r="745" spans="1:29" ht="50" hidden="1" customHeight="1" outlineLevel="3">
      <c r="A745" s="882"/>
      <c r="B745" s="863" t="s">
        <v>135</v>
      </c>
      <c r="C745" s="333" t="s">
        <v>369</v>
      </c>
      <c r="D745" s="333" t="str">
        <f t="shared" si="534"/>
        <v>No target type selected</v>
      </c>
      <c r="E745" s="892" cm="1">
        <f t="array" ref="E745">SUMPRODUCT(('CMA Segmentation'!$M$80:$M$166=TRUE)*($AC745='CMA Segmentation'!$AK$80:$AK$166)*('Climate-Alignment Target'!E$242='CMA Segmentation'!$Q$79:$V$79)*('CMA Segmentation'!$Q$80:$V$166))</f>
        <v>0</v>
      </c>
      <c r="F745" s="5"/>
      <c r="G745" s="5"/>
      <c r="H745" s="5"/>
      <c r="I745" s="5"/>
      <c r="J745" s="5"/>
      <c r="K745" s="557" t="str">
        <f t="shared" ref="K745:K746" si="537">IF(D745&lt;&gt;"Climate-alignment target","",SUM(F745:J745))</f>
        <v/>
      </c>
      <c r="L745" s="712" t="str">
        <f t="shared" si="535"/>
        <v/>
      </c>
      <c r="M745" s="562">
        <f t="shared" si="481"/>
        <v>0</v>
      </c>
      <c r="N745" s="915"/>
      <c r="O745" s="563"/>
      <c r="P745" s="562" t="str">
        <f t="shared" si="472"/>
        <v/>
      </c>
      <c r="Q745" s="560" t="str">
        <f t="shared" ref="Q745:Q746" si="538">IF(O745="","",IF(O745-P745&gt;=0,"OK","Minimum ambition not met, please increase ambition"))</f>
        <v/>
      </c>
      <c r="R745" s="16"/>
      <c r="T745" s="124" t="s">
        <v>136</v>
      </c>
      <c r="W745" s="65"/>
      <c r="X745" s="113" t="s">
        <v>378</v>
      </c>
      <c r="Y745" s="113">
        <f t="shared" ref="Y745:Y746" si="539">_xlfn.XLOOKUP($X745,$AB$17:$AB$24,AE$17:AE$24,0,0)</f>
        <v>2050</v>
      </c>
      <c r="Z745" s="113">
        <f t="shared" ref="Z745:Z746" si="540">_xlfn.XLOOKUP($X745,$AB$17:$AB$24,AF$17:AF$24,0,0)</f>
        <v>0.95</v>
      </c>
      <c r="AA745" s="121" t="str">
        <f t="shared" ref="AA745:AA746" si="541">IF($D745&lt;&gt;"Climate-alignment target","",O745*K745)</f>
        <v/>
      </c>
      <c r="AB745" s="121" t="str">
        <f t="shared" ref="AB745:AB746" si="542">IF($D745&lt;&gt;"Climate-alignment target","",K745)</f>
        <v/>
      </c>
      <c r="AC745" s="107" t="s">
        <v>214</v>
      </c>
    </row>
    <row r="746" spans="1:29" ht="50" hidden="1" customHeight="1" outlineLevel="3">
      <c r="A746" s="883"/>
      <c r="B746" s="865"/>
      <c r="C746" s="333" t="s">
        <v>372</v>
      </c>
      <c r="D746" s="333" t="str">
        <f t="shared" si="536"/>
        <v>No target type selected</v>
      </c>
      <c r="E746" s="893"/>
      <c r="F746" s="5"/>
      <c r="G746" s="5"/>
      <c r="H746" s="5"/>
      <c r="I746" s="5"/>
      <c r="J746" s="5"/>
      <c r="K746" s="557" t="str">
        <f t="shared" si="537"/>
        <v/>
      </c>
      <c r="L746" s="713"/>
      <c r="M746" s="562">
        <f t="shared" si="481"/>
        <v>0</v>
      </c>
      <c r="N746" s="915"/>
      <c r="O746" s="563"/>
      <c r="P746" s="562" t="str">
        <f t="shared" si="472"/>
        <v/>
      </c>
      <c r="Q746" s="560" t="str">
        <f t="shared" si="538"/>
        <v/>
      </c>
      <c r="R746" s="16"/>
      <c r="T746" s="124" t="s">
        <v>136</v>
      </c>
      <c r="W746" s="65"/>
      <c r="X746" s="113" t="s">
        <v>379</v>
      </c>
      <c r="Y746" s="113">
        <f t="shared" si="539"/>
        <v>2050</v>
      </c>
      <c r="Z746" s="113">
        <f t="shared" si="540"/>
        <v>0.85</v>
      </c>
      <c r="AA746" s="121" t="str">
        <f t="shared" si="541"/>
        <v/>
      </c>
      <c r="AB746" s="121" t="str">
        <f t="shared" si="542"/>
        <v/>
      </c>
      <c r="AC746" s="107"/>
    </row>
    <row r="747" spans="1:29" ht="50" hidden="1" customHeight="1" outlineLevel="3">
      <c r="A747" s="881" t="s">
        <v>130</v>
      </c>
      <c r="B747" s="910"/>
      <c r="C747" s="333" t="s">
        <v>369</v>
      </c>
      <c r="D747" s="333" t="str">
        <f t="shared" ref="D747" si="543">_xlfn.XLOOKUP(AC747,$AD$661:$AD$683,$D$661:$D$683,"No target",0)</f>
        <v>No target type selected</v>
      </c>
      <c r="E747" s="892" cm="1">
        <f t="array" ref="E747">SUMPRODUCT(('CMA Segmentation'!$M$80:$M$166=TRUE)*($AC747='CMA Segmentation'!$AK$80:$AK$166)*('Climate-Alignment Target'!E$242='CMA Segmentation'!$Q$79:$V$79)*('CMA Segmentation'!$Q$80:$V$166))</f>
        <v>0</v>
      </c>
      <c r="F747" s="5"/>
      <c r="G747" s="5"/>
      <c r="H747" s="5"/>
      <c r="I747" s="5"/>
      <c r="J747" s="5"/>
      <c r="K747" s="557" t="str">
        <f t="shared" si="478"/>
        <v/>
      </c>
      <c r="L747" s="712" t="str">
        <f t="shared" ref="L747" si="544">IF(K747="","",IF(E747=(K747+K748),"OK",IF(D747="Sector target","OK - covered by sector target",IF(AND(E747=0,D747="No target type selected"),"OK","Review financial exposure"))))</f>
        <v/>
      </c>
      <c r="M747" s="562">
        <f t="shared" si="481"/>
        <v>0</v>
      </c>
      <c r="N747" s="915"/>
      <c r="O747" s="563"/>
      <c r="P747" s="562" t="str">
        <f t="shared" si="472"/>
        <v/>
      </c>
      <c r="Q747" s="560" t="str">
        <f t="shared" si="475"/>
        <v/>
      </c>
      <c r="R747" s="16"/>
      <c r="T747" s="124" t="s">
        <v>130</v>
      </c>
      <c r="W747" s="65"/>
      <c r="X747" s="113" t="s">
        <v>376</v>
      </c>
      <c r="Y747" s="113">
        <f t="shared" si="473"/>
        <v>2040</v>
      </c>
      <c r="Z747" s="113">
        <f t="shared" si="474"/>
        <v>0.95</v>
      </c>
      <c r="AA747" s="121" t="str">
        <f t="shared" si="476"/>
        <v/>
      </c>
      <c r="AB747" s="121" t="str">
        <f t="shared" si="477"/>
        <v/>
      </c>
      <c r="AC747" s="107" t="s">
        <v>213</v>
      </c>
    </row>
    <row r="748" spans="1:29" ht="50" hidden="1" customHeight="1" outlineLevel="3">
      <c r="A748" s="883"/>
      <c r="B748" s="911"/>
      <c r="C748" s="333" t="s">
        <v>372</v>
      </c>
      <c r="D748" s="333" t="str">
        <f t="shared" ref="D748" si="545">D747</f>
        <v>No target type selected</v>
      </c>
      <c r="E748" s="893"/>
      <c r="F748" s="5"/>
      <c r="G748" s="5"/>
      <c r="H748" s="5"/>
      <c r="I748" s="5"/>
      <c r="J748" s="5"/>
      <c r="K748" s="557" t="str">
        <f t="shared" si="478"/>
        <v/>
      </c>
      <c r="L748" s="713"/>
      <c r="M748" s="562">
        <f t="shared" si="481"/>
        <v>0</v>
      </c>
      <c r="N748" s="915"/>
      <c r="O748" s="563"/>
      <c r="P748" s="562" t="str">
        <f t="shared" si="472"/>
        <v/>
      </c>
      <c r="Q748" s="560" t="str">
        <f t="shared" si="475"/>
        <v/>
      </c>
      <c r="R748" s="16"/>
      <c r="T748" s="124" t="s">
        <v>130</v>
      </c>
      <c r="W748" s="65"/>
      <c r="X748" s="113" t="s">
        <v>377</v>
      </c>
      <c r="Y748" s="113">
        <f t="shared" si="473"/>
        <v>2040</v>
      </c>
      <c r="Z748" s="113">
        <f t="shared" si="474"/>
        <v>0.85</v>
      </c>
      <c r="AA748" s="121" t="str">
        <f t="shared" si="476"/>
        <v/>
      </c>
      <c r="AB748" s="121" t="str">
        <f t="shared" si="477"/>
        <v/>
      </c>
    </row>
    <row r="749" spans="1:29" ht="15.75" hidden="1" customHeight="1" outlineLevel="3">
      <c r="B749" s="1"/>
      <c r="C749" s="1"/>
      <c r="D749" s="1"/>
      <c r="E749" s="1"/>
    </row>
    <row r="750" spans="1:29" ht="15.75" hidden="1" customHeight="1" outlineLevel="3">
      <c r="A750" s="858" t="s">
        <v>407</v>
      </c>
      <c r="B750" s="858"/>
      <c r="C750" s="858"/>
      <c r="D750" s="858"/>
      <c r="E750" s="858"/>
      <c r="F750" s="858"/>
      <c r="G750" s="858"/>
      <c r="H750" s="858"/>
      <c r="I750" s="858"/>
      <c r="J750" s="858"/>
      <c r="K750" s="858"/>
      <c r="L750" s="858"/>
      <c r="M750" s="858"/>
      <c r="N750" s="858"/>
      <c r="O750" s="858"/>
      <c r="P750" s="858"/>
      <c r="Q750" s="858"/>
      <c r="R750" s="858"/>
      <c r="S750" s="858"/>
      <c r="T750" s="858"/>
      <c r="U750" s="858"/>
    </row>
    <row r="751" spans="1:29" ht="15.75" hidden="1" customHeight="1" outlineLevel="3">
      <c r="B751" s="1"/>
      <c r="C751" s="1"/>
      <c r="D751" s="1"/>
      <c r="E751" s="1"/>
    </row>
    <row r="752" spans="1:29" ht="30" hidden="1" customHeight="1" outlineLevel="3">
      <c r="A752" s="885" t="s">
        <v>99</v>
      </c>
      <c r="B752" s="885"/>
      <c r="C752" s="912" t="s">
        <v>364</v>
      </c>
      <c r="D752" s="798" t="s">
        <v>403</v>
      </c>
      <c r="E752" s="885" t="s">
        <v>365</v>
      </c>
      <c r="F752" s="885"/>
      <c r="G752" s="885"/>
      <c r="H752" s="885"/>
      <c r="I752" s="885"/>
      <c r="J752" s="885"/>
      <c r="K752" s="885"/>
      <c r="L752" s="885"/>
      <c r="M752" s="798" t="s">
        <v>809</v>
      </c>
      <c r="N752" s="834" t="s">
        <v>366</v>
      </c>
      <c r="O752" s="868"/>
      <c r="P752" s="868"/>
      <c r="Q752" s="835"/>
      <c r="R752" s="834" t="s">
        <v>367</v>
      </c>
      <c r="S752" s="868"/>
      <c r="T752" s="868"/>
      <c r="U752" s="835"/>
      <c r="W752" s="1"/>
      <c r="X752" s="121"/>
    </row>
    <row r="753" spans="1:36" ht="68" hidden="1" outlineLevel="3">
      <c r="A753" s="885"/>
      <c r="B753" s="885"/>
      <c r="C753" s="912"/>
      <c r="D753" s="798"/>
      <c r="E753" s="36" t="s">
        <v>106</v>
      </c>
      <c r="F753" s="554" t="s">
        <v>101</v>
      </c>
      <c r="G753" s="554" t="s">
        <v>102</v>
      </c>
      <c r="H753" s="558" t="s">
        <v>103</v>
      </c>
      <c r="I753" s="558" t="s">
        <v>104</v>
      </c>
      <c r="J753" s="554" t="s">
        <v>105</v>
      </c>
      <c r="K753" s="798" t="s">
        <v>807</v>
      </c>
      <c r="L753" s="798" t="s">
        <v>808</v>
      </c>
      <c r="M753" s="798"/>
      <c r="N753" s="885" t="s">
        <v>822</v>
      </c>
      <c r="O753" s="885" t="s">
        <v>826</v>
      </c>
      <c r="P753" s="913" t="s">
        <v>816</v>
      </c>
      <c r="Q753" s="914"/>
      <c r="R753" s="885" t="s">
        <v>810</v>
      </c>
      <c r="S753" s="885" t="s">
        <v>811</v>
      </c>
      <c r="T753" s="885" t="s">
        <v>812</v>
      </c>
      <c r="U753" s="798" t="s">
        <v>813</v>
      </c>
      <c r="W753" s="1"/>
    </row>
    <row r="754" spans="1:36" ht="30" hidden="1" customHeight="1" outlineLevel="3">
      <c r="A754" s="885"/>
      <c r="B754" s="885"/>
      <c r="C754" s="912"/>
      <c r="D754" s="798"/>
      <c r="E754" s="987" t="s">
        <v>819</v>
      </c>
      <c r="F754" s="988"/>
      <c r="G754" s="988"/>
      <c r="H754" s="988"/>
      <c r="I754" s="988"/>
      <c r="J754" s="989"/>
      <c r="K754" s="798"/>
      <c r="L754" s="798"/>
      <c r="M754" s="798"/>
      <c r="N754" s="885"/>
      <c r="O754" s="885"/>
      <c r="P754" s="38" t="s">
        <v>369</v>
      </c>
      <c r="Q754" s="559" t="s">
        <v>372</v>
      </c>
      <c r="R754" s="885"/>
      <c r="S754" s="885"/>
      <c r="T754" s="885"/>
      <c r="U754" s="798"/>
      <c r="W754" s="1"/>
    </row>
    <row r="755" spans="1:36" ht="35" hidden="1" customHeight="1" outlineLevel="3">
      <c r="A755" s="899" t="s">
        <v>113</v>
      </c>
      <c r="B755" s="900"/>
      <c r="C755" s="333" t="s">
        <v>369</v>
      </c>
      <c r="D755" s="901" t="s">
        <v>408</v>
      </c>
      <c r="E755" s="557" t="str">
        <f>IF(SUMIFS(K$703:K$748,$T$703:$T$748,$A755,$C$703:$C$748,$C755)=0,"",SUMIFS(K$703:K$748,$T$703:$T$748,$A755,$C$703:$C$748,$C755))</f>
        <v/>
      </c>
      <c r="F755" s="557" t="str">
        <f t="shared" ref="F755:J762" si="546">IF($E755="","",SUMIFS(F$703:F$748,$T$703:$T$748,$A755,$C$703:$C$748,$C755))</f>
        <v/>
      </c>
      <c r="G755" s="557" t="str">
        <f t="shared" si="546"/>
        <v/>
      </c>
      <c r="H755" s="557" t="str">
        <f t="shared" si="546"/>
        <v/>
      </c>
      <c r="I755" s="557" t="str">
        <f t="shared" si="546"/>
        <v/>
      </c>
      <c r="J755" s="557" t="str">
        <f t="shared" si="546"/>
        <v/>
      </c>
      <c r="K755" s="557" t="str">
        <f>IF($E755="","",SUM(F755:J755))</f>
        <v/>
      </c>
      <c r="L755" s="557" t="str">
        <f t="shared" ref="L755:L762" si="547">IF(K755="","",IF(E755-K755=0,"OK","Review financial exposure"))</f>
        <v/>
      </c>
      <c r="M755" s="562" t="str">
        <f>IF(SUM(F755:J755)=0,"",(H755+I755+J755)/(SUM(F755:J755)))</f>
        <v/>
      </c>
      <c r="N755" s="902">
        <f>N703</f>
        <v>0</v>
      </c>
      <c r="O755" s="562" t="str">
        <f>IFERROR(SUMIFS($AA$703:$AA$748,$T$703:$T$748,$A755,$C$703:$C$748,$C755,$D$703:$D$748,"Climate-alignment target")/SUMIFS($AB$703:$AB$748,$T$703:$T$748,$A755,$C$703:$C$748,$C755,$D$703:$D$748,"Climate-alignment target"),"")</f>
        <v/>
      </c>
      <c r="P755" s="905" t="str">
        <f>IFERROR(IF($N755="","",SUMPRODUCT(K755:K758,O755:O758)/SUM(K755:K758)),"")</f>
        <v/>
      </c>
      <c r="Q755" s="973" t="str">
        <f>IFERROR(IF($N755="","",SUMPRODUCT(K759:K762,O759:O762)/SUM(K759:K762)),"")</f>
        <v/>
      </c>
      <c r="R755" s="908"/>
      <c r="S755" s="909"/>
      <c r="T755" s="897" t="str">
        <f>IF(R755="","",95%)</f>
        <v/>
      </c>
      <c r="U755" s="898" t="str">
        <f>IF(S755="","",IF(S755-T755&gt;=0,"OK","Minimum ambition not met, please increase ambition"))</f>
        <v/>
      </c>
      <c r="W755" s="1"/>
      <c r="Y755" s="107"/>
      <c r="AI755" s="120" t="s">
        <v>442</v>
      </c>
      <c r="AJ755" s="120" t="s">
        <v>443</v>
      </c>
    </row>
    <row r="756" spans="1:36" ht="35" hidden="1" customHeight="1" outlineLevel="3">
      <c r="A756" s="899" t="s">
        <v>121</v>
      </c>
      <c r="B756" s="900"/>
      <c r="C756" s="333" t="s">
        <v>369</v>
      </c>
      <c r="D756" s="901"/>
      <c r="E756" s="557" t="str">
        <f>IF(SUMIFS(K$703:K$748,$T$703:$T$748,$A756,$C$703:$C$748,$C756)=0,"",SUMIFS(K$703:K$748,$T$703:$T$748,$A756,$C$703:$C$748,$C756))</f>
        <v/>
      </c>
      <c r="F756" s="557" t="str">
        <f t="shared" si="546"/>
        <v/>
      </c>
      <c r="G756" s="557" t="str">
        <f t="shared" si="546"/>
        <v/>
      </c>
      <c r="H756" s="557" t="str">
        <f t="shared" si="546"/>
        <v/>
      </c>
      <c r="I756" s="557" t="str">
        <f t="shared" si="546"/>
        <v/>
      </c>
      <c r="J756" s="557" t="str">
        <f t="shared" si="546"/>
        <v/>
      </c>
      <c r="K756" s="557" t="str">
        <f t="shared" ref="K756:K762" si="548">IF($E756="","",SUM(F756:J756))</f>
        <v/>
      </c>
      <c r="L756" s="557" t="str">
        <f t="shared" si="547"/>
        <v/>
      </c>
      <c r="M756" s="562" t="str">
        <f t="shared" ref="M756:M762" si="549">IF(SUM(F756:J756)=0,"",(H756+I756+J756)/(SUM(F756:J756)))</f>
        <v/>
      </c>
      <c r="N756" s="903"/>
      <c r="O756" s="562" t="str">
        <f t="shared" ref="O756:O762" si="550">IFERROR(SUMIFS($AA$703:$AA$748,$T$703:$T$748,$A756,$C$703:$C$748,$C756,$D$703:$D$748,"Climate-alignment target")/SUMIFS($AB$703:$AB$748,$T$703:$T$748,$A756,$C$703:$C$748,$C756,$D$703:$D$748,"Climate-alignment target"),"")</f>
        <v/>
      </c>
      <c r="P756" s="906"/>
      <c r="Q756" s="974"/>
      <c r="R756" s="908"/>
      <c r="S756" s="909"/>
      <c r="T756" s="897"/>
      <c r="U756" s="898"/>
      <c r="W756" s="1"/>
      <c r="Y756" s="107"/>
    </row>
    <row r="757" spans="1:36" ht="35" hidden="1" customHeight="1" outlineLevel="3">
      <c r="A757" s="899" t="s">
        <v>130</v>
      </c>
      <c r="B757" s="900"/>
      <c r="C757" s="333" t="s">
        <v>369</v>
      </c>
      <c r="D757" s="901"/>
      <c r="E757" s="557" t="str">
        <f t="shared" ref="E757:E762" si="551">IF(SUMIFS(K$703:K$748,$T$703:$T$748,$A757,$C$703:$C$748,$C757)=0,"",SUMIFS(K$703:K$748,$T$703:$T$748,$A757,$C$703:$C$748,$C757))</f>
        <v/>
      </c>
      <c r="F757" s="557" t="str">
        <f t="shared" si="546"/>
        <v/>
      </c>
      <c r="G757" s="557" t="str">
        <f t="shared" si="546"/>
        <v/>
      </c>
      <c r="H757" s="557" t="str">
        <f t="shared" si="546"/>
        <v/>
      </c>
      <c r="I757" s="557" t="str">
        <f t="shared" si="546"/>
        <v/>
      </c>
      <c r="J757" s="557" t="str">
        <f t="shared" si="546"/>
        <v/>
      </c>
      <c r="K757" s="557" t="str">
        <f t="shared" si="548"/>
        <v/>
      </c>
      <c r="L757" s="557" t="str">
        <f t="shared" si="547"/>
        <v/>
      </c>
      <c r="M757" s="562" t="str">
        <f t="shared" si="549"/>
        <v/>
      </c>
      <c r="N757" s="903"/>
      <c r="O757" s="562" t="str">
        <f t="shared" si="550"/>
        <v/>
      </c>
      <c r="P757" s="906"/>
      <c r="Q757" s="974"/>
      <c r="R757" s="908"/>
      <c r="S757" s="909"/>
      <c r="T757" s="897"/>
      <c r="U757" s="898"/>
      <c r="W757" s="1"/>
      <c r="X757" s="107"/>
      <c r="Y757" s="108"/>
    </row>
    <row r="758" spans="1:36" ht="35" hidden="1" customHeight="1" outlineLevel="3">
      <c r="A758" s="899" t="s">
        <v>136</v>
      </c>
      <c r="B758" s="900"/>
      <c r="C758" s="333" t="s">
        <v>369</v>
      </c>
      <c r="D758" s="901"/>
      <c r="E758" s="557" t="str">
        <f t="shared" si="551"/>
        <v/>
      </c>
      <c r="F758" s="557" t="str">
        <f t="shared" si="546"/>
        <v/>
      </c>
      <c r="G758" s="557" t="str">
        <f t="shared" si="546"/>
        <v/>
      </c>
      <c r="H758" s="557" t="str">
        <f t="shared" si="546"/>
        <v/>
      </c>
      <c r="I758" s="557" t="str">
        <f t="shared" si="546"/>
        <v/>
      </c>
      <c r="J758" s="557" t="str">
        <f t="shared" si="546"/>
        <v/>
      </c>
      <c r="K758" s="557" t="str">
        <f t="shared" si="548"/>
        <v/>
      </c>
      <c r="L758" s="557" t="str">
        <f t="shared" si="547"/>
        <v/>
      </c>
      <c r="M758" s="562" t="str">
        <f t="shared" si="549"/>
        <v/>
      </c>
      <c r="N758" s="903"/>
      <c r="O758" s="562" t="str">
        <f t="shared" si="550"/>
        <v/>
      </c>
      <c r="P758" s="906"/>
      <c r="Q758" s="974"/>
      <c r="R758" s="908"/>
      <c r="S758" s="909"/>
      <c r="T758" s="897"/>
      <c r="U758" s="898"/>
      <c r="W758" s="1"/>
      <c r="X758" s="107"/>
      <c r="Y758" s="107"/>
    </row>
    <row r="759" spans="1:36" ht="35" hidden="1" customHeight="1" outlineLevel="3">
      <c r="A759" s="899" t="s">
        <v>113</v>
      </c>
      <c r="B759" s="900"/>
      <c r="C759" s="333" t="s">
        <v>372</v>
      </c>
      <c r="D759" s="901"/>
      <c r="E759" s="557" t="str">
        <f t="shared" si="551"/>
        <v/>
      </c>
      <c r="F759" s="557" t="str">
        <f t="shared" si="546"/>
        <v/>
      </c>
      <c r="G759" s="557" t="str">
        <f t="shared" si="546"/>
        <v/>
      </c>
      <c r="H759" s="557" t="str">
        <f t="shared" si="546"/>
        <v/>
      </c>
      <c r="I759" s="557" t="str">
        <f t="shared" si="546"/>
        <v/>
      </c>
      <c r="J759" s="557" t="str">
        <f t="shared" si="546"/>
        <v/>
      </c>
      <c r="K759" s="557" t="str">
        <f t="shared" si="548"/>
        <v/>
      </c>
      <c r="L759" s="557" t="str">
        <f t="shared" si="547"/>
        <v/>
      </c>
      <c r="M759" s="562" t="str">
        <f t="shared" si="549"/>
        <v/>
      </c>
      <c r="N759" s="903"/>
      <c r="O759" s="562" t="str">
        <f t="shared" si="550"/>
        <v/>
      </c>
      <c r="P759" s="906"/>
      <c r="Q759" s="974"/>
      <c r="R759" s="908"/>
      <c r="S759" s="909"/>
      <c r="T759" s="897"/>
      <c r="U759" s="898"/>
    </row>
    <row r="760" spans="1:36" ht="35" hidden="1" customHeight="1" outlineLevel="3">
      <c r="A760" s="899" t="s">
        <v>121</v>
      </c>
      <c r="B760" s="900"/>
      <c r="C760" s="333" t="s">
        <v>372</v>
      </c>
      <c r="D760" s="901"/>
      <c r="E760" s="557" t="str">
        <f t="shared" si="551"/>
        <v/>
      </c>
      <c r="F760" s="557" t="str">
        <f t="shared" si="546"/>
        <v/>
      </c>
      <c r="G760" s="557" t="str">
        <f t="shared" si="546"/>
        <v/>
      </c>
      <c r="H760" s="557" t="str">
        <f t="shared" si="546"/>
        <v/>
      </c>
      <c r="I760" s="557" t="str">
        <f t="shared" si="546"/>
        <v/>
      </c>
      <c r="J760" s="557" t="str">
        <f t="shared" si="546"/>
        <v/>
      </c>
      <c r="K760" s="557" t="str">
        <f t="shared" si="548"/>
        <v/>
      </c>
      <c r="L760" s="557" t="str">
        <f t="shared" si="547"/>
        <v/>
      </c>
      <c r="M760" s="562" t="str">
        <f t="shared" si="549"/>
        <v/>
      </c>
      <c r="N760" s="903"/>
      <c r="O760" s="562" t="str">
        <f t="shared" si="550"/>
        <v/>
      </c>
      <c r="P760" s="906"/>
      <c r="Q760" s="974"/>
      <c r="R760" s="908"/>
      <c r="S760" s="909"/>
      <c r="T760" s="897"/>
      <c r="U760" s="898"/>
    </row>
    <row r="761" spans="1:36" ht="35" hidden="1" customHeight="1" outlineLevel="3">
      <c r="A761" s="899" t="s">
        <v>130</v>
      </c>
      <c r="B761" s="900"/>
      <c r="C761" s="333" t="s">
        <v>372</v>
      </c>
      <c r="D761" s="901"/>
      <c r="E761" s="557" t="str">
        <f t="shared" si="551"/>
        <v/>
      </c>
      <c r="F761" s="557" t="str">
        <f t="shared" si="546"/>
        <v/>
      </c>
      <c r="G761" s="557" t="str">
        <f t="shared" si="546"/>
        <v/>
      </c>
      <c r="H761" s="557" t="str">
        <f t="shared" si="546"/>
        <v/>
      </c>
      <c r="I761" s="557" t="str">
        <f t="shared" si="546"/>
        <v/>
      </c>
      <c r="J761" s="557" t="str">
        <f t="shared" si="546"/>
        <v/>
      </c>
      <c r="K761" s="557" t="str">
        <f t="shared" si="548"/>
        <v/>
      </c>
      <c r="L761" s="557" t="str">
        <f t="shared" si="547"/>
        <v/>
      </c>
      <c r="M761" s="562" t="str">
        <f t="shared" si="549"/>
        <v/>
      </c>
      <c r="N761" s="903"/>
      <c r="O761" s="562" t="str">
        <f t="shared" si="550"/>
        <v/>
      </c>
      <c r="P761" s="906"/>
      <c r="Q761" s="974"/>
      <c r="R761" s="908"/>
      <c r="S761" s="909"/>
      <c r="T761" s="897"/>
      <c r="U761" s="898"/>
    </row>
    <row r="762" spans="1:36" ht="35" hidden="1" customHeight="1" outlineLevel="3">
      <c r="A762" s="899" t="s">
        <v>136</v>
      </c>
      <c r="B762" s="900"/>
      <c r="C762" s="333" t="s">
        <v>372</v>
      </c>
      <c r="D762" s="901"/>
      <c r="E762" s="557" t="str">
        <f t="shared" si="551"/>
        <v/>
      </c>
      <c r="F762" s="557" t="str">
        <f t="shared" si="546"/>
        <v/>
      </c>
      <c r="G762" s="557" t="str">
        <f t="shared" si="546"/>
        <v/>
      </c>
      <c r="H762" s="557" t="str">
        <f t="shared" si="546"/>
        <v/>
      </c>
      <c r="I762" s="557" t="str">
        <f t="shared" si="546"/>
        <v/>
      </c>
      <c r="J762" s="557" t="str">
        <f t="shared" si="546"/>
        <v/>
      </c>
      <c r="K762" s="557" t="str">
        <f t="shared" si="548"/>
        <v/>
      </c>
      <c r="L762" s="557" t="str">
        <f t="shared" si="547"/>
        <v/>
      </c>
      <c r="M762" s="562" t="str">
        <f t="shared" si="549"/>
        <v/>
      </c>
      <c r="N762" s="904"/>
      <c r="O762" s="562" t="str">
        <f t="shared" si="550"/>
        <v/>
      </c>
      <c r="P762" s="907"/>
      <c r="Q762" s="975"/>
      <c r="R762" s="908"/>
      <c r="S762" s="909"/>
      <c r="T762" s="897"/>
      <c r="U762" s="898"/>
    </row>
  </sheetData>
  <sheetProtection algorithmName="SHA-512" hashValue="9weCCd4dnu6eDIkpCLANfPGmdaezBjEbJopDB3IpaLAc3+bRut3dzNt9TcZ8JpBYN8pgaKU3fIf5sIUIz2e9pQ==" saltValue="hvDpbR5X5Oxr4UM3ixFusA==" spinCount="100000" sheet="1" objects="1" scenarios="1" formatCells="0" formatColumns="0" formatRows="0" selectLockedCells="1"/>
  <mergeCells count="1344">
    <mergeCell ref="A151:B151"/>
    <mergeCell ref="E739:E740"/>
    <mergeCell ref="E741:E742"/>
    <mergeCell ref="B743:B744"/>
    <mergeCell ref="Q755:Q762"/>
    <mergeCell ref="R752:U752"/>
    <mergeCell ref="N752:Q752"/>
    <mergeCell ref="R139:U139"/>
    <mergeCell ref="N139:Q139"/>
    <mergeCell ref="P140:Q140"/>
    <mergeCell ref="Q142:Q149"/>
    <mergeCell ref="R293:U293"/>
    <mergeCell ref="N293:Q293"/>
    <mergeCell ref="P294:Q294"/>
    <mergeCell ref="Q296:Q303"/>
    <mergeCell ref="R446:U446"/>
    <mergeCell ref="N446:Q446"/>
    <mergeCell ref="P447:Q447"/>
    <mergeCell ref="Q449:Q456"/>
    <mergeCell ref="R599:U599"/>
    <mergeCell ref="N599:Q599"/>
    <mergeCell ref="P600:Q600"/>
    <mergeCell ref="S140:S141"/>
    <mergeCell ref="T140:T141"/>
    <mergeCell ref="U140:U141"/>
    <mergeCell ref="B157:E157"/>
    <mergeCell ref="B159:C159"/>
    <mergeCell ref="E159:E160"/>
    <mergeCell ref="B160:C160"/>
    <mergeCell ref="E163:F163"/>
    <mergeCell ref="A164:D164"/>
    <mergeCell ref="A147:B147"/>
    <mergeCell ref="A148:B148"/>
    <mergeCell ref="E448:J448"/>
    <mergeCell ref="E601:J601"/>
    <mergeCell ref="E754:J754"/>
    <mergeCell ref="M17:R17"/>
    <mergeCell ref="Q18:R19"/>
    <mergeCell ref="Q20:R23"/>
    <mergeCell ref="M29:R29"/>
    <mergeCell ref="Q30:R30"/>
    <mergeCell ref="R32:R39"/>
    <mergeCell ref="L94:L95"/>
    <mergeCell ref="L98:L99"/>
    <mergeCell ref="L100:L101"/>
    <mergeCell ref="L102:L103"/>
    <mergeCell ref="L104:L105"/>
    <mergeCell ref="K140:K141"/>
    <mergeCell ref="L140:L141"/>
    <mergeCell ref="N140:N141"/>
    <mergeCell ref="O140:O141"/>
    <mergeCell ref="R140:R141"/>
    <mergeCell ref="F141:J141"/>
    <mergeCell ref="E139:L139"/>
    <mergeCell ref="M139:M141"/>
    <mergeCell ref="E128:E129"/>
    <mergeCell ref="L128:L129"/>
    <mergeCell ref="L96:L97"/>
    <mergeCell ref="L118:L119"/>
    <mergeCell ref="N89:Q89"/>
    <mergeCell ref="A150:B150"/>
    <mergeCell ref="K90:K91"/>
    <mergeCell ref="L90:L91"/>
    <mergeCell ref="N90:N91"/>
    <mergeCell ref="A137:T137"/>
    <mergeCell ref="A139:B141"/>
    <mergeCell ref="C139:C141"/>
    <mergeCell ref="D139:D141"/>
    <mergeCell ref="B128:B129"/>
    <mergeCell ref="L130:L131"/>
    <mergeCell ref="E130:E131"/>
    <mergeCell ref="L112:L113"/>
    <mergeCell ref="L114:L115"/>
    <mergeCell ref="L116:L117"/>
    <mergeCell ref="B108:B109"/>
    <mergeCell ref="B110:B111"/>
    <mergeCell ref="B112:B113"/>
    <mergeCell ref="B114:B115"/>
    <mergeCell ref="B116:B117"/>
    <mergeCell ref="B118:B119"/>
    <mergeCell ref="B120:B121"/>
    <mergeCell ref="B122:B123"/>
    <mergeCell ref="B124:B125"/>
    <mergeCell ref="B126:B127"/>
    <mergeCell ref="A108:A109"/>
    <mergeCell ref="B130:B131"/>
    <mergeCell ref="B132:B133"/>
    <mergeCell ref="L132:L133"/>
    <mergeCell ref="L106:L107"/>
    <mergeCell ref="L108:L109"/>
    <mergeCell ref="L110:L111"/>
    <mergeCell ref="E108:E109"/>
    <mergeCell ref="E110:E111"/>
    <mergeCell ref="A110:A111"/>
    <mergeCell ref="A112:A113"/>
    <mergeCell ref="A114:A115"/>
    <mergeCell ref="A116:A117"/>
    <mergeCell ref="A118:A119"/>
    <mergeCell ref="A120:A121"/>
    <mergeCell ref="A122:A123"/>
    <mergeCell ref="A124:A125"/>
    <mergeCell ref="A126:A127"/>
    <mergeCell ref="E112:E113"/>
    <mergeCell ref="E114:E115"/>
    <mergeCell ref="E116:E117"/>
    <mergeCell ref="E118:E119"/>
    <mergeCell ref="E120:E121"/>
    <mergeCell ref="E122:E123"/>
    <mergeCell ref="E124:E125"/>
    <mergeCell ref="L120:L121"/>
    <mergeCell ref="L122:L123"/>
    <mergeCell ref="L124:L125"/>
    <mergeCell ref="L126:L127"/>
    <mergeCell ref="E126:E127"/>
    <mergeCell ref="O90:O91"/>
    <mergeCell ref="P90:P91"/>
    <mergeCell ref="Q90:Q91"/>
    <mergeCell ref="F91:J91"/>
    <mergeCell ref="B94:B95"/>
    <mergeCell ref="A98:A99"/>
    <mergeCell ref="A100:A101"/>
    <mergeCell ref="A102:A103"/>
    <mergeCell ref="A104:A105"/>
    <mergeCell ref="A106:A107"/>
    <mergeCell ref="E92:E93"/>
    <mergeCell ref="E94:E95"/>
    <mergeCell ref="E98:E99"/>
    <mergeCell ref="E100:E101"/>
    <mergeCell ref="E102:E103"/>
    <mergeCell ref="E104:E105"/>
    <mergeCell ref="E106:E107"/>
    <mergeCell ref="A96:A97"/>
    <mergeCell ref="E96:E97"/>
    <mergeCell ref="B89:B91"/>
    <mergeCell ref="C89:C91"/>
    <mergeCell ref="D89:D91"/>
    <mergeCell ref="M89:M91"/>
    <mergeCell ref="A89:A91"/>
    <mergeCell ref="B92:B93"/>
    <mergeCell ref="B98:B99"/>
    <mergeCell ref="B100:B101"/>
    <mergeCell ref="B102:B103"/>
    <mergeCell ref="B104:B105"/>
    <mergeCell ref="B106:B107"/>
    <mergeCell ref="E89:L89"/>
    <mergeCell ref="L92:L93"/>
    <mergeCell ref="A36:B37"/>
    <mergeCell ref="A38:B39"/>
    <mergeCell ref="A17:B19"/>
    <mergeCell ref="A20:B20"/>
    <mergeCell ref="A21:B21"/>
    <mergeCell ref="A22:B22"/>
    <mergeCell ref="A23:B23"/>
    <mergeCell ref="C29:C31"/>
    <mergeCell ref="S30:S31"/>
    <mergeCell ref="V32:V39"/>
    <mergeCell ref="K32:K33"/>
    <mergeCell ref="D34:D35"/>
    <mergeCell ref="N18:N19"/>
    <mergeCell ref="O18:O19"/>
    <mergeCell ref="M20:M23"/>
    <mergeCell ref="O30:O31"/>
    <mergeCell ref="V20:V23"/>
    <mergeCell ref="A25:D25"/>
    <mergeCell ref="T30:T31"/>
    <mergeCell ref="U30:U31"/>
    <mergeCell ref="V30:V31"/>
    <mergeCell ref="E31:I31"/>
    <mergeCell ref="L29:L31"/>
    <mergeCell ref="S29:V29"/>
    <mergeCell ref="N76:P76"/>
    <mergeCell ref="C51:C72"/>
    <mergeCell ref="D76:D78"/>
    <mergeCell ref="K77:K78"/>
    <mergeCell ref="L77:L78"/>
    <mergeCell ref="P79:P82"/>
    <mergeCell ref="C79:C82"/>
    <mergeCell ref="C76:C78"/>
    <mergeCell ref="E76:L76"/>
    <mergeCell ref="M76:M78"/>
    <mergeCell ref="B88:G88"/>
    <mergeCell ref="A85:C85"/>
    <mergeCell ref="R79:R82"/>
    <mergeCell ref="T79:T82"/>
    <mergeCell ref="S79:S82"/>
    <mergeCell ref="N77:N78"/>
    <mergeCell ref="O77:O78"/>
    <mergeCell ref="Q77:Q78"/>
    <mergeCell ref="A79:B79"/>
    <mergeCell ref="A80:B80"/>
    <mergeCell ref="A81:B81"/>
    <mergeCell ref="N51:N72"/>
    <mergeCell ref="N79:N82"/>
    <mergeCell ref="D79:D82"/>
    <mergeCell ref="Q79:Q82"/>
    <mergeCell ref="X1:AK1"/>
    <mergeCell ref="K49:K50"/>
    <mergeCell ref="P77:P78"/>
    <mergeCell ref="F78:J78"/>
    <mergeCell ref="R77:R78"/>
    <mergeCell ref="S77:S78"/>
    <mergeCell ref="T77:T78"/>
    <mergeCell ref="M48:M50"/>
    <mergeCell ref="E48:K48"/>
    <mergeCell ref="O49:O50"/>
    <mergeCell ref="N49:N50"/>
    <mergeCell ref="P49:P50"/>
    <mergeCell ref="M27:V27"/>
    <mergeCell ref="E27:I27"/>
    <mergeCell ref="P30:P31"/>
    <mergeCell ref="B47:G47"/>
    <mergeCell ref="F50:J50"/>
    <mergeCell ref="Q49:Q50"/>
    <mergeCell ref="D29:K29"/>
    <mergeCell ref="S32:S39"/>
    <mergeCell ref="T32:T39"/>
    <mergeCell ref="U32:U39"/>
    <mergeCell ref="D38:D39"/>
    <mergeCell ref="K38:K39"/>
    <mergeCell ref="J30:J31"/>
    <mergeCell ref="K30:K31"/>
    <mergeCell ref="M30:M31"/>
    <mergeCell ref="N30:N31"/>
    <mergeCell ref="A76:B78"/>
    <mergeCell ref="Q76:T76"/>
    <mergeCell ref="A29:B31"/>
    <mergeCell ref="A32:B33"/>
    <mergeCell ref="E12:F12"/>
    <mergeCell ref="D17:K17"/>
    <mergeCell ref="L17:L19"/>
    <mergeCell ref="S17:V17"/>
    <mergeCell ref="J18:J19"/>
    <mergeCell ref="K18:K19"/>
    <mergeCell ref="M18:M19"/>
    <mergeCell ref="E8:E9"/>
    <mergeCell ref="B8:C8"/>
    <mergeCell ref="B9:C9"/>
    <mergeCell ref="B6:E6"/>
    <mergeCell ref="P18:P19"/>
    <mergeCell ref="S18:S19"/>
    <mergeCell ref="T18:T19"/>
    <mergeCell ref="A13:D13"/>
    <mergeCell ref="U18:U19"/>
    <mergeCell ref="V18:V19"/>
    <mergeCell ref="M15:V15"/>
    <mergeCell ref="K6:S6"/>
    <mergeCell ref="G6:I6"/>
    <mergeCell ref="A92:A95"/>
    <mergeCell ref="AC15:AF15"/>
    <mergeCell ref="A142:B142"/>
    <mergeCell ref="A143:B143"/>
    <mergeCell ref="A144:B144"/>
    <mergeCell ref="A145:B145"/>
    <mergeCell ref="A146:B146"/>
    <mergeCell ref="A134:B135"/>
    <mergeCell ref="E134:E135"/>
    <mergeCell ref="L134:L135"/>
    <mergeCell ref="N92:N135"/>
    <mergeCell ref="L49:L50"/>
    <mergeCell ref="N48:Q48"/>
    <mergeCell ref="S20:S23"/>
    <mergeCell ref="T20:T23"/>
    <mergeCell ref="U20:U23"/>
    <mergeCell ref="D48:D50"/>
    <mergeCell ref="B48:B50"/>
    <mergeCell ref="C48:C50"/>
    <mergeCell ref="A48:A50"/>
    <mergeCell ref="C20:C23"/>
    <mergeCell ref="A44:C44"/>
    <mergeCell ref="E19:I19"/>
    <mergeCell ref="K34:K35"/>
    <mergeCell ref="D36:D37"/>
    <mergeCell ref="K36:K37"/>
    <mergeCell ref="D32:D33"/>
    <mergeCell ref="M32:M39"/>
    <mergeCell ref="Q32:Q39"/>
    <mergeCell ref="C17:C19"/>
    <mergeCell ref="A34:B35"/>
    <mergeCell ref="A82:B82"/>
    <mergeCell ref="A149:B149"/>
    <mergeCell ref="R142:R149"/>
    <mergeCell ref="S142:S149"/>
    <mergeCell ref="T142:T149"/>
    <mergeCell ref="U142:U149"/>
    <mergeCell ref="D142:D149"/>
    <mergeCell ref="N142:N149"/>
    <mergeCell ref="P142:P149"/>
    <mergeCell ref="G157:I157"/>
    <mergeCell ref="T171:T174"/>
    <mergeCell ref="AF166:AI166"/>
    <mergeCell ref="A168:B170"/>
    <mergeCell ref="C168:C170"/>
    <mergeCell ref="D168:K168"/>
    <mergeCell ref="L168:L170"/>
    <mergeCell ref="S168:V168"/>
    <mergeCell ref="J169:J170"/>
    <mergeCell ref="K169:K170"/>
    <mergeCell ref="M169:M170"/>
    <mergeCell ref="N169:N170"/>
    <mergeCell ref="O169:O170"/>
    <mergeCell ref="P169:P170"/>
    <mergeCell ref="S169:S170"/>
    <mergeCell ref="T169:T170"/>
    <mergeCell ref="U169:U170"/>
    <mergeCell ref="V169:V170"/>
    <mergeCell ref="E170:I170"/>
    <mergeCell ref="U171:U174"/>
    <mergeCell ref="V171:V174"/>
    <mergeCell ref="A172:B172"/>
    <mergeCell ref="A173:B173"/>
    <mergeCell ref="A174:B174"/>
    <mergeCell ref="T183:T190"/>
    <mergeCell ref="U183:U190"/>
    <mergeCell ref="V183:V190"/>
    <mergeCell ref="A185:B186"/>
    <mergeCell ref="D185:D186"/>
    <mergeCell ref="K185:K186"/>
    <mergeCell ref="A187:B188"/>
    <mergeCell ref="D187:D188"/>
    <mergeCell ref="K187:K188"/>
    <mergeCell ref="A189:B190"/>
    <mergeCell ref="D189:D190"/>
    <mergeCell ref="K189:K190"/>
    <mergeCell ref="D180:K180"/>
    <mergeCell ref="L180:L182"/>
    <mergeCell ref="S180:V180"/>
    <mergeCell ref="J181:J182"/>
    <mergeCell ref="K181:K182"/>
    <mergeCell ref="M181:M182"/>
    <mergeCell ref="N181:N182"/>
    <mergeCell ref="O181:O182"/>
    <mergeCell ref="P181:P182"/>
    <mergeCell ref="A180:B182"/>
    <mergeCell ref="C180:C182"/>
    <mergeCell ref="S181:S182"/>
    <mergeCell ref="T181:T182"/>
    <mergeCell ref="U181:U182"/>
    <mergeCell ref="M180:R180"/>
    <mergeCell ref="B199:B201"/>
    <mergeCell ref="C199:C201"/>
    <mergeCell ref="D199:D201"/>
    <mergeCell ref="E199:K199"/>
    <mergeCell ref="M199:M201"/>
    <mergeCell ref="N199:Q199"/>
    <mergeCell ref="K200:K201"/>
    <mergeCell ref="L200:L201"/>
    <mergeCell ref="N200:N201"/>
    <mergeCell ref="O200:O201"/>
    <mergeCell ref="P200:P201"/>
    <mergeCell ref="Q200:Q201"/>
    <mergeCell ref="F201:J201"/>
    <mergeCell ref="A171:B171"/>
    <mergeCell ref="C171:C174"/>
    <mergeCell ref="M171:M174"/>
    <mergeCell ref="S171:S174"/>
    <mergeCell ref="Q183:Q190"/>
    <mergeCell ref="S183:S190"/>
    <mergeCell ref="A176:D176"/>
    <mergeCell ref="E178:I178"/>
    <mergeCell ref="M178:V178"/>
    <mergeCell ref="V181:V182"/>
    <mergeCell ref="E182:I182"/>
    <mergeCell ref="A183:B184"/>
    <mergeCell ref="D183:D184"/>
    <mergeCell ref="K183:K184"/>
    <mergeCell ref="M183:M190"/>
    <mergeCell ref="A195:C195"/>
    <mergeCell ref="B198:G198"/>
    <mergeCell ref="A199:A201"/>
    <mergeCell ref="R183:R190"/>
    <mergeCell ref="R231:R234"/>
    <mergeCell ref="S231:S234"/>
    <mergeCell ref="T231:T234"/>
    <mergeCell ref="A232:B232"/>
    <mergeCell ref="A233:B233"/>
    <mergeCell ref="A234:B234"/>
    <mergeCell ref="C202:C224"/>
    <mergeCell ref="N202:N224"/>
    <mergeCell ref="A228:B230"/>
    <mergeCell ref="C228:C230"/>
    <mergeCell ref="D228:D230"/>
    <mergeCell ref="E228:L228"/>
    <mergeCell ref="M228:M230"/>
    <mergeCell ref="N228:P228"/>
    <mergeCell ref="K229:K230"/>
    <mergeCell ref="L229:L230"/>
    <mergeCell ref="N229:N230"/>
    <mergeCell ref="O229:O230"/>
    <mergeCell ref="P229:P230"/>
    <mergeCell ref="Q229:Q230"/>
    <mergeCell ref="R229:R230"/>
    <mergeCell ref="S229:S230"/>
    <mergeCell ref="T229:T230"/>
    <mergeCell ref="E230:J230"/>
    <mergeCell ref="Q228:T228"/>
    <mergeCell ref="B240:G240"/>
    <mergeCell ref="A241:A243"/>
    <mergeCell ref="B241:B243"/>
    <mergeCell ref="C241:C243"/>
    <mergeCell ref="D241:D243"/>
    <mergeCell ref="E241:L241"/>
    <mergeCell ref="M241:M243"/>
    <mergeCell ref="N241:Q241"/>
    <mergeCell ref="K242:K243"/>
    <mergeCell ref="L242:L243"/>
    <mergeCell ref="N242:N243"/>
    <mergeCell ref="O242:O243"/>
    <mergeCell ref="P242:P243"/>
    <mergeCell ref="Q242:Q243"/>
    <mergeCell ref="F243:J243"/>
    <mergeCell ref="A231:B231"/>
    <mergeCell ref="C231:C234"/>
    <mergeCell ref="D231:D234"/>
    <mergeCell ref="N231:N234"/>
    <mergeCell ref="P231:P234"/>
    <mergeCell ref="Q231:Q234"/>
    <mergeCell ref="A244:A247"/>
    <mergeCell ref="B244:B245"/>
    <mergeCell ref="E244:E245"/>
    <mergeCell ref="L244:L245"/>
    <mergeCell ref="N244:N289"/>
    <mergeCell ref="B246:B247"/>
    <mergeCell ref="E246:E247"/>
    <mergeCell ref="L246:L247"/>
    <mergeCell ref="A248:A249"/>
    <mergeCell ref="E248:E249"/>
    <mergeCell ref="L248:L249"/>
    <mergeCell ref="A250:A251"/>
    <mergeCell ref="B250:B251"/>
    <mergeCell ref="E250:E251"/>
    <mergeCell ref="L250:L251"/>
    <mergeCell ref="A252:A253"/>
    <mergeCell ref="B252:B253"/>
    <mergeCell ref="E252:E253"/>
    <mergeCell ref="L252:L253"/>
    <mergeCell ref="A254:A255"/>
    <mergeCell ref="B254:B255"/>
    <mergeCell ref="A260:A261"/>
    <mergeCell ref="B260:B261"/>
    <mergeCell ref="E260:E261"/>
    <mergeCell ref="L260:L261"/>
    <mergeCell ref="A262:A263"/>
    <mergeCell ref="B262:B263"/>
    <mergeCell ref="E262:E263"/>
    <mergeCell ref="L262:L263"/>
    <mergeCell ref="A264:A265"/>
    <mergeCell ref="B264:B265"/>
    <mergeCell ref="E264:E265"/>
    <mergeCell ref="L264:L265"/>
    <mergeCell ref="E254:E255"/>
    <mergeCell ref="L254:L255"/>
    <mergeCell ref="A256:A257"/>
    <mergeCell ref="B256:B257"/>
    <mergeCell ref="E256:E257"/>
    <mergeCell ref="L256:L257"/>
    <mergeCell ref="A258:A259"/>
    <mergeCell ref="B258:B259"/>
    <mergeCell ref="E258:E259"/>
    <mergeCell ref="L258:L259"/>
    <mergeCell ref="A272:A273"/>
    <mergeCell ref="B272:B273"/>
    <mergeCell ref="E272:E273"/>
    <mergeCell ref="L272:L273"/>
    <mergeCell ref="A274:A275"/>
    <mergeCell ref="B274:B275"/>
    <mergeCell ref="E274:E275"/>
    <mergeCell ref="L274:L275"/>
    <mergeCell ref="A276:A277"/>
    <mergeCell ref="B276:B277"/>
    <mergeCell ref="E276:E277"/>
    <mergeCell ref="L276:L277"/>
    <mergeCell ref="A266:A267"/>
    <mergeCell ref="B266:B267"/>
    <mergeCell ref="E266:E267"/>
    <mergeCell ref="L266:L267"/>
    <mergeCell ref="A268:A269"/>
    <mergeCell ref="B268:B269"/>
    <mergeCell ref="E268:E269"/>
    <mergeCell ref="L268:L269"/>
    <mergeCell ref="A270:A271"/>
    <mergeCell ref="B270:B271"/>
    <mergeCell ref="E270:E271"/>
    <mergeCell ref="L270:L271"/>
    <mergeCell ref="A278:A279"/>
    <mergeCell ref="B278:B279"/>
    <mergeCell ref="E278:E279"/>
    <mergeCell ref="L278:L279"/>
    <mergeCell ref="B280:B281"/>
    <mergeCell ref="L280:L281"/>
    <mergeCell ref="E284:E285"/>
    <mergeCell ref="L284:L285"/>
    <mergeCell ref="B282:B283"/>
    <mergeCell ref="L282:L283"/>
    <mergeCell ref="A288:B289"/>
    <mergeCell ref="E288:E289"/>
    <mergeCell ref="L288:L289"/>
    <mergeCell ref="A291:T291"/>
    <mergeCell ref="A293:B295"/>
    <mergeCell ref="K294:K295"/>
    <mergeCell ref="B310:E310"/>
    <mergeCell ref="B312:C312"/>
    <mergeCell ref="E312:E313"/>
    <mergeCell ref="B313:C313"/>
    <mergeCell ref="R294:R295"/>
    <mergeCell ref="S294:S295"/>
    <mergeCell ref="T294:T295"/>
    <mergeCell ref="E295:J295"/>
    <mergeCell ref="A280:A287"/>
    <mergeCell ref="E286:E287"/>
    <mergeCell ref="L286:L287"/>
    <mergeCell ref="U294:U295"/>
    <mergeCell ref="C293:C295"/>
    <mergeCell ref="D293:D295"/>
    <mergeCell ref="E293:L293"/>
    <mergeCell ref="M293:M295"/>
    <mergeCell ref="L294:L295"/>
    <mergeCell ref="N294:N295"/>
    <mergeCell ref="O294:O295"/>
    <mergeCell ref="T296:T303"/>
    <mergeCell ref="U296:U303"/>
    <mergeCell ref="A297:B297"/>
    <mergeCell ref="A298:B298"/>
    <mergeCell ref="A299:B299"/>
    <mergeCell ref="A300:B300"/>
    <mergeCell ref="A301:B301"/>
    <mergeCell ref="A302:B302"/>
    <mergeCell ref="A303:B303"/>
    <mergeCell ref="A296:B296"/>
    <mergeCell ref="D296:D303"/>
    <mergeCell ref="N296:N303"/>
    <mergeCell ref="P296:P303"/>
    <mergeCell ref="AF319:AI319"/>
    <mergeCell ref="A321:B323"/>
    <mergeCell ref="C321:C323"/>
    <mergeCell ref="D321:K321"/>
    <mergeCell ref="L321:L323"/>
    <mergeCell ref="S321:V321"/>
    <mergeCell ref="J322:J323"/>
    <mergeCell ref="K322:K323"/>
    <mergeCell ref="M322:M323"/>
    <mergeCell ref="N322:N323"/>
    <mergeCell ref="O322:O323"/>
    <mergeCell ref="P322:P323"/>
    <mergeCell ref="S322:S323"/>
    <mergeCell ref="T322:T323"/>
    <mergeCell ref="U322:U323"/>
    <mergeCell ref="V322:V323"/>
    <mergeCell ref="E323:I323"/>
    <mergeCell ref="V334:V335"/>
    <mergeCell ref="A324:B324"/>
    <mergeCell ref="C324:C327"/>
    <mergeCell ref="M324:M327"/>
    <mergeCell ref="S324:S327"/>
    <mergeCell ref="T324:T327"/>
    <mergeCell ref="U324:U327"/>
    <mergeCell ref="V324:V327"/>
    <mergeCell ref="A325:B325"/>
    <mergeCell ref="A326:B326"/>
    <mergeCell ref="A327:B327"/>
    <mergeCell ref="A329:D329"/>
    <mergeCell ref="F331:J331"/>
    <mergeCell ref="R296:R303"/>
    <mergeCell ref="S296:S303"/>
    <mergeCell ref="E316:F316"/>
    <mergeCell ref="A317:D317"/>
    <mergeCell ref="G310:I310"/>
    <mergeCell ref="M319:V319"/>
    <mergeCell ref="M331:V331"/>
    <mergeCell ref="M321:R321"/>
    <mergeCell ref="Q322:R323"/>
    <mergeCell ref="Q324:R327"/>
    <mergeCell ref="M333:R333"/>
    <mergeCell ref="Q334:R334"/>
    <mergeCell ref="T336:T343"/>
    <mergeCell ref="U336:U343"/>
    <mergeCell ref="V336:V343"/>
    <mergeCell ref="A338:B339"/>
    <mergeCell ref="D338:D339"/>
    <mergeCell ref="K338:K339"/>
    <mergeCell ref="A340:B341"/>
    <mergeCell ref="D340:D341"/>
    <mergeCell ref="K340:K341"/>
    <mergeCell ref="A342:B343"/>
    <mergeCell ref="D342:D343"/>
    <mergeCell ref="K342:K343"/>
    <mergeCell ref="E335:I335"/>
    <mergeCell ref="A336:B337"/>
    <mergeCell ref="D336:D337"/>
    <mergeCell ref="K336:K337"/>
    <mergeCell ref="M336:M343"/>
    <mergeCell ref="Q336:Q343"/>
    <mergeCell ref="A333:B335"/>
    <mergeCell ref="C333:C335"/>
    <mergeCell ref="D333:K333"/>
    <mergeCell ref="L333:L335"/>
    <mergeCell ref="S333:V333"/>
    <mergeCell ref="J334:J335"/>
    <mergeCell ref="K334:K335"/>
    <mergeCell ref="M334:M335"/>
    <mergeCell ref="N334:N335"/>
    <mergeCell ref="O334:O335"/>
    <mergeCell ref="P334:P335"/>
    <mergeCell ref="S334:S335"/>
    <mergeCell ref="T334:T335"/>
    <mergeCell ref="U334:U335"/>
    <mergeCell ref="A348:C348"/>
    <mergeCell ref="B351:G351"/>
    <mergeCell ref="A352:A354"/>
    <mergeCell ref="B352:B354"/>
    <mergeCell ref="C352:C354"/>
    <mergeCell ref="D352:D354"/>
    <mergeCell ref="E352:K352"/>
    <mergeCell ref="M352:M354"/>
    <mergeCell ref="N352:Q352"/>
    <mergeCell ref="K353:K354"/>
    <mergeCell ref="L353:L354"/>
    <mergeCell ref="N353:N354"/>
    <mergeCell ref="O353:O354"/>
    <mergeCell ref="P353:P354"/>
    <mergeCell ref="Q353:Q354"/>
    <mergeCell ref="F354:J354"/>
    <mergeCell ref="S336:S343"/>
    <mergeCell ref="R336:R343"/>
    <mergeCell ref="R384:R387"/>
    <mergeCell ref="S384:S387"/>
    <mergeCell ref="T384:T387"/>
    <mergeCell ref="A385:B385"/>
    <mergeCell ref="A386:B386"/>
    <mergeCell ref="A387:B387"/>
    <mergeCell ref="A390:C390"/>
    <mergeCell ref="C355:C377"/>
    <mergeCell ref="N355:N377"/>
    <mergeCell ref="A381:B383"/>
    <mergeCell ref="C381:C383"/>
    <mergeCell ref="D381:D383"/>
    <mergeCell ref="E381:L381"/>
    <mergeCell ref="M381:M383"/>
    <mergeCell ref="N381:P381"/>
    <mergeCell ref="K382:K383"/>
    <mergeCell ref="L382:L383"/>
    <mergeCell ref="N382:N383"/>
    <mergeCell ref="O382:O383"/>
    <mergeCell ref="P382:P383"/>
    <mergeCell ref="Q382:Q383"/>
    <mergeCell ref="R382:R383"/>
    <mergeCell ref="S382:S383"/>
    <mergeCell ref="T382:T383"/>
    <mergeCell ref="F383:J383"/>
    <mergeCell ref="Q381:T381"/>
    <mergeCell ref="B393:G393"/>
    <mergeCell ref="A394:A396"/>
    <mergeCell ref="B394:B396"/>
    <mergeCell ref="C394:C396"/>
    <mergeCell ref="D394:D396"/>
    <mergeCell ref="E394:L394"/>
    <mergeCell ref="M394:M396"/>
    <mergeCell ref="N394:Q394"/>
    <mergeCell ref="K395:K396"/>
    <mergeCell ref="L395:L396"/>
    <mergeCell ref="N395:N396"/>
    <mergeCell ref="O395:O396"/>
    <mergeCell ref="P395:P396"/>
    <mergeCell ref="Q395:Q396"/>
    <mergeCell ref="F396:J396"/>
    <mergeCell ref="A384:B384"/>
    <mergeCell ref="C384:C387"/>
    <mergeCell ref="D384:D387"/>
    <mergeCell ref="N384:N387"/>
    <mergeCell ref="P384:P387"/>
    <mergeCell ref="Q384:Q387"/>
    <mergeCell ref="A392:Q392"/>
    <mergeCell ref="A397:A400"/>
    <mergeCell ref="B397:B398"/>
    <mergeCell ref="E397:E398"/>
    <mergeCell ref="L397:L398"/>
    <mergeCell ref="B399:B400"/>
    <mergeCell ref="E399:E400"/>
    <mergeCell ref="L399:L400"/>
    <mergeCell ref="A401:A402"/>
    <mergeCell ref="E401:E402"/>
    <mergeCell ref="L401:L402"/>
    <mergeCell ref="A403:A404"/>
    <mergeCell ref="B403:B404"/>
    <mergeCell ref="E403:E404"/>
    <mergeCell ref="L403:L404"/>
    <mergeCell ref="A405:A406"/>
    <mergeCell ref="B405:B406"/>
    <mergeCell ref="E405:E406"/>
    <mergeCell ref="L405:L406"/>
    <mergeCell ref="L423:L424"/>
    <mergeCell ref="A413:A414"/>
    <mergeCell ref="B413:B414"/>
    <mergeCell ref="E413:E414"/>
    <mergeCell ref="L413:L414"/>
    <mergeCell ref="A415:A416"/>
    <mergeCell ref="B415:B416"/>
    <mergeCell ref="E415:E416"/>
    <mergeCell ref="L415:L416"/>
    <mergeCell ref="A417:A418"/>
    <mergeCell ref="B417:B418"/>
    <mergeCell ref="E417:E418"/>
    <mergeCell ref="L417:L418"/>
    <mergeCell ref="E407:E408"/>
    <mergeCell ref="L407:L408"/>
    <mergeCell ref="A409:A410"/>
    <mergeCell ref="B409:B410"/>
    <mergeCell ref="E409:E410"/>
    <mergeCell ref="L409:L410"/>
    <mergeCell ref="A411:A412"/>
    <mergeCell ref="B411:B412"/>
    <mergeCell ref="E411:E412"/>
    <mergeCell ref="L411:L412"/>
    <mergeCell ref="A407:A408"/>
    <mergeCell ref="S447:S448"/>
    <mergeCell ref="T447:T448"/>
    <mergeCell ref="U447:U448"/>
    <mergeCell ref="A441:B442"/>
    <mergeCell ref="E441:E442"/>
    <mergeCell ref="L441:L442"/>
    <mergeCell ref="A444:T444"/>
    <mergeCell ref="A446:B448"/>
    <mergeCell ref="C446:C448"/>
    <mergeCell ref="D446:D448"/>
    <mergeCell ref="E446:L446"/>
    <mergeCell ref="M446:M448"/>
    <mergeCell ref="N397:N442"/>
    <mergeCell ref="B407:B408"/>
    <mergeCell ref="A431:A432"/>
    <mergeCell ref="B431:B432"/>
    <mergeCell ref="E431:E432"/>
    <mergeCell ref="L431:L432"/>
    <mergeCell ref="B433:B434"/>
    <mergeCell ref="L433:L434"/>
    <mergeCell ref="B435:B436"/>
    <mergeCell ref="L435:L436"/>
    <mergeCell ref="E437:E438"/>
    <mergeCell ref="L437:L438"/>
    <mergeCell ref="A425:A426"/>
    <mergeCell ref="B425:B426"/>
    <mergeCell ref="E425:E426"/>
    <mergeCell ref="L425:L426"/>
    <mergeCell ref="A427:A428"/>
    <mergeCell ref="B427:B428"/>
    <mergeCell ref="E427:E428"/>
    <mergeCell ref="L427:L428"/>
    <mergeCell ref="A478:B478"/>
    <mergeCell ref="A479:B479"/>
    <mergeCell ref="A480:B480"/>
    <mergeCell ref="A477:B477"/>
    <mergeCell ref="C477:C480"/>
    <mergeCell ref="B463:E463"/>
    <mergeCell ref="B465:C465"/>
    <mergeCell ref="E465:E466"/>
    <mergeCell ref="B466:C466"/>
    <mergeCell ref="E469:F469"/>
    <mergeCell ref="A470:D470"/>
    <mergeCell ref="M472:V472"/>
    <mergeCell ref="T449:T456"/>
    <mergeCell ref="U449:U456"/>
    <mergeCell ref="A450:B450"/>
    <mergeCell ref="A451:B451"/>
    <mergeCell ref="A452:B452"/>
    <mergeCell ref="A453:B453"/>
    <mergeCell ref="A454:B454"/>
    <mergeCell ref="A455:B455"/>
    <mergeCell ref="A456:B456"/>
    <mergeCell ref="A449:B449"/>
    <mergeCell ref="D449:D456"/>
    <mergeCell ref="N449:N456"/>
    <mergeCell ref="P449:P456"/>
    <mergeCell ref="R449:R456"/>
    <mergeCell ref="S449:S456"/>
    <mergeCell ref="M477:M480"/>
    <mergeCell ref="T477:T480"/>
    <mergeCell ref="U477:U480"/>
    <mergeCell ref="V477:V480"/>
    <mergeCell ref="S477:S480"/>
    <mergeCell ref="AC472:AF472"/>
    <mergeCell ref="A474:B476"/>
    <mergeCell ref="C474:C476"/>
    <mergeCell ref="D474:K474"/>
    <mergeCell ref="L474:L476"/>
    <mergeCell ref="S474:V474"/>
    <mergeCell ref="J475:J476"/>
    <mergeCell ref="K475:K476"/>
    <mergeCell ref="M475:M476"/>
    <mergeCell ref="N475:N476"/>
    <mergeCell ref="O475:O476"/>
    <mergeCell ref="P475:P476"/>
    <mergeCell ref="S475:S476"/>
    <mergeCell ref="T475:T476"/>
    <mergeCell ref="U475:U476"/>
    <mergeCell ref="V475:V476"/>
    <mergeCell ref="E476:I476"/>
    <mergeCell ref="Q475:R476"/>
    <mergeCell ref="M474:R474"/>
    <mergeCell ref="T489:T496"/>
    <mergeCell ref="U489:U496"/>
    <mergeCell ref="V489:V496"/>
    <mergeCell ref="A491:B492"/>
    <mergeCell ref="D491:D492"/>
    <mergeCell ref="K491:K492"/>
    <mergeCell ref="A493:B494"/>
    <mergeCell ref="D493:D494"/>
    <mergeCell ref="K493:K494"/>
    <mergeCell ref="A495:B496"/>
    <mergeCell ref="D495:D496"/>
    <mergeCell ref="K495:K496"/>
    <mergeCell ref="S486:V486"/>
    <mergeCell ref="J487:J488"/>
    <mergeCell ref="K487:K488"/>
    <mergeCell ref="M487:M488"/>
    <mergeCell ref="N487:N488"/>
    <mergeCell ref="O487:O488"/>
    <mergeCell ref="P487:P488"/>
    <mergeCell ref="K489:K490"/>
    <mergeCell ref="M489:M496"/>
    <mergeCell ref="Q489:Q496"/>
    <mergeCell ref="S489:S496"/>
    <mergeCell ref="Q487:R487"/>
    <mergeCell ref="R489:R496"/>
    <mergeCell ref="M484:V484"/>
    <mergeCell ref="A486:B488"/>
    <mergeCell ref="C486:C488"/>
    <mergeCell ref="D486:K486"/>
    <mergeCell ref="L486:L488"/>
    <mergeCell ref="T487:T488"/>
    <mergeCell ref="U487:U488"/>
    <mergeCell ref="V487:V488"/>
    <mergeCell ref="Q477:R480"/>
    <mergeCell ref="M486:R486"/>
    <mergeCell ref="A482:D482"/>
    <mergeCell ref="E484:I484"/>
    <mergeCell ref="A501:C501"/>
    <mergeCell ref="B504:G504"/>
    <mergeCell ref="A505:A507"/>
    <mergeCell ref="B505:B507"/>
    <mergeCell ref="C505:C507"/>
    <mergeCell ref="D505:D507"/>
    <mergeCell ref="E505:K505"/>
    <mergeCell ref="M505:M507"/>
    <mergeCell ref="N505:Q505"/>
    <mergeCell ref="K506:K507"/>
    <mergeCell ref="L506:L507"/>
    <mergeCell ref="N506:N507"/>
    <mergeCell ref="O506:O507"/>
    <mergeCell ref="P506:P507"/>
    <mergeCell ref="Q506:Q507"/>
    <mergeCell ref="F507:J507"/>
    <mergeCell ref="S487:S488"/>
    <mergeCell ref="E488:I488"/>
    <mergeCell ref="A489:B490"/>
    <mergeCell ref="D489:D490"/>
    <mergeCell ref="A503:Q503"/>
    <mergeCell ref="R537:R540"/>
    <mergeCell ref="S537:S540"/>
    <mergeCell ref="T537:T540"/>
    <mergeCell ref="A538:B538"/>
    <mergeCell ref="A539:B539"/>
    <mergeCell ref="A540:B540"/>
    <mergeCell ref="A543:C543"/>
    <mergeCell ref="C508:C530"/>
    <mergeCell ref="N508:N530"/>
    <mergeCell ref="A534:B536"/>
    <mergeCell ref="C534:C536"/>
    <mergeCell ref="D534:D536"/>
    <mergeCell ref="E534:L534"/>
    <mergeCell ref="M534:M536"/>
    <mergeCell ref="N534:P534"/>
    <mergeCell ref="K535:K536"/>
    <mergeCell ref="L535:L536"/>
    <mergeCell ref="N535:N536"/>
    <mergeCell ref="O535:O536"/>
    <mergeCell ref="P535:P536"/>
    <mergeCell ref="Q535:Q536"/>
    <mergeCell ref="R535:R536"/>
    <mergeCell ref="S535:S536"/>
    <mergeCell ref="T535:T536"/>
    <mergeCell ref="F536:J536"/>
    <mergeCell ref="Q534:T534"/>
    <mergeCell ref="A532:T532"/>
    <mergeCell ref="B546:G546"/>
    <mergeCell ref="A547:A549"/>
    <mergeCell ref="B547:B549"/>
    <mergeCell ref="C547:C549"/>
    <mergeCell ref="D547:D549"/>
    <mergeCell ref="E547:L547"/>
    <mergeCell ref="M547:M549"/>
    <mergeCell ref="N547:Q547"/>
    <mergeCell ref="K548:K549"/>
    <mergeCell ref="L548:L549"/>
    <mergeCell ref="N548:N549"/>
    <mergeCell ref="O548:O549"/>
    <mergeCell ref="P548:P549"/>
    <mergeCell ref="Q548:Q549"/>
    <mergeCell ref="F549:J549"/>
    <mergeCell ref="A537:B537"/>
    <mergeCell ref="C537:C540"/>
    <mergeCell ref="D537:D540"/>
    <mergeCell ref="N537:N540"/>
    <mergeCell ref="P537:P540"/>
    <mergeCell ref="Q537:Q540"/>
    <mergeCell ref="A545:Q545"/>
    <mergeCell ref="E560:E561"/>
    <mergeCell ref="L560:L561"/>
    <mergeCell ref="A562:A563"/>
    <mergeCell ref="B562:B563"/>
    <mergeCell ref="E562:E563"/>
    <mergeCell ref="L562:L563"/>
    <mergeCell ref="A564:A565"/>
    <mergeCell ref="B564:B565"/>
    <mergeCell ref="E564:E565"/>
    <mergeCell ref="L564:L565"/>
    <mergeCell ref="A550:A553"/>
    <mergeCell ref="B550:B551"/>
    <mergeCell ref="E550:E551"/>
    <mergeCell ref="L550:L551"/>
    <mergeCell ref="B552:B553"/>
    <mergeCell ref="E552:E553"/>
    <mergeCell ref="L552:L553"/>
    <mergeCell ref="A554:A555"/>
    <mergeCell ref="E554:E555"/>
    <mergeCell ref="L554:L555"/>
    <mergeCell ref="A556:A557"/>
    <mergeCell ref="B556:B557"/>
    <mergeCell ref="E556:E557"/>
    <mergeCell ref="L556:L557"/>
    <mergeCell ref="A558:A559"/>
    <mergeCell ref="B558:B559"/>
    <mergeCell ref="E558:E559"/>
    <mergeCell ref="L558:L559"/>
    <mergeCell ref="A560:A561"/>
    <mergeCell ref="B582:B583"/>
    <mergeCell ref="E582:E583"/>
    <mergeCell ref="L582:L583"/>
    <mergeCell ref="A572:A573"/>
    <mergeCell ref="B572:B573"/>
    <mergeCell ref="E572:E573"/>
    <mergeCell ref="L572:L573"/>
    <mergeCell ref="A574:A575"/>
    <mergeCell ref="B574:B575"/>
    <mergeCell ref="E574:E575"/>
    <mergeCell ref="L574:L575"/>
    <mergeCell ref="A576:A577"/>
    <mergeCell ref="B576:B577"/>
    <mergeCell ref="E576:E577"/>
    <mergeCell ref="L576:L577"/>
    <mergeCell ref="A566:A567"/>
    <mergeCell ref="B566:B567"/>
    <mergeCell ref="E566:E567"/>
    <mergeCell ref="L566:L567"/>
    <mergeCell ref="A568:A569"/>
    <mergeCell ref="B568:B569"/>
    <mergeCell ref="E568:E569"/>
    <mergeCell ref="L568:L569"/>
    <mergeCell ref="A570:A571"/>
    <mergeCell ref="B570:B571"/>
    <mergeCell ref="E570:E571"/>
    <mergeCell ref="L570:L571"/>
    <mergeCell ref="U600:U601"/>
    <mergeCell ref="Q602:Q609"/>
    <mergeCell ref="A594:B595"/>
    <mergeCell ref="E594:E595"/>
    <mergeCell ref="L594:L595"/>
    <mergeCell ref="A597:T597"/>
    <mergeCell ref="A599:B601"/>
    <mergeCell ref="C599:C601"/>
    <mergeCell ref="D599:D601"/>
    <mergeCell ref="E599:L599"/>
    <mergeCell ref="M599:M601"/>
    <mergeCell ref="N550:N595"/>
    <mergeCell ref="B560:B561"/>
    <mergeCell ref="A584:A585"/>
    <mergeCell ref="B584:B585"/>
    <mergeCell ref="E584:E585"/>
    <mergeCell ref="L584:L585"/>
    <mergeCell ref="B586:B587"/>
    <mergeCell ref="L586:L587"/>
    <mergeCell ref="B588:B589"/>
    <mergeCell ref="L588:L589"/>
    <mergeCell ref="E590:E591"/>
    <mergeCell ref="L590:L591"/>
    <mergeCell ref="A578:A579"/>
    <mergeCell ref="B578:B579"/>
    <mergeCell ref="E578:E579"/>
    <mergeCell ref="L578:L579"/>
    <mergeCell ref="A580:A581"/>
    <mergeCell ref="B580:B581"/>
    <mergeCell ref="E580:E581"/>
    <mergeCell ref="L580:L581"/>
    <mergeCell ref="A582:A583"/>
    <mergeCell ref="A606:B606"/>
    <mergeCell ref="A607:B607"/>
    <mergeCell ref="A608:B608"/>
    <mergeCell ref="A609:B609"/>
    <mergeCell ref="A602:B602"/>
    <mergeCell ref="D602:D609"/>
    <mergeCell ref="N602:N609"/>
    <mergeCell ref="P602:P609"/>
    <mergeCell ref="R602:R609"/>
    <mergeCell ref="S602:S609"/>
    <mergeCell ref="K600:K601"/>
    <mergeCell ref="L600:L601"/>
    <mergeCell ref="N600:N601"/>
    <mergeCell ref="O600:O601"/>
    <mergeCell ref="R600:R601"/>
    <mergeCell ref="S600:S601"/>
    <mergeCell ref="T600:T601"/>
    <mergeCell ref="A604:B604"/>
    <mergeCell ref="A605:B605"/>
    <mergeCell ref="A623:D623"/>
    <mergeCell ref="M625:V625"/>
    <mergeCell ref="AC625:AF625"/>
    <mergeCell ref="A627:B629"/>
    <mergeCell ref="C627:C629"/>
    <mergeCell ref="D627:K627"/>
    <mergeCell ref="L627:L629"/>
    <mergeCell ref="S627:V627"/>
    <mergeCell ref="J628:J629"/>
    <mergeCell ref="K628:K629"/>
    <mergeCell ref="M628:M629"/>
    <mergeCell ref="N628:N629"/>
    <mergeCell ref="O628:O629"/>
    <mergeCell ref="P628:P629"/>
    <mergeCell ref="S628:S629"/>
    <mergeCell ref="T628:T629"/>
    <mergeCell ref="U628:U629"/>
    <mergeCell ref="V628:V629"/>
    <mergeCell ref="E629:I629"/>
    <mergeCell ref="M627:R627"/>
    <mergeCell ref="Q628:R629"/>
    <mergeCell ref="A630:B630"/>
    <mergeCell ref="C630:C633"/>
    <mergeCell ref="M630:M633"/>
    <mergeCell ref="S630:S633"/>
    <mergeCell ref="T630:T633"/>
    <mergeCell ref="U630:U633"/>
    <mergeCell ref="V630:V633"/>
    <mergeCell ref="A631:B631"/>
    <mergeCell ref="A632:B632"/>
    <mergeCell ref="A633:B633"/>
    <mergeCell ref="A635:D635"/>
    <mergeCell ref="E637:I637"/>
    <mergeCell ref="M637:V637"/>
    <mergeCell ref="A639:B641"/>
    <mergeCell ref="C639:C641"/>
    <mergeCell ref="D639:K639"/>
    <mergeCell ref="L639:L641"/>
    <mergeCell ref="S639:V639"/>
    <mergeCell ref="J640:J641"/>
    <mergeCell ref="K640:K641"/>
    <mergeCell ref="M640:M641"/>
    <mergeCell ref="N640:N641"/>
    <mergeCell ref="O640:O641"/>
    <mergeCell ref="P640:P641"/>
    <mergeCell ref="S640:S641"/>
    <mergeCell ref="T640:T641"/>
    <mergeCell ref="U640:U641"/>
    <mergeCell ref="V640:V641"/>
    <mergeCell ref="E641:I641"/>
    <mergeCell ref="Q630:R633"/>
    <mergeCell ref="M639:R639"/>
    <mergeCell ref="Q640:R640"/>
    <mergeCell ref="A642:B643"/>
    <mergeCell ref="D642:D643"/>
    <mergeCell ref="K642:K643"/>
    <mergeCell ref="M642:M649"/>
    <mergeCell ref="Q642:Q649"/>
    <mergeCell ref="S642:S649"/>
    <mergeCell ref="T642:T649"/>
    <mergeCell ref="U642:U649"/>
    <mergeCell ref="V642:V649"/>
    <mergeCell ref="A644:B645"/>
    <mergeCell ref="D644:D645"/>
    <mergeCell ref="K644:K645"/>
    <mergeCell ref="A646:B647"/>
    <mergeCell ref="D646:D647"/>
    <mergeCell ref="K646:K647"/>
    <mergeCell ref="A648:B649"/>
    <mergeCell ref="D648:D649"/>
    <mergeCell ref="K648:K649"/>
    <mergeCell ref="R642:R649"/>
    <mergeCell ref="A654:C654"/>
    <mergeCell ref="B657:G657"/>
    <mergeCell ref="A658:A660"/>
    <mergeCell ref="B658:B660"/>
    <mergeCell ref="C658:C660"/>
    <mergeCell ref="D658:D660"/>
    <mergeCell ref="E658:K658"/>
    <mergeCell ref="M658:M660"/>
    <mergeCell ref="N658:Q658"/>
    <mergeCell ref="K659:K660"/>
    <mergeCell ref="L659:L660"/>
    <mergeCell ref="N659:N660"/>
    <mergeCell ref="O659:O660"/>
    <mergeCell ref="P659:P660"/>
    <mergeCell ref="Q659:Q660"/>
    <mergeCell ref="F660:J660"/>
    <mergeCell ref="A656:Q656"/>
    <mergeCell ref="C661:C683"/>
    <mergeCell ref="N661:N683"/>
    <mergeCell ref="A687:B689"/>
    <mergeCell ref="C687:C689"/>
    <mergeCell ref="D687:D689"/>
    <mergeCell ref="E687:L687"/>
    <mergeCell ref="M687:M689"/>
    <mergeCell ref="N687:P687"/>
    <mergeCell ref="K688:K689"/>
    <mergeCell ref="L688:L689"/>
    <mergeCell ref="N688:N689"/>
    <mergeCell ref="O688:O689"/>
    <mergeCell ref="P688:P689"/>
    <mergeCell ref="Q688:Q689"/>
    <mergeCell ref="A685:T685"/>
    <mergeCell ref="A698:Q698"/>
    <mergeCell ref="R688:R689"/>
    <mergeCell ref="S688:S689"/>
    <mergeCell ref="T688:T689"/>
    <mergeCell ref="F689:J689"/>
    <mergeCell ref="Q687:T687"/>
    <mergeCell ref="A690:B690"/>
    <mergeCell ref="C690:C693"/>
    <mergeCell ref="D690:D693"/>
    <mergeCell ref="N690:N693"/>
    <mergeCell ref="P690:P693"/>
    <mergeCell ref="Q690:Q693"/>
    <mergeCell ref="R690:R693"/>
    <mergeCell ref="S690:S693"/>
    <mergeCell ref="T690:T693"/>
    <mergeCell ref="A691:B691"/>
    <mergeCell ref="A692:B692"/>
    <mergeCell ref="A693:B693"/>
    <mergeCell ref="A696:C696"/>
    <mergeCell ref="B699:G699"/>
    <mergeCell ref="A700:A702"/>
    <mergeCell ref="B700:B702"/>
    <mergeCell ref="C700:C702"/>
    <mergeCell ref="D700:D702"/>
    <mergeCell ref="E700:L700"/>
    <mergeCell ref="M700:M702"/>
    <mergeCell ref="N700:Q700"/>
    <mergeCell ref="K701:K702"/>
    <mergeCell ref="L701:L702"/>
    <mergeCell ref="N701:N702"/>
    <mergeCell ref="O701:O702"/>
    <mergeCell ref="P701:P702"/>
    <mergeCell ref="Q701:Q702"/>
    <mergeCell ref="F702:J702"/>
    <mergeCell ref="B705:B706"/>
    <mergeCell ref="E705:E706"/>
    <mergeCell ref="L705:L706"/>
    <mergeCell ref="A707:A708"/>
    <mergeCell ref="E707:E708"/>
    <mergeCell ref="L707:L708"/>
    <mergeCell ref="A709:A710"/>
    <mergeCell ref="B709:B710"/>
    <mergeCell ref="E709:E710"/>
    <mergeCell ref="L709:L710"/>
    <mergeCell ref="A711:A712"/>
    <mergeCell ref="B715:B716"/>
    <mergeCell ref="E715:E716"/>
    <mergeCell ref="L715:L716"/>
    <mergeCell ref="A717:A718"/>
    <mergeCell ref="B717:B718"/>
    <mergeCell ref="E717:E718"/>
    <mergeCell ref="L717:L718"/>
    <mergeCell ref="L719:L720"/>
    <mergeCell ref="A721:A722"/>
    <mergeCell ref="B721:B722"/>
    <mergeCell ref="E721:E722"/>
    <mergeCell ref="L721:L722"/>
    <mergeCell ref="A723:A724"/>
    <mergeCell ref="B723:B724"/>
    <mergeCell ref="E723:E724"/>
    <mergeCell ref="L723:L724"/>
    <mergeCell ref="A725:A726"/>
    <mergeCell ref="B725:B726"/>
    <mergeCell ref="E725:E726"/>
    <mergeCell ref="L725:L726"/>
    <mergeCell ref="A727:A728"/>
    <mergeCell ref="B727:B728"/>
    <mergeCell ref="E727:E728"/>
    <mergeCell ref="L727:L728"/>
    <mergeCell ref="A719:A720"/>
    <mergeCell ref="C752:C754"/>
    <mergeCell ref="D752:D754"/>
    <mergeCell ref="E752:L752"/>
    <mergeCell ref="M752:M754"/>
    <mergeCell ref="K753:K754"/>
    <mergeCell ref="L753:L754"/>
    <mergeCell ref="N753:N754"/>
    <mergeCell ref="O753:O754"/>
    <mergeCell ref="R753:R754"/>
    <mergeCell ref="S753:S754"/>
    <mergeCell ref="T753:T754"/>
    <mergeCell ref="U753:U754"/>
    <mergeCell ref="A729:A730"/>
    <mergeCell ref="B729:B730"/>
    <mergeCell ref="E729:E730"/>
    <mergeCell ref="L729:L730"/>
    <mergeCell ref="A731:A732"/>
    <mergeCell ref="B731:B732"/>
    <mergeCell ref="E731:E732"/>
    <mergeCell ref="L731:L732"/>
    <mergeCell ref="A733:A734"/>
    <mergeCell ref="B733:B734"/>
    <mergeCell ref="E733:E734"/>
    <mergeCell ref="L733:L734"/>
    <mergeCell ref="A735:A736"/>
    <mergeCell ref="B735:B736"/>
    <mergeCell ref="E735:E736"/>
    <mergeCell ref="L735:L736"/>
    <mergeCell ref="A737:A738"/>
    <mergeCell ref="B737:B738"/>
    <mergeCell ref="P753:Q753"/>
    <mergeCell ref="N703:N748"/>
    <mergeCell ref="U602:U609"/>
    <mergeCell ref="A603:B603"/>
    <mergeCell ref="A755:B755"/>
    <mergeCell ref="D755:D762"/>
    <mergeCell ref="N755:N762"/>
    <mergeCell ref="P755:P762"/>
    <mergeCell ref="R755:R762"/>
    <mergeCell ref="S755:S762"/>
    <mergeCell ref="T755:T762"/>
    <mergeCell ref="U755:U762"/>
    <mergeCell ref="A756:B756"/>
    <mergeCell ref="A757:B757"/>
    <mergeCell ref="A758:B758"/>
    <mergeCell ref="A759:B759"/>
    <mergeCell ref="A760:B760"/>
    <mergeCell ref="A761:B761"/>
    <mergeCell ref="A762:B762"/>
    <mergeCell ref="B739:B740"/>
    <mergeCell ref="L739:L740"/>
    <mergeCell ref="B741:B742"/>
    <mergeCell ref="L741:L742"/>
    <mergeCell ref="E743:E744"/>
    <mergeCell ref="L743:L744"/>
    <mergeCell ref="A747:B748"/>
    <mergeCell ref="E747:E748"/>
    <mergeCell ref="A713:A714"/>
    <mergeCell ref="B713:B714"/>
    <mergeCell ref="E713:E714"/>
    <mergeCell ref="L713:L714"/>
    <mergeCell ref="A715:A716"/>
    <mergeCell ref="L747:L748"/>
    <mergeCell ref="A752:B754"/>
    <mergeCell ref="B590:B591"/>
    <mergeCell ref="B592:B593"/>
    <mergeCell ref="B745:B746"/>
    <mergeCell ref="A350:Q350"/>
    <mergeCell ref="A379:T379"/>
    <mergeCell ref="E586:E587"/>
    <mergeCell ref="E588:E589"/>
    <mergeCell ref="B618:C618"/>
    <mergeCell ref="E618:E619"/>
    <mergeCell ref="B619:C619"/>
    <mergeCell ref="E622:F622"/>
    <mergeCell ref="G463:I463"/>
    <mergeCell ref="G616:I616"/>
    <mergeCell ref="A586:A593"/>
    <mergeCell ref="E592:E593"/>
    <mergeCell ref="L592:L593"/>
    <mergeCell ref="A739:A746"/>
    <mergeCell ref="E745:E746"/>
    <mergeCell ref="L745:L746"/>
    <mergeCell ref="E737:E738"/>
    <mergeCell ref="L737:L738"/>
    <mergeCell ref="A703:A706"/>
    <mergeCell ref="B703:B704"/>
    <mergeCell ref="E703:E704"/>
    <mergeCell ref="L703:L704"/>
    <mergeCell ref="B711:B712"/>
    <mergeCell ref="E711:E712"/>
    <mergeCell ref="L711:L712"/>
    <mergeCell ref="B616:E616"/>
    <mergeCell ref="T602:T609"/>
    <mergeCell ref="B719:B720"/>
    <mergeCell ref="E719:E720"/>
    <mergeCell ref="A433:A440"/>
    <mergeCell ref="E439:E440"/>
    <mergeCell ref="L439:L440"/>
    <mergeCell ref="E280:E281"/>
    <mergeCell ref="E282:E283"/>
    <mergeCell ref="B284:B285"/>
    <mergeCell ref="B286:B287"/>
    <mergeCell ref="B248:B249"/>
    <mergeCell ref="E433:E434"/>
    <mergeCell ref="E435:E436"/>
    <mergeCell ref="B437:B438"/>
    <mergeCell ref="B439:B440"/>
    <mergeCell ref="K447:K448"/>
    <mergeCell ref="L447:L448"/>
    <mergeCell ref="N447:N448"/>
    <mergeCell ref="O447:O448"/>
    <mergeCell ref="R447:R448"/>
    <mergeCell ref="A429:A430"/>
    <mergeCell ref="B429:B430"/>
    <mergeCell ref="E429:E430"/>
    <mergeCell ref="L429:L430"/>
    <mergeCell ref="A419:A420"/>
    <mergeCell ref="B419:B420"/>
    <mergeCell ref="E419:E420"/>
    <mergeCell ref="L419:L420"/>
    <mergeCell ref="A421:A422"/>
    <mergeCell ref="B421:B422"/>
    <mergeCell ref="E421:E422"/>
    <mergeCell ref="L421:L422"/>
    <mergeCell ref="A423:A424"/>
    <mergeCell ref="B423:B424"/>
    <mergeCell ref="E423:E424"/>
    <mergeCell ref="A750:U750"/>
    <mergeCell ref="A46:Q46"/>
    <mergeCell ref="A74:T74"/>
    <mergeCell ref="A87:Q87"/>
    <mergeCell ref="M166:V166"/>
    <mergeCell ref="A2:V2"/>
    <mergeCell ref="A1:V1"/>
    <mergeCell ref="A4:V4"/>
    <mergeCell ref="A11:V11"/>
    <mergeCell ref="A155:V155"/>
    <mergeCell ref="A162:V162"/>
    <mergeCell ref="A193:V193"/>
    <mergeCell ref="A308:V308"/>
    <mergeCell ref="A315:V315"/>
    <mergeCell ref="A346:V346"/>
    <mergeCell ref="A461:V461"/>
    <mergeCell ref="A468:V468"/>
    <mergeCell ref="A499:V499"/>
    <mergeCell ref="A614:V614"/>
    <mergeCell ref="A621:V621"/>
    <mergeCell ref="A652:V652"/>
    <mergeCell ref="A42:V42"/>
    <mergeCell ref="A226:T226"/>
    <mergeCell ref="A239:Q239"/>
    <mergeCell ref="A128:A133"/>
    <mergeCell ref="E132:E133"/>
    <mergeCell ref="A197:Q197"/>
    <mergeCell ref="A237:V237"/>
    <mergeCell ref="M168:R168"/>
    <mergeCell ref="Q169:R170"/>
    <mergeCell ref="Q171:R174"/>
    <mergeCell ref="Q181:R181"/>
  </mergeCells>
  <conditionalFormatting sqref="E32:I39 M32:N39 S32:T39">
    <cfRule type="expression" dxfId="390" priority="134">
      <formula>$D$8="Mix of Climate-Alignment and Sector Targets"</formula>
    </cfRule>
    <cfRule type="expression" dxfId="389" priority="135">
      <formula>$D$9="No regional differentiation"</formula>
    </cfRule>
  </conditionalFormatting>
  <conditionalFormatting sqref="E183:I190 M183:N190 S183:T190">
    <cfRule type="expression" dxfId="388" priority="118">
      <formula>$D$159="Mix of Climate-Alignment and Sector Targets"</formula>
    </cfRule>
    <cfRule type="expression" dxfId="387" priority="119">
      <formula>$D$160="No regional differentiation"</formula>
    </cfRule>
  </conditionalFormatting>
  <conditionalFormatting sqref="E336:I343 M336:N343 S336:T343">
    <cfRule type="expression" dxfId="386" priority="106">
      <formula>$D$312="Mix of Climate-Alignment and Sector Targets"</formula>
    </cfRule>
    <cfRule type="expression" dxfId="385" priority="107">
      <formula>$D$313="No regional differentiation"</formula>
    </cfRule>
  </conditionalFormatting>
  <conditionalFormatting sqref="E489:I496 M489:N496 S489:T496">
    <cfRule type="expression" dxfId="384" priority="94">
      <formula>$D$465="Mix of Climate-Alignment and Sector Targets"</formula>
    </cfRule>
    <cfRule type="expression" dxfId="383" priority="95">
      <formula>$D$466="No regional differentiation"</formula>
    </cfRule>
  </conditionalFormatting>
  <conditionalFormatting sqref="E642:I649 M642:N649 S642:T649">
    <cfRule type="expression" dxfId="382" priority="82">
      <formula>$D$618="Mix of Climate-Alignment and Sector Targets"</formula>
    </cfRule>
    <cfRule type="expression" dxfId="381" priority="83">
      <formula>$D$619="No regional differentiation"</formula>
    </cfRule>
  </conditionalFormatting>
  <conditionalFormatting sqref="F92:J135 N92:O135 R142:S149">
    <cfRule type="expression" dxfId="380" priority="25">
      <formula>$D$9="No regional differentiation"</formula>
    </cfRule>
    <cfRule type="expression" dxfId="379" priority="26">
      <formula>$D$8="Climate-Alignment Target Only"</formula>
    </cfRule>
    <cfRule type="expression" dxfId="378" priority="72">
      <formula>AND($D$8="Mix of Climate-Alignment and Sector Targets",$D$9="Regional differentiation")</formula>
    </cfRule>
  </conditionalFormatting>
  <conditionalFormatting sqref="F92:J135 O92:O135">
    <cfRule type="expression" dxfId="377" priority="23">
      <formula>$D92="No target type selected"</formula>
    </cfRule>
    <cfRule type="expression" dxfId="376" priority="24">
      <formula>$D92="Sector target"</formula>
    </cfRule>
    <cfRule type="expression" dxfId="375" priority="71">
      <formula>$D92="Climate-alignment target"</formula>
    </cfRule>
  </conditionalFormatting>
  <conditionalFormatting sqref="F244:J289 N244:O289 R296:S303">
    <cfRule type="expression" dxfId="374" priority="22">
      <formula>$D$160="No regional differentiation"</formula>
    </cfRule>
    <cfRule type="expression" dxfId="373" priority="111">
      <formula>$D$159="Climate-Alignment Target Only"</formula>
    </cfRule>
    <cfRule type="expression" dxfId="372" priority="113">
      <formula>AND($D$159="Mix of Climate-Alignment and Sector Targets",$D$160="Regional differentiation")</formula>
    </cfRule>
  </conditionalFormatting>
  <conditionalFormatting sqref="F244:J289 O244:O289">
    <cfRule type="expression" dxfId="371" priority="20">
      <formula>$D244="No target type selected"</formula>
    </cfRule>
    <cfRule type="expression" dxfId="370" priority="21">
      <formula>$D244="Sector target"</formula>
    </cfRule>
    <cfRule type="expression" dxfId="369" priority="112">
      <formula>$D244="Climate-alignment target"</formula>
    </cfRule>
  </conditionalFormatting>
  <conditionalFormatting sqref="F397:J442 N397:O442 R449:S456">
    <cfRule type="expression" dxfId="368" priority="19">
      <formula>$D$313="No regional differentiation"</formula>
    </cfRule>
    <cfRule type="expression" dxfId="367" priority="99">
      <formula>$D$312="Climate-Alignment Target Only"</formula>
    </cfRule>
    <cfRule type="expression" dxfId="366" priority="101">
      <formula>AND($D$312="Mix of Climate-Alignment and Sector Targets",$D$313="Regional differentiation")</formula>
    </cfRule>
  </conditionalFormatting>
  <conditionalFormatting sqref="F397:J442 O397:O442">
    <cfRule type="expression" dxfId="365" priority="17">
      <formula>$D397="No target type selected"</formula>
    </cfRule>
    <cfRule type="expression" dxfId="364" priority="18">
      <formula>$D397="Sector target"</formula>
    </cfRule>
    <cfRule type="expression" dxfId="363" priority="100">
      <formula>$D397="Climate-alignment target"</formula>
    </cfRule>
  </conditionalFormatting>
  <conditionalFormatting sqref="F550:J595 N550:O595 R602:S609">
    <cfRule type="expression" dxfId="362" priority="16">
      <formula>$D$466="No regional differentiation"</formula>
    </cfRule>
    <cfRule type="expression" dxfId="361" priority="87">
      <formula>$D$465="Climate-Alignment Target Only"</formula>
    </cfRule>
    <cfRule type="expression" dxfId="360" priority="89">
      <formula>AND($D$465="Mix of Climate-Alignment and Sector Targets",$D$466="Regional differentiation")</formula>
    </cfRule>
  </conditionalFormatting>
  <conditionalFormatting sqref="F550:J595 O550:O595">
    <cfRule type="expression" dxfId="359" priority="14">
      <formula>$D550="Sector target"</formula>
    </cfRule>
    <cfRule type="expression" dxfId="358" priority="15">
      <formula>$D550="No target type selected"</formula>
    </cfRule>
    <cfRule type="expression" dxfId="357" priority="88">
      <formula>$D550="Climate-alignment target"</formula>
    </cfRule>
  </conditionalFormatting>
  <conditionalFormatting sqref="F703:J748 N703:O748 R755:S762">
    <cfRule type="expression" dxfId="356" priority="13">
      <formula>$D$619="No regional differentiation"</formula>
    </cfRule>
    <cfRule type="expression" dxfId="355" priority="75">
      <formula>$D$618="Climate-Alignment Target Only"</formula>
    </cfRule>
    <cfRule type="expression" dxfId="354" priority="77">
      <formula>AND($D$618="Mix of Climate-Alignment and Sector Targets",$D$619="Regional differentiation")</formula>
    </cfRule>
  </conditionalFormatting>
  <conditionalFormatting sqref="F703:J748 O703:O748">
    <cfRule type="expression" dxfId="353" priority="11">
      <formula>$D703="No target type selected"</formula>
    </cfRule>
    <cfRule type="expression" dxfId="352" priority="12">
      <formula>$D703="Sector target"</formula>
    </cfRule>
    <cfRule type="expression" dxfId="351" priority="76">
      <formula>$D703="Climate-alignment target"</formula>
    </cfRule>
  </conditionalFormatting>
  <conditionalFormatting sqref="G244:J244">
    <cfRule type="expression" dxfId="350" priority="575">
      <formula>$D244="Climate-alignment target"</formula>
    </cfRule>
  </conditionalFormatting>
  <conditionalFormatting sqref="G397:J397">
    <cfRule type="expression" dxfId="349" priority="480">
      <formula>$D397="Climate-alignment target"</formula>
    </cfRule>
  </conditionalFormatting>
  <conditionalFormatting sqref="G550:J550">
    <cfRule type="expression" dxfId="348" priority="386">
      <formula>$D550="Climate-alignment target"</formula>
    </cfRule>
  </conditionalFormatting>
  <conditionalFormatting sqref="G703:J703">
    <cfRule type="expression" dxfId="347" priority="292">
      <formula>$D703="Climate-alignment target"</formula>
    </cfRule>
  </conditionalFormatting>
  <conditionalFormatting sqref="K20:K23 K32:K39 P20:P23 L79:L82 Q51:Q72 L51:L72 Q92:Q135 L142:L149 L92:L135 V20:V23 P32:P39 V32:V39 T79:T82 U142:U149">
    <cfRule type="containsText" dxfId="346" priority="3380" operator="containsText" text="Review">
      <formula>NOT(ISERROR(SEARCH("Review",K20)))</formula>
    </cfRule>
    <cfRule type="containsText" dxfId="345" priority="3381" operator="containsText" text="Minimum">
      <formula>NOT(ISERROR(SEARCH("Minimum",K20)))</formula>
    </cfRule>
  </conditionalFormatting>
  <conditionalFormatting sqref="K20:K23 P20:P23 V20:V23 K32:K39 P32:P39 V32:V39 L51:L72 Q51:Q72 L79:L82 T79:T82 Q92:Q135 L142:L149 U142:U149">
    <cfRule type="containsText" dxfId="344" priority="54" operator="containsText" text="OK">
      <formula>NOT(ISERROR(SEARCH("OK",K20)))</formula>
    </cfRule>
  </conditionalFormatting>
  <conditionalFormatting sqref="K21:K22">
    <cfRule type="expression" dxfId="343" priority="1875" stopIfTrue="1">
      <formula>#REF!="By developed / developing economies"</formula>
    </cfRule>
    <cfRule type="containsText" dxfId="342" priority="1897" operator="containsText" text="Review">
      <formula>NOT(ISERROR(SEARCH("Review",K21)))</formula>
    </cfRule>
    <cfRule type="expression" dxfId="341" priority="1898">
      <formula>K21="OK"</formula>
    </cfRule>
  </conditionalFormatting>
  <conditionalFormatting sqref="K23 M24 K32 K34 K36">
    <cfRule type="expression" dxfId="340" priority="1872">
      <formula>K23="OK"</formula>
    </cfRule>
  </conditionalFormatting>
  <conditionalFormatting sqref="K32 K34 K36 K23 M24">
    <cfRule type="containsText" dxfId="339" priority="1871" operator="containsText" text="Review">
      <formula>NOT(ISERROR(SEARCH("Review",K23)))</formula>
    </cfRule>
  </conditionalFormatting>
  <conditionalFormatting sqref="K32 K34 K36">
    <cfRule type="expression" dxfId="338" priority="1870">
      <formula>#REF!="By developed / developing economies"</formula>
    </cfRule>
  </conditionalFormatting>
  <conditionalFormatting sqref="K32">
    <cfRule type="expression" dxfId="337" priority="1840">
      <formula>#REF!="No differentiation (overall segment)"</formula>
    </cfRule>
  </conditionalFormatting>
  <conditionalFormatting sqref="K34">
    <cfRule type="expression" dxfId="336" priority="804">
      <formula>#REF!="No differentiation (overall segment)"</formula>
    </cfRule>
  </conditionalFormatting>
  <conditionalFormatting sqref="K36">
    <cfRule type="expression" dxfId="335" priority="803">
      <formula>#REF!="No differentiation (overall segment)"</formula>
    </cfRule>
  </conditionalFormatting>
  <conditionalFormatting sqref="K38">
    <cfRule type="expression" dxfId="334" priority="799">
      <formula>#REF!="No differentiation (overall segment)"</formula>
    </cfRule>
    <cfRule type="expression" dxfId="333" priority="800">
      <formula>#REF!="By developed / developing economies"</formula>
    </cfRule>
    <cfRule type="containsText" dxfId="332" priority="801" operator="containsText" text="Review">
      <formula>NOT(ISERROR(SEARCH("Review",K38)))</formula>
    </cfRule>
    <cfRule type="expression" dxfId="331" priority="802">
      <formula>K38="OK"</formula>
    </cfRule>
  </conditionalFormatting>
  <conditionalFormatting sqref="K171:K174 P171:P174 V171:V174 K183:K190 P183:P190 V183:V190 L202:L224 Q202:Q224 L231:L234 T231:T234 Q244:Q289 L296:L303 U296:U303 L244:L289">
    <cfRule type="containsText" dxfId="330" priority="147" operator="containsText" text="Review">
      <formula>NOT(ISERROR(SEARCH("Review",K171)))</formula>
    </cfRule>
    <cfRule type="containsText" dxfId="329" priority="148" operator="containsText" text="Minimum">
      <formula>NOT(ISERROR(SEARCH("Minimum",K171)))</formula>
    </cfRule>
  </conditionalFormatting>
  <conditionalFormatting sqref="K171:K174 P171:P174 V171:V174 K183:K190 P183:P190 V183:V190 L202:L224 Q202:Q224 L231:L234 T231:T234 Q244:Q289 L296:L303 U296:U303">
    <cfRule type="containsText" dxfId="328" priority="53" operator="containsText" text="OK">
      <formula>NOT(ISERROR(SEARCH("OK",K171)))</formula>
    </cfRule>
  </conditionalFormatting>
  <conditionalFormatting sqref="K183 K185 K187 M175">
    <cfRule type="containsText" dxfId="327" priority="641" operator="containsText" text="Review">
      <formula>NOT(ISERROR(SEARCH("Review",K175)))</formula>
    </cfRule>
  </conditionalFormatting>
  <conditionalFormatting sqref="K183 K185 K187">
    <cfRule type="expression" dxfId="326" priority="640">
      <formula>#REF!="By developed / developing economies"</formula>
    </cfRule>
  </conditionalFormatting>
  <conditionalFormatting sqref="K183">
    <cfRule type="expression" dxfId="325" priority="638">
      <formula>#REF!="No differentiation (overall segment)"</formula>
    </cfRule>
  </conditionalFormatting>
  <conditionalFormatting sqref="K185">
    <cfRule type="expression" dxfId="324" priority="628">
      <formula>#REF!="No differentiation (overall segment)"</formula>
    </cfRule>
  </conditionalFormatting>
  <conditionalFormatting sqref="K187">
    <cfRule type="expression" dxfId="323" priority="627">
      <formula>#REF!="No differentiation (overall segment)"</formula>
    </cfRule>
  </conditionalFormatting>
  <conditionalFormatting sqref="K189">
    <cfRule type="expression" dxfId="322" priority="623">
      <formula>#REF!="No differentiation (overall segment)"</formula>
    </cfRule>
    <cfRule type="expression" dxfId="321" priority="624">
      <formula>#REF!="By developed / developing economies"</formula>
    </cfRule>
    <cfRule type="containsText" dxfId="320" priority="625" operator="containsText" text="Review">
      <formula>NOT(ISERROR(SEARCH("Review",K189)))</formula>
    </cfRule>
    <cfRule type="expression" dxfId="319" priority="626">
      <formula>K189="OK"</formula>
    </cfRule>
  </conditionalFormatting>
  <conditionalFormatting sqref="K324:K327 P324:P327 V324:V327 K336:K343 P336:P343 V336:V343 L355:L377 Q355:Q377 L384:L387 T384:T387 Q397:Q442 L449:L456 U449:U456 L397:L442">
    <cfRule type="containsText" dxfId="318" priority="144" operator="containsText" text="Review">
      <formula>NOT(ISERROR(SEARCH("Review",K324)))</formula>
    </cfRule>
    <cfRule type="containsText" dxfId="317" priority="145" operator="containsText" text="Minimum">
      <formula>NOT(ISERROR(SEARCH("Minimum",K324)))</formula>
    </cfRule>
  </conditionalFormatting>
  <conditionalFormatting sqref="K324:K327 P324:P327 V324:V327 K336:K343 P336:P343 V336:V343 L355:L377 Q355:Q377 L384:L387 T384:T387 Q397:Q442 L449:L456 U449:U456">
    <cfRule type="containsText" dxfId="316" priority="52" operator="containsText" text="OK">
      <formula>NOT(ISERROR(SEARCH("OK",K324)))</formula>
    </cfRule>
  </conditionalFormatting>
  <conditionalFormatting sqref="K336 K338 K340 M328">
    <cfRule type="containsText" dxfId="315" priority="546" operator="containsText" text="Review">
      <formula>NOT(ISERROR(SEARCH("Review",K328)))</formula>
    </cfRule>
  </conditionalFormatting>
  <conditionalFormatting sqref="K336 K338 K340">
    <cfRule type="expression" dxfId="314" priority="545">
      <formula>#REF!="By developed / developing economies"</formula>
    </cfRule>
  </conditionalFormatting>
  <conditionalFormatting sqref="K336">
    <cfRule type="expression" dxfId="313" priority="543">
      <formula>#REF!="No differentiation (overall segment)"</formula>
    </cfRule>
  </conditionalFormatting>
  <conditionalFormatting sqref="K338">
    <cfRule type="expression" dxfId="312" priority="533">
      <formula>#REF!="No differentiation (overall segment)"</formula>
    </cfRule>
  </conditionalFormatting>
  <conditionalFormatting sqref="K340">
    <cfRule type="expression" dxfId="311" priority="532">
      <formula>#REF!="No differentiation (overall segment)"</formula>
    </cfRule>
  </conditionalFormatting>
  <conditionalFormatting sqref="K342">
    <cfRule type="expression" dxfId="310" priority="528">
      <formula>#REF!="No differentiation (overall segment)"</formula>
    </cfRule>
    <cfRule type="expression" dxfId="309" priority="529">
      <formula>#REF!="By developed / developing economies"</formula>
    </cfRule>
    <cfRule type="containsText" dxfId="308" priority="530" operator="containsText" text="Review">
      <formula>NOT(ISERROR(SEARCH("Review",K342)))</formula>
    </cfRule>
    <cfRule type="expression" dxfId="307" priority="531">
      <formula>K342="OK"</formula>
    </cfRule>
  </conditionalFormatting>
  <conditionalFormatting sqref="K477:K480 P477:P480 V477:V480 K489:K496 P489:P496 V489:V496 L508:L530 Q508:Q530 L537:L540 T537:T540 Q550:Q595 L602:L609 U602:U609 L550:L595">
    <cfRule type="containsText" dxfId="306" priority="141" operator="containsText" text="Review">
      <formula>NOT(ISERROR(SEARCH("Review",K477)))</formula>
    </cfRule>
    <cfRule type="containsText" dxfId="305" priority="142" operator="containsText" text="Minimum">
      <formula>NOT(ISERROR(SEARCH("Minimum",K477)))</formula>
    </cfRule>
  </conditionalFormatting>
  <conditionalFormatting sqref="K477:K480 P477:P480 V477:V480 K489:K496 P489:P496 V489:V496 L508:L530 Q508:Q530 L537:L540 T537:T540 Q550:Q595 L602:L609 U602:U609">
    <cfRule type="containsText" dxfId="304" priority="51" operator="containsText" text="OK">
      <formula>NOT(ISERROR(SEARCH("OK",K477)))</formula>
    </cfRule>
  </conditionalFormatting>
  <conditionalFormatting sqref="K489 K491 K493 M481">
    <cfRule type="containsText" dxfId="303" priority="451" operator="containsText" text="Review">
      <formula>NOT(ISERROR(SEARCH("Review",K481)))</formula>
    </cfRule>
  </conditionalFormatting>
  <conditionalFormatting sqref="K489 K491 K493">
    <cfRule type="expression" dxfId="302" priority="450">
      <formula>#REF!="By developed / developing economies"</formula>
    </cfRule>
  </conditionalFormatting>
  <conditionalFormatting sqref="K489">
    <cfRule type="expression" dxfId="301" priority="448">
      <formula>#REF!="No differentiation (overall segment)"</formula>
    </cfRule>
  </conditionalFormatting>
  <conditionalFormatting sqref="K491">
    <cfRule type="expression" dxfId="300" priority="438">
      <formula>#REF!="No differentiation (overall segment)"</formula>
    </cfRule>
  </conditionalFormatting>
  <conditionalFormatting sqref="K493">
    <cfRule type="expression" dxfId="299" priority="437">
      <formula>#REF!="No differentiation (overall segment)"</formula>
    </cfRule>
  </conditionalFormatting>
  <conditionalFormatting sqref="K495">
    <cfRule type="expression" dxfId="298" priority="433">
      <formula>#REF!="No differentiation (overall segment)"</formula>
    </cfRule>
    <cfRule type="expression" dxfId="297" priority="434">
      <formula>#REF!="By developed / developing economies"</formula>
    </cfRule>
    <cfRule type="containsText" dxfId="296" priority="435" operator="containsText" text="Review">
      <formula>NOT(ISERROR(SEARCH("Review",K495)))</formula>
    </cfRule>
    <cfRule type="expression" dxfId="295" priority="436">
      <formula>K495="OK"</formula>
    </cfRule>
  </conditionalFormatting>
  <conditionalFormatting sqref="K630:K633 P630:P633 V630:V633 K642:K649 P642:P649 V642:V649 L661:L683 Q661:Q683 L690:L693 T690:T693 Q703:Q748 L755:L762 U755:U762 L703:L748">
    <cfRule type="containsText" dxfId="294" priority="138" operator="containsText" text="Review">
      <formula>NOT(ISERROR(SEARCH("Review",K630)))</formula>
    </cfRule>
    <cfRule type="containsText" dxfId="293" priority="139" operator="containsText" text="Minimum">
      <formula>NOT(ISERROR(SEARCH("Minimum",K630)))</formula>
    </cfRule>
  </conditionalFormatting>
  <conditionalFormatting sqref="K630:K633 P630:P633 V630:V633 K642:K649 P642:P649 V642:V649 L661:L683 Q661:Q683 L690:L693 T690:T693 Q703:Q748 L755:L762 U755:U762">
    <cfRule type="containsText" dxfId="292" priority="50" operator="containsText" text="OK">
      <formula>NOT(ISERROR(SEARCH("OK",K630)))</formula>
    </cfRule>
  </conditionalFormatting>
  <conditionalFormatting sqref="K642 K644 K646 M634">
    <cfRule type="containsText" dxfId="291" priority="356" operator="containsText" text="Review">
      <formula>NOT(ISERROR(SEARCH("Review",K634)))</formula>
    </cfRule>
  </conditionalFormatting>
  <conditionalFormatting sqref="K642 K644 K646">
    <cfRule type="expression" dxfId="290" priority="355">
      <formula>#REF!="By developed / developing economies"</formula>
    </cfRule>
  </conditionalFormatting>
  <conditionalFormatting sqref="K642">
    <cfRule type="expression" dxfId="289" priority="353">
      <formula>#REF!="No differentiation (overall segment)"</formula>
    </cfRule>
  </conditionalFormatting>
  <conditionalFormatting sqref="K644">
    <cfRule type="expression" dxfId="288" priority="343">
      <formula>#REF!="No differentiation (overall segment)"</formula>
    </cfRule>
  </conditionalFormatting>
  <conditionalFormatting sqref="K646">
    <cfRule type="expression" dxfId="287" priority="342">
      <formula>#REF!="No differentiation (overall segment)"</formula>
    </cfRule>
  </conditionalFormatting>
  <conditionalFormatting sqref="K648">
    <cfRule type="expression" dxfId="286" priority="338">
      <formula>#REF!="No differentiation (overall segment)"</formula>
    </cfRule>
    <cfRule type="expression" dxfId="285" priority="339">
      <formula>#REF!="By developed / developing economies"</formula>
    </cfRule>
    <cfRule type="containsText" dxfId="284" priority="340" operator="containsText" text="Review">
      <formula>NOT(ISERROR(SEARCH("Review",K648)))</formula>
    </cfRule>
    <cfRule type="expression" dxfId="283" priority="341">
      <formula>K648="OK"</formula>
    </cfRule>
  </conditionalFormatting>
  <conditionalFormatting sqref="L51:L72">
    <cfRule type="containsText" dxfId="282" priority="721" operator="containsText" text="Select">
      <formula>NOT(ISERROR(SEARCH("Select",L51)))</formula>
    </cfRule>
    <cfRule type="containsText" dxfId="281" priority="722" operator="containsText" text="OK">
      <formula>NOT(ISERROR(SEARCH("OK",L51)))</formula>
    </cfRule>
  </conditionalFormatting>
  <conditionalFormatting sqref="L79:L82">
    <cfRule type="expression" dxfId="280" priority="672">
      <formula>C79="By developed / developing economies"</formula>
    </cfRule>
    <cfRule type="containsText" dxfId="279" priority="673" operator="containsText" text="Review">
      <formula>NOT(ISERROR(SEARCH("Review",L79)))</formula>
    </cfRule>
    <cfRule type="expression" dxfId="278" priority="674">
      <formula>L79="OK"</formula>
    </cfRule>
  </conditionalFormatting>
  <conditionalFormatting sqref="L81">
    <cfRule type="expression" dxfId="277" priority="749">
      <formula>#REF!="By developed / developing economies"</formula>
    </cfRule>
    <cfRule type="containsText" dxfId="276" priority="750" operator="containsText" text="Review">
      <formula>NOT(ISERROR(SEARCH("Review",L81)))</formula>
    </cfRule>
    <cfRule type="expression" dxfId="275" priority="751">
      <formula>L81="OK"</formula>
    </cfRule>
  </conditionalFormatting>
  <conditionalFormatting sqref="L92">
    <cfRule type="containsText" dxfId="274" priority="664" operator="containsText" text="Select">
      <formula>NOT(ISERROR(SEARCH("Select",L92)))</formula>
    </cfRule>
    <cfRule type="containsText" dxfId="273" priority="665" operator="containsText" text="OK">
      <formula>NOT(ISERROR(SEARCH("OK",L92)))</formula>
    </cfRule>
  </conditionalFormatting>
  <conditionalFormatting sqref="L92:L135">
    <cfRule type="containsText" dxfId="272" priority="10" operator="containsText" text="OK">
      <formula>NOT(ISERROR(SEARCH("OK",L92)))</formula>
    </cfRule>
  </conditionalFormatting>
  <conditionalFormatting sqref="L94">
    <cfRule type="containsText" dxfId="271" priority="255" operator="containsText" text="Select">
      <formula>NOT(ISERROR(SEARCH("Select",L94)))</formula>
    </cfRule>
    <cfRule type="containsText" dxfId="270" priority="256" operator="containsText" text="OK">
      <formula>NOT(ISERROR(SEARCH("OK",L94)))</formula>
    </cfRule>
  </conditionalFormatting>
  <conditionalFormatting sqref="L96">
    <cfRule type="containsText" dxfId="269" priority="253" operator="containsText" text="Select">
      <formula>NOT(ISERROR(SEARCH("Select",L96)))</formula>
    </cfRule>
    <cfRule type="containsText" dxfId="268" priority="254" operator="containsText" text="OK">
      <formula>NOT(ISERROR(SEARCH("OK",L96)))</formula>
    </cfRule>
  </conditionalFormatting>
  <conditionalFormatting sqref="L98 L100 L102 L104 L106 L108 L110 L112 L114 L116 L118 L120 L122 L124 L126 L128 L130 L134">
    <cfRule type="containsText" dxfId="267" priority="251" operator="containsText" text="Select">
      <formula>NOT(ISERROR(SEARCH("Select",L98)))</formula>
    </cfRule>
    <cfRule type="containsText" dxfId="266" priority="252" operator="containsText" text="OK">
      <formula>NOT(ISERROR(SEARCH("OK",L98)))</formula>
    </cfRule>
  </conditionalFormatting>
  <conditionalFormatting sqref="L132">
    <cfRule type="containsText" dxfId="265" priority="9" operator="containsText" text="Select">
      <formula>NOT(ISERROR(SEARCH("Select",L132)))</formula>
    </cfRule>
  </conditionalFormatting>
  <conditionalFormatting sqref="L142:L149">
    <cfRule type="expression" dxfId="264" priority="679">
      <formula>C142="By developed / developing economies"</formula>
    </cfRule>
    <cfRule type="containsText" dxfId="263" priority="680" operator="containsText" text="Review">
      <formula>NOT(ISERROR(SEARCH("Review",L142)))</formula>
    </cfRule>
    <cfRule type="expression" dxfId="262" priority="681">
      <formula>L142="OK"</formula>
    </cfRule>
    <cfRule type="containsText" dxfId="261" priority="693" operator="containsText" text="OK">
      <formula>NOT(ISERROR(SEARCH("OK",L142)))</formula>
    </cfRule>
  </conditionalFormatting>
  <conditionalFormatting sqref="L144">
    <cfRule type="expression" dxfId="260" priority="691">
      <formula>#REF!="By developed / developing economies"</formula>
    </cfRule>
    <cfRule type="containsText" dxfId="259" priority="692" operator="containsText" text="Review">
      <formula>NOT(ISERROR(SEARCH("Review",L144)))</formula>
    </cfRule>
  </conditionalFormatting>
  <conditionalFormatting sqref="L202:L224">
    <cfRule type="containsText" dxfId="258" priority="267" operator="containsText" text="Select">
      <formula>NOT(ISERROR(SEARCH("Select",L202)))</formula>
    </cfRule>
    <cfRule type="containsText" dxfId="257" priority="268" operator="containsText" text="OK">
      <formula>NOT(ISERROR(SEARCH("OK",L202)))</formula>
    </cfRule>
  </conditionalFormatting>
  <conditionalFormatting sqref="L231:L234">
    <cfRule type="expression" dxfId="256" priority="203">
      <formula>C231="By developed / developing economies"</formula>
    </cfRule>
    <cfRule type="containsText" dxfId="255" priority="204" operator="containsText" text="Review">
      <formula>NOT(ISERROR(SEARCH("Review",L231)))</formula>
    </cfRule>
    <cfRule type="expression" dxfId="254" priority="205">
      <formula>L231="OK"</formula>
    </cfRule>
  </conditionalFormatting>
  <conditionalFormatting sqref="L233">
    <cfRule type="expression" dxfId="253" priority="206">
      <formula>#REF!="By developed / developing economies"</formula>
    </cfRule>
    <cfRule type="containsText" dxfId="252" priority="207" operator="containsText" text="Review">
      <formula>NOT(ISERROR(SEARCH("Review",L233)))</formula>
    </cfRule>
    <cfRule type="expression" dxfId="251" priority="208">
      <formula>L233="OK"</formula>
    </cfRule>
  </conditionalFormatting>
  <conditionalFormatting sqref="L244">
    <cfRule type="containsText" dxfId="250" priority="245" operator="containsText" text="Select">
      <formula>NOT(ISERROR(SEARCH("Select",L244)))</formula>
    </cfRule>
    <cfRule type="containsText" dxfId="249" priority="246" operator="containsText" text="OK">
      <formula>NOT(ISERROR(SEARCH("OK",L244)))</formula>
    </cfRule>
  </conditionalFormatting>
  <conditionalFormatting sqref="L244:L289">
    <cfRule type="containsText" dxfId="248" priority="8" operator="containsText" text="OK">
      <formula>NOT(ISERROR(SEARCH("OK",L244)))</formula>
    </cfRule>
  </conditionalFormatting>
  <conditionalFormatting sqref="L246">
    <cfRule type="containsText" dxfId="247" priority="243" operator="containsText" text="Select">
      <formula>NOT(ISERROR(SEARCH("Select",L246)))</formula>
    </cfRule>
    <cfRule type="containsText" dxfId="246" priority="244" operator="containsText" text="OK">
      <formula>NOT(ISERROR(SEARCH("OK",L246)))</formula>
    </cfRule>
  </conditionalFormatting>
  <conditionalFormatting sqref="L248">
    <cfRule type="containsText" dxfId="245" priority="241" operator="containsText" text="Select">
      <formula>NOT(ISERROR(SEARCH("Select",L248)))</formula>
    </cfRule>
    <cfRule type="containsText" dxfId="244" priority="242" operator="containsText" text="OK">
      <formula>NOT(ISERROR(SEARCH("OK",L248)))</formula>
    </cfRule>
  </conditionalFormatting>
  <conditionalFormatting sqref="L250 L252 L254 L256 L258 L260 L262 L264 L266 L268 L270 L272 L274 L276 L278 L280 L282 L284">
    <cfRule type="containsText" dxfId="243" priority="239" operator="containsText" text="Select">
      <formula>NOT(ISERROR(SEARCH("Select",L250)))</formula>
    </cfRule>
    <cfRule type="containsText" dxfId="242" priority="240" operator="containsText" text="OK">
      <formula>NOT(ISERROR(SEARCH("OK",L250)))</formula>
    </cfRule>
  </conditionalFormatting>
  <conditionalFormatting sqref="L286">
    <cfRule type="containsText" dxfId="241" priority="7" operator="containsText" text="Select">
      <formula>NOT(ISERROR(SEARCH("Select",L286)))</formula>
    </cfRule>
  </conditionalFormatting>
  <conditionalFormatting sqref="L288">
    <cfRule type="containsText" dxfId="240" priority="237" operator="containsText" text="Select">
      <formula>NOT(ISERROR(SEARCH("Select",L288)))</formula>
    </cfRule>
    <cfRule type="containsText" dxfId="239" priority="238" operator="containsText" text="OK">
      <formula>NOT(ISERROR(SEARCH("OK",L288)))</formula>
    </cfRule>
  </conditionalFormatting>
  <conditionalFormatting sqref="L296:L303">
    <cfRule type="expression" dxfId="238" priority="179">
      <formula>C296="By developed / developing economies"</formula>
    </cfRule>
    <cfRule type="containsText" dxfId="237" priority="180" operator="containsText" text="Review">
      <formula>NOT(ISERROR(SEARCH("Review",L296)))</formula>
    </cfRule>
    <cfRule type="expression" dxfId="236" priority="181">
      <formula>L296="OK"</formula>
    </cfRule>
    <cfRule type="containsText" dxfId="235" priority="182" operator="containsText" text="OK">
      <formula>NOT(ISERROR(SEARCH("OK",L296)))</formula>
    </cfRule>
  </conditionalFormatting>
  <conditionalFormatting sqref="L355:L377">
    <cfRule type="containsText" dxfId="234" priority="265" operator="containsText" text="Select">
      <formula>NOT(ISERROR(SEARCH("Select",L355)))</formula>
    </cfRule>
    <cfRule type="containsText" dxfId="233" priority="266" operator="containsText" text="OK">
      <formula>NOT(ISERROR(SEARCH("OK",L355)))</formula>
    </cfRule>
  </conditionalFormatting>
  <conditionalFormatting sqref="L384:L387">
    <cfRule type="expression" dxfId="232" priority="197">
      <formula>C384="By developed / developing economies"</formula>
    </cfRule>
    <cfRule type="containsText" dxfId="231" priority="198" operator="containsText" text="Review">
      <formula>NOT(ISERROR(SEARCH("Review",L384)))</formula>
    </cfRule>
    <cfRule type="expression" dxfId="230" priority="199">
      <formula>L384="OK"</formula>
    </cfRule>
  </conditionalFormatting>
  <conditionalFormatting sqref="L386">
    <cfRule type="expression" dxfId="229" priority="200">
      <formula>#REF!="By developed / developing economies"</formula>
    </cfRule>
    <cfRule type="containsText" dxfId="228" priority="201" operator="containsText" text="Review">
      <formula>NOT(ISERROR(SEARCH("Review",L386)))</formula>
    </cfRule>
    <cfRule type="expression" dxfId="227" priority="202">
      <formula>L386="OK"</formula>
    </cfRule>
  </conditionalFormatting>
  <conditionalFormatting sqref="L397">
    <cfRule type="containsText" dxfId="226" priority="173" operator="containsText" text="Select">
      <formula>NOT(ISERROR(SEARCH("Select",L397)))</formula>
    </cfRule>
    <cfRule type="containsText" dxfId="225" priority="174" operator="containsText" text="OK">
      <formula>NOT(ISERROR(SEARCH("OK",L397)))</formula>
    </cfRule>
  </conditionalFormatting>
  <conditionalFormatting sqref="L397:L442">
    <cfRule type="containsText" dxfId="224" priority="6" operator="containsText" text="OK">
      <formula>NOT(ISERROR(SEARCH("OK",L397)))</formula>
    </cfRule>
  </conditionalFormatting>
  <conditionalFormatting sqref="L399 L401 L403 L405 L407 L409 L411 L413 L415 L417 L419 L421 L423 L425 L427 L429 L431 L433 L435 L437 L441">
    <cfRule type="containsText" dxfId="223" priority="168" operator="containsText" text="Select">
      <formula>NOT(ISERROR(SEARCH("Select",L399)))</formula>
    </cfRule>
    <cfRule type="containsText" dxfId="222" priority="169" operator="containsText" text="OK">
      <formula>NOT(ISERROR(SEARCH("OK",L399)))</formula>
    </cfRule>
  </conditionalFormatting>
  <conditionalFormatting sqref="L439">
    <cfRule type="containsText" dxfId="221" priority="5" operator="containsText" text="Select">
      <formula>NOT(ISERROR(SEARCH("Select",L439)))</formula>
    </cfRule>
  </conditionalFormatting>
  <conditionalFormatting sqref="L449:L456">
    <cfRule type="expression" dxfId="220" priority="175">
      <formula>C449="By developed / developing economies"</formula>
    </cfRule>
    <cfRule type="containsText" dxfId="219" priority="176" operator="containsText" text="Review">
      <formula>NOT(ISERROR(SEARCH("Review",L449)))</formula>
    </cfRule>
    <cfRule type="expression" dxfId="218" priority="177">
      <formula>L449="OK"</formula>
    </cfRule>
    <cfRule type="containsText" dxfId="217" priority="178" operator="containsText" text="OK">
      <formula>NOT(ISERROR(SEARCH("OK",L449)))</formula>
    </cfRule>
  </conditionalFormatting>
  <conditionalFormatting sqref="L508:L530">
    <cfRule type="containsText" dxfId="216" priority="183" operator="containsText" text="Select">
      <formula>NOT(ISERROR(SEARCH("Select",L508)))</formula>
    </cfRule>
    <cfRule type="containsText" dxfId="215" priority="184" operator="containsText" text="OK">
      <formula>NOT(ISERROR(SEARCH("OK",L508)))</formula>
    </cfRule>
  </conditionalFormatting>
  <conditionalFormatting sqref="L537:L540">
    <cfRule type="expression" dxfId="214" priority="191">
      <formula>C537="By developed / developing economies"</formula>
    </cfRule>
    <cfRule type="containsText" dxfId="213" priority="192" operator="containsText" text="Review">
      <formula>NOT(ISERROR(SEARCH("Review",L537)))</formula>
    </cfRule>
    <cfRule type="expression" dxfId="212" priority="193">
      <formula>L537="OK"</formula>
    </cfRule>
  </conditionalFormatting>
  <conditionalFormatting sqref="L539">
    <cfRule type="expression" dxfId="211" priority="194">
      <formula>#REF!="By developed / developing economies"</formula>
    </cfRule>
    <cfRule type="containsText" dxfId="210" priority="195" operator="containsText" text="Review">
      <formula>NOT(ISERROR(SEARCH("Review",L539)))</formula>
    </cfRule>
    <cfRule type="expression" dxfId="209" priority="196">
      <formula>L539="OK"</formula>
    </cfRule>
  </conditionalFormatting>
  <conditionalFormatting sqref="L550">
    <cfRule type="containsText" dxfId="208" priority="231" operator="containsText" text="Select">
      <formula>NOT(ISERROR(SEARCH("Select",L550)))</formula>
    </cfRule>
    <cfRule type="containsText" dxfId="207" priority="232" operator="containsText" text="OK">
      <formula>NOT(ISERROR(SEARCH("OK",L550)))</formula>
    </cfRule>
  </conditionalFormatting>
  <conditionalFormatting sqref="L550:L595">
    <cfRule type="containsText" dxfId="206" priority="4" operator="containsText" text="OK">
      <formula>NOT(ISERROR(SEARCH("OK",L550)))</formula>
    </cfRule>
  </conditionalFormatting>
  <conditionalFormatting sqref="L552">
    <cfRule type="containsText" dxfId="205" priority="229" operator="containsText" text="Select">
      <formula>NOT(ISERROR(SEARCH("Select",L552)))</formula>
    </cfRule>
    <cfRule type="containsText" dxfId="204" priority="230" operator="containsText" text="OK">
      <formula>NOT(ISERROR(SEARCH("OK",L552)))</formula>
    </cfRule>
  </conditionalFormatting>
  <conditionalFormatting sqref="L554">
    <cfRule type="containsText" dxfId="203" priority="227" operator="containsText" text="Select">
      <formula>NOT(ISERROR(SEARCH("Select",L554)))</formula>
    </cfRule>
    <cfRule type="containsText" dxfId="202" priority="228" operator="containsText" text="OK">
      <formula>NOT(ISERROR(SEARCH("OK",L554)))</formula>
    </cfRule>
  </conditionalFormatting>
  <conditionalFormatting sqref="L556 L558 L560 L562 L564 L566 L568 L570 L572 L574 L576 L578 L580 L582 L584 L586 L588 L590">
    <cfRule type="containsText" dxfId="201" priority="225" operator="containsText" text="Select">
      <formula>NOT(ISERROR(SEARCH("Select",L556)))</formula>
    </cfRule>
    <cfRule type="containsText" dxfId="200" priority="226" operator="containsText" text="OK">
      <formula>NOT(ISERROR(SEARCH("OK",L556)))</formula>
    </cfRule>
  </conditionalFormatting>
  <conditionalFormatting sqref="L592">
    <cfRule type="containsText" dxfId="199" priority="3" operator="containsText" text="Select">
      <formula>NOT(ISERROR(SEARCH("Select",L592)))</formula>
    </cfRule>
  </conditionalFormatting>
  <conditionalFormatting sqref="L594">
    <cfRule type="containsText" dxfId="198" priority="223" operator="containsText" text="Select">
      <formula>NOT(ISERROR(SEARCH("Select",L594)))</formula>
    </cfRule>
    <cfRule type="containsText" dxfId="197" priority="224" operator="containsText" text="OK">
      <formula>NOT(ISERROR(SEARCH("OK",L594)))</formula>
    </cfRule>
  </conditionalFormatting>
  <conditionalFormatting sqref="L661:L683">
    <cfRule type="containsText" dxfId="196" priority="263" operator="containsText" text="Select">
      <formula>NOT(ISERROR(SEARCH("Select",L661)))</formula>
    </cfRule>
    <cfRule type="containsText" dxfId="195" priority="264" operator="containsText" text="OK">
      <formula>NOT(ISERROR(SEARCH("OK",L661)))</formula>
    </cfRule>
  </conditionalFormatting>
  <conditionalFormatting sqref="L690:L693">
    <cfRule type="expression" dxfId="194" priority="185">
      <formula>C690="By developed / developing economies"</formula>
    </cfRule>
    <cfRule type="containsText" dxfId="193" priority="186" operator="containsText" text="Review">
      <formula>NOT(ISERROR(SEARCH("Review",L690)))</formula>
    </cfRule>
    <cfRule type="expression" dxfId="192" priority="187">
      <formula>L690="OK"</formula>
    </cfRule>
  </conditionalFormatting>
  <conditionalFormatting sqref="L692">
    <cfRule type="expression" dxfId="191" priority="188">
      <formula>#REF!="By developed / developing economies"</formula>
    </cfRule>
    <cfRule type="containsText" dxfId="190" priority="189" operator="containsText" text="Review">
      <formula>NOT(ISERROR(SEARCH("Review",L692)))</formula>
    </cfRule>
    <cfRule type="expression" dxfId="189" priority="190">
      <formula>L692="OK"</formula>
    </cfRule>
  </conditionalFormatting>
  <conditionalFormatting sqref="L703">
    <cfRule type="containsText" dxfId="188" priority="217" operator="containsText" text="Select">
      <formula>NOT(ISERROR(SEARCH("Select",L703)))</formula>
    </cfRule>
    <cfRule type="containsText" dxfId="187" priority="218" operator="containsText" text="OK">
      <formula>NOT(ISERROR(SEARCH("OK",L703)))</formula>
    </cfRule>
  </conditionalFormatting>
  <conditionalFormatting sqref="L703:L748">
    <cfRule type="containsText" dxfId="186" priority="2" operator="containsText" text="OK">
      <formula>NOT(ISERROR(SEARCH("OK",L703)))</formula>
    </cfRule>
  </conditionalFormatting>
  <conditionalFormatting sqref="L705">
    <cfRule type="containsText" dxfId="185" priority="215" operator="containsText" text="Select">
      <formula>NOT(ISERROR(SEARCH("Select",L705)))</formula>
    </cfRule>
    <cfRule type="containsText" dxfId="184" priority="216" operator="containsText" text="OK">
      <formula>NOT(ISERROR(SEARCH("OK",L705)))</formula>
    </cfRule>
  </conditionalFormatting>
  <conditionalFormatting sqref="L707">
    <cfRule type="containsText" dxfId="183" priority="213" operator="containsText" text="Select">
      <formula>NOT(ISERROR(SEARCH("Select",L707)))</formula>
    </cfRule>
    <cfRule type="containsText" dxfId="182" priority="214" operator="containsText" text="OK">
      <formula>NOT(ISERROR(SEARCH("OK",L707)))</formula>
    </cfRule>
  </conditionalFormatting>
  <conditionalFormatting sqref="L709 L711 L713 L715 L717 L719 L721 L723 L725 L727 L729 L731 L733 L735 L737 L739 L741 L743">
    <cfRule type="containsText" dxfId="181" priority="211" operator="containsText" text="Select">
      <formula>NOT(ISERROR(SEARCH("Select",L709)))</formula>
    </cfRule>
    <cfRule type="containsText" dxfId="180" priority="212" operator="containsText" text="OK">
      <formula>NOT(ISERROR(SEARCH("OK",L709)))</formula>
    </cfRule>
  </conditionalFormatting>
  <conditionalFormatting sqref="L745">
    <cfRule type="containsText" dxfId="179" priority="1" operator="containsText" text="Select">
      <formula>NOT(ISERROR(SEARCH("Select",L745)))</formula>
    </cfRule>
  </conditionalFormatting>
  <conditionalFormatting sqref="L747">
    <cfRule type="containsText" dxfId="178" priority="209" operator="containsText" text="Select">
      <formula>NOT(ISERROR(SEARCH("Select",L747)))</formula>
    </cfRule>
    <cfRule type="containsText" dxfId="177" priority="210" operator="containsText" text="OK">
      <formula>NOT(ISERROR(SEARCH("OK",L747)))</formula>
    </cfRule>
  </conditionalFormatting>
  <conditionalFormatting sqref="L755:L762">
    <cfRule type="expression" dxfId="176" priority="152">
      <formula>C755="By developed / developing economies"</formula>
    </cfRule>
    <cfRule type="containsText" dxfId="175" priority="153" operator="containsText" text="Review">
      <formula>NOT(ISERROR(SEARCH("Review",L755)))</formula>
    </cfRule>
    <cfRule type="expression" dxfId="174" priority="154">
      <formula>L755="OK"</formula>
    </cfRule>
    <cfRule type="containsText" dxfId="173" priority="155" operator="containsText" text="OK">
      <formula>NOT(ISERROR(SEARCH("OK",L755)))</formula>
    </cfRule>
  </conditionalFormatting>
  <conditionalFormatting sqref="M175 K183 K185 K187">
    <cfRule type="expression" dxfId="172" priority="642">
      <formula>K175="OK"</formula>
    </cfRule>
  </conditionalFormatting>
  <conditionalFormatting sqref="M328 K336 K338 K340">
    <cfRule type="expression" dxfId="171" priority="547">
      <formula>K328="OK"</formula>
    </cfRule>
  </conditionalFormatting>
  <conditionalFormatting sqref="M481 K489 K491 K493">
    <cfRule type="expression" dxfId="170" priority="452">
      <formula>K481="OK"</formula>
    </cfRule>
  </conditionalFormatting>
  <conditionalFormatting sqref="M634 K642 K644 K646">
    <cfRule type="expression" dxfId="169" priority="357">
      <formula>K634="OK"</formula>
    </cfRule>
  </conditionalFormatting>
  <conditionalFormatting sqref="M20:N23 S20:T23">
    <cfRule type="expression" dxfId="168" priority="129">
      <formula>AND($D$8="Climate-Alignment Target Only",$D$9="No Regional differentiation")</formula>
    </cfRule>
    <cfRule type="expression" dxfId="167" priority="130">
      <formula>$D$8="Mix of Climate-Alignment and Sector Targets"</formula>
    </cfRule>
    <cfRule type="expression" dxfId="166" priority="131">
      <formula>$D$9="Regional differentiation"</formula>
    </cfRule>
  </conditionalFormatting>
  <conditionalFormatting sqref="M32:N39 E32:I39 S32:T39">
    <cfRule type="expression" dxfId="165" priority="133">
      <formula>AND($D$8="Climate-Alignment Target Only",$D$9="Regional differentiation")</formula>
    </cfRule>
  </conditionalFormatting>
  <conditionalFormatting sqref="M171:N174 S171:T174">
    <cfRule type="expression" dxfId="164" priority="120">
      <formula>AND($D$159="Climate-Alignment Target Only",$D$160="No Regional differentiation")</formula>
    </cfRule>
    <cfRule type="expression" dxfId="163" priority="121">
      <formula>$D$159="Mix of Climate-Alignment and Sector Targets"</formula>
    </cfRule>
    <cfRule type="expression" dxfId="162" priority="122">
      <formula>$D$160="Regional differentiation"</formula>
    </cfRule>
  </conditionalFormatting>
  <conditionalFormatting sqref="M183:N190 E183:I190 S183:T190">
    <cfRule type="expression" dxfId="161" priority="117">
      <formula>AND($D$159="Climate-Alignment Target Only",$D$160="Regional differentiation")</formula>
    </cfRule>
  </conditionalFormatting>
  <conditionalFormatting sqref="M324:N327 S324:T327">
    <cfRule type="expression" dxfId="160" priority="108">
      <formula>AND($D$312="Climate-Alignment Target Only",$D$313="No Regional differentiation")</formula>
    </cfRule>
    <cfRule type="expression" dxfId="159" priority="109">
      <formula>$D$312="Mix of Climate-Alignment and Sector Targets"</formula>
    </cfRule>
    <cfRule type="expression" dxfId="158" priority="110">
      <formula>$D$313="Regional differentiation"</formula>
    </cfRule>
  </conditionalFormatting>
  <conditionalFormatting sqref="M336:N343 E336:I343 S336:T343">
    <cfRule type="expression" dxfId="157" priority="105">
      <formula>AND($D$312="Climate-Alignment Target Only",$D$313="Regional differentiation")</formula>
    </cfRule>
  </conditionalFormatting>
  <conditionalFormatting sqref="M477:N480 S477:T480">
    <cfRule type="expression" dxfId="156" priority="96">
      <formula>AND($D$465="Climate-Alignment Target Only",$D$466="No Regional differentiation")</formula>
    </cfRule>
    <cfRule type="expression" dxfId="155" priority="97">
      <formula>$D$465="Mix of Climate-Alignment and Sector Targets"</formula>
    </cfRule>
    <cfRule type="expression" dxfId="154" priority="98">
      <formula>$D$466="Regional differentiation"</formula>
    </cfRule>
  </conditionalFormatting>
  <conditionalFormatting sqref="M489:N496 E489:I496 S489:T496">
    <cfRule type="expression" dxfId="153" priority="93">
      <formula>AND($D$465="Climate-Alignment Target Only",$D$466="Regional differentiation")</formula>
    </cfRule>
  </conditionalFormatting>
  <conditionalFormatting sqref="M630:N633 S630:T633">
    <cfRule type="expression" dxfId="152" priority="84">
      <formula>AND($D$618="Climate-Alignment Target Only",$D$619="No Regional differentiation")</formula>
    </cfRule>
    <cfRule type="expression" dxfId="151" priority="85">
      <formula>$D$618="Mix of Climate-Alignment and Sector Targets"</formula>
    </cfRule>
    <cfRule type="expression" dxfId="150" priority="86">
      <formula>$D$619="Regional differentiation"</formula>
    </cfRule>
  </conditionalFormatting>
  <conditionalFormatting sqref="M634:N634">
    <cfRule type="expression" dxfId="149" priority="372">
      <formula>#REF!="By developed / developing economies"</formula>
    </cfRule>
  </conditionalFormatting>
  <conditionalFormatting sqref="M642:N649 E642:I649 S642:T649">
    <cfRule type="expression" dxfId="148" priority="81">
      <formula>AND($D$618="Climate-Alignment Target Only",$D$619="Regional differentiation")</formula>
    </cfRule>
  </conditionalFormatting>
  <conditionalFormatting sqref="N20:N23">
    <cfRule type="expression" dxfId="147" priority="49">
      <formula>D20=0</formula>
    </cfRule>
  </conditionalFormatting>
  <conditionalFormatting sqref="N32:N39">
    <cfRule type="expression" dxfId="146" priority="47">
      <formula>J32=0</formula>
    </cfRule>
  </conditionalFormatting>
  <conditionalFormatting sqref="N171:N174">
    <cfRule type="expression" dxfId="145" priority="46">
      <formula>D171=0</formula>
    </cfRule>
  </conditionalFormatting>
  <conditionalFormatting sqref="N172:N174 P175">
    <cfRule type="expression" dxfId="144" priority="634">
      <formula>#REF!="No differentiation (overall segment)"</formula>
    </cfRule>
  </conditionalFormatting>
  <conditionalFormatting sqref="N183:N190">
    <cfRule type="expression" dxfId="143" priority="44">
      <formula>J183=0</formula>
    </cfRule>
  </conditionalFormatting>
  <conditionalFormatting sqref="N324:N327">
    <cfRule type="expression" dxfId="142" priority="43">
      <formula>D324=0</formula>
    </cfRule>
  </conditionalFormatting>
  <conditionalFormatting sqref="N325:N327 P328">
    <cfRule type="expression" dxfId="141" priority="539">
      <formula>#REF!="No differentiation (overall segment)"</formula>
    </cfRule>
  </conditionalFormatting>
  <conditionalFormatting sqref="N336:N343">
    <cfRule type="expression" dxfId="140" priority="41">
      <formula>J336=0</formula>
    </cfRule>
  </conditionalFormatting>
  <conditionalFormatting sqref="N477:N480">
    <cfRule type="expression" dxfId="139" priority="40">
      <formula>D477=0</formula>
    </cfRule>
  </conditionalFormatting>
  <conditionalFormatting sqref="N478:N480 P481">
    <cfRule type="expression" dxfId="138" priority="444">
      <formula>#REF!="No differentiation (overall segment)"</formula>
    </cfRule>
  </conditionalFormatting>
  <conditionalFormatting sqref="N489:N496">
    <cfRule type="expression" dxfId="137" priority="38">
      <formula>J489=0</formula>
    </cfRule>
  </conditionalFormatting>
  <conditionalFormatting sqref="N630:N633">
    <cfRule type="expression" dxfId="136" priority="37">
      <formula>D630=0</formula>
    </cfRule>
  </conditionalFormatting>
  <conditionalFormatting sqref="N642:N649">
    <cfRule type="expression" dxfId="135" priority="35">
      <formula>J642=0</formula>
    </cfRule>
  </conditionalFormatting>
  <conditionalFormatting sqref="N51:O72 Q79:R82">
    <cfRule type="expression" dxfId="134" priority="126">
      <formula>$D$9="Regional differentiation"</formula>
    </cfRule>
    <cfRule type="expression" dxfId="133" priority="127">
      <formula>$D$8="Climate-Alignment Target Only"</formula>
    </cfRule>
    <cfRule type="expression" dxfId="132" priority="258">
      <formula>AND($D$8="Mix of Climate-Alignment and Sector Targets",$D$9="No regional differentiation")</formula>
    </cfRule>
  </conditionalFormatting>
  <conditionalFormatting sqref="N202:O224 Q231:R234">
    <cfRule type="expression" dxfId="131" priority="114">
      <formula>$D$160="Regional differentiation"</formula>
    </cfRule>
    <cfRule type="expression" dxfId="130" priority="115">
      <formula>$D$159="Climate-Alignment Target Only"</formula>
    </cfRule>
    <cfRule type="expression" dxfId="129" priority="637">
      <formula>AND($D$159="Mix of Climate-Alignment and Sector Targets",$D$160="No regional differentiation")</formula>
    </cfRule>
  </conditionalFormatting>
  <conditionalFormatting sqref="N355:O377 Q384:R387">
    <cfRule type="expression" dxfId="128" priority="102">
      <formula>$D$313="Regional differentiation"</formula>
    </cfRule>
    <cfRule type="expression" dxfId="127" priority="103">
      <formula>$D$312="Climate-Alignment Target Only"</formula>
    </cfRule>
    <cfRule type="expression" dxfId="126" priority="542">
      <formula>AND($D$312="Mix of Climate-Alignment and Sector Targets",$D$313="No regional differentiation")</formula>
    </cfRule>
  </conditionalFormatting>
  <conditionalFormatting sqref="N508:O530 Q537:R540">
    <cfRule type="expression" dxfId="125" priority="90">
      <formula>$D$466="Regional differentiation"</formula>
    </cfRule>
    <cfRule type="expression" dxfId="124" priority="91">
      <formula>$D$465="Climate-Alignment Target Only"</formula>
    </cfRule>
    <cfRule type="expression" dxfId="123" priority="447">
      <formula>AND($D$465="Mix of Climate-Alignment and Sector Targets",$D$466="No regional differentiation")</formula>
    </cfRule>
  </conditionalFormatting>
  <conditionalFormatting sqref="N661:O683 Q690:R693">
    <cfRule type="expression" dxfId="122" priority="78">
      <formula>$D$619="Regional differentiation"</formula>
    </cfRule>
    <cfRule type="expression" dxfId="121" priority="79">
      <formula>$D$618="Climate-Alignment Target Only"</formula>
    </cfRule>
    <cfRule type="expression" dxfId="120" priority="352">
      <formula>AND($D$618="Mix of Climate-Alignment and Sector Targets",$D$619="No regional differentiation")</formula>
    </cfRule>
  </conditionalFormatting>
  <conditionalFormatting sqref="O51:O72">
    <cfRule type="expression" dxfId="119" priority="73">
      <formula>$D51="No target type selected"</formula>
    </cfRule>
    <cfRule type="expression" dxfId="118" priority="74">
      <formula>$D51="Sector target"</formula>
    </cfRule>
    <cfRule type="expression" dxfId="117" priority="128">
      <formula>$D51="Climate-alignment target"</formula>
    </cfRule>
  </conditionalFormatting>
  <conditionalFormatting sqref="O202:O203 O224 O355:O356 O377 O508:O509 O530 O661:O662 O683">
    <cfRule type="expression" dxfId="116" priority="69">
      <formula>$D202="No target type selected"</formula>
    </cfRule>
    <cfRule type="expression" dxfId="115" priority="70">
      <formula>$D202="Sector target"</formula>
    </cfRule>
    <cfRule type="expression" dxfId="114" priority="116">
      <formula>$D221="Climate-alignment target"</formula>
    </cfRule>
  </conditionalFormatting>
  <conditionalFormatting sqref="O204:O223 O357:O376 O510:O529 O663:O682">
    <cfRule type="expression" dxfId="113" priority="3447">
      <formula>$D204="No target type selected"</formula>
    </cfRule>
    <cfRule type="expression" dxfId="112" priority="3448">
      <formula>$D204="Sector target"</formula>
    </cfRule>
    <cfRule type="expression" dxfId="111" priority="3449">
      <formula>$D224="Climate-alignment target"</formula>
    </cfRule>
  </conditionalFormatting>
  <conditionalFormatting sqref="O244:O289">
    <cfRule type="expression" dxfId="110" priority="33">
      <formula>K244=0</formula>
    </cfRule>
    <cfRule type="expression" dxfId="109" priority="67">
      <formula>D244="No target type selected"</formula>
    </cfRule>
    <cfRule type="expression" dxfId="108" priority="68">
      <formula>D244="Sector target"</formula>
    </cfRule>
  </conditionalFormatting>
  <conditionalFormatting sqref="O397:O442">
    <cfRule type="expression" dxfId="107" priority="32">
      <formula>K397=0</formula>
    </cfRule>
    <cfRule type="expression" dxfId="106" priority="63">
      <formula>D397="No target type selected"</formula>
    </cfRule>
    <cfRule type="expression" dxfId="105" priority="64">
      <formula>D397="Sector target"</formula>
    </cfRule>
  </conditionalFormatting>
  <conditionalFormatting sqref="O550:O595">
    <cfRule type="expression" dxfId="104" priority="31">
      <formula>K550=0</formula>
    </cfRule>
    <cfRule type="expression" dxfId="103" priority="59">
      <formula>D550="No target type selected"</formula>
    </cfRule>
    <cfRule type="expression" dxfId="102" priority="60">
      <formula>D550="Sector target"</formula>
    </cfRule>
  </conditionalFormatting>
  <conditionalFormatting sqref="O703:O748">
    <cfRule type="expression" dxfId="101" priority="30">
      <formula>K703=0</formula>
    </cfRule>
    <cfRule type="expression" dxfId="100" priority="55">
      <formula>D703="No target type selected"</formula>
    </cfRule>
    <cfRule type="expression" dxfId="99" priority="56">
      <formula>D703="Sector target"</formula>
    </cfRule>
  </conditionalFormatting>
  <conditionalFormatting sqref="P20:P23 S24">
    <cfRule type="expression" dxfId="98" priority="3386">
      <formula>#REF!="By developed / developing economies"</formula>
    </cfRule>
  </conditionalFormatting>
  <conditionalFormatting sqref="P23 S24">
    <cfRule type="expression" dxfId="97" priority="1861">
      <formula>#REF!="N/A"</formula>
    </cfRule>
  </conditionalFormatting>
  <conditionalFormatting sqref="P171:P174 S175 P183:P190 V171 S179 V179:W179">
    <cfRule type="containsText" dxfId="96" priority="648" operator="containsText" text="OK">
      <formula>NOT(ISERROR(SEARCH("OK",P171)))</formula>
    </cfRule>
  </conditionalFormatting>
  <conditionalFormatting sqref="P171:P174 S175">
    <cfRule type="expression" dxfId="95" priority="654">
      <formula>#REF!="By developed / developing economies"</formula>
    </cfRule>
  </conditionalFormatting>
  <conditionalFormatting sqref="P174 S175">
    <cfRule type="expression" dxfId="94" priority="639">
      <formula>#REF!="N/A"</formula>
    </cfRule>
  </conditionalFormatting>
  <conditionalFormatting sqref="P183:P190">
    <cfRule type="expression" dxfId="93" priority="635">
      <formula>#REF!="No differentiation (overall segment)"</formula>
    </cfRule>
  </conditionalFormatting>
  <conditionalFormatting sqref="P189:P190">
    <cfRule type="expression" dxfId="92" priority="656">
      <formula>#REF!="N/A"</formula>
    </cfRule>
  </conditionalFormatting>
  <conditionalFormatting sqref="P324:P327 S328 P336:P343 V324 S332 V332:W332">
    <cfRule type="containsText" dxfId="91" priority="553" operator="containsText" text="OK">
      <formula>NOT(ISERROR(SEARCH("OK",P324)))</formula>
    </cfRule>
  </conditionalFormatting>
  <conditionalFormatting sqref="P324:P327 S328">
    <cfRule type="expression" dxfId="90" priority="559">
      <formula>#REF!="By developed / developing economies"</formula>
    </cfRule>
  </conditionalFormatting>
  <conditionalFormatting sqref="P327 S328">
    <cfRule type="expression" dxfId="89" priority="544">
      <formula>#REF!="N/A"</formula>
    </cfRule>
  </conditionalFormatting>
  <conditionalFormatting sqref="P336:P343">
    <cfRule type="expression" dxfId="88" priority="540">
      <formula>#REF!="No differentiation (overall segment)"</formula>
    </cfRule>
  </conditionalFormatting>
  <conditionalFormatting sqref="P342:P343">
    <cfRule type="expression" dxfId="87" priority="561">
      <formula>#REF!="N/A"</formula>
    </cfRule>
  </conditionalFormatting>
  <conditionalFormatting sqref="P477:P480 S481 P489:P496 V477 O485 S485:T485">
    <cfRule type="containsText" dxfId="86" priority="458" operator="containsText" text="OK">
      <formula>NOT(ISERROR(SEARCH("OK",O477)))</formula>
    </cfRule>
  </conditionalFormatting>
  <conditionalFormatting sqref="P477:P480 S481">
    <cfRule type="expression" dxfId="85" priority="464">
      <formula>#REF!="By developed / developing economies"</formula>
    </cfRule>
  </conditionalFormatting>
  <conditionalFormatting sqref="P480 S481">
    <cfRule type="expression" dxfId="84" priority="449">
      <formula>#REF!="N/A"</formula>
    </cfRule>
  </conditionalFormatting>
  <conditionalFormatting sqref="P489:P496">
    <cfRule type="expression" dxfId="83" priority="445">
      <formula>#REF!="No differentiation (overall segment)"</formula>
    </cfRule>
  </conditionalFormatting>
  <conditionalFormatting sqref="P495:P496">
    <cfRule type="expression" dxfId="82" priority="466">
      <formula>#REF!="N/A"</formula>
    </cfRule>
  </conditionalFormatting>
  <conditionalFormatting sqref="P630:P633 S634 P642:P649 V630 O638 S638:T638">
    <cfRule type="containsText" dxfId="81" priority="363" operator="containsText" text="OK">
      <formula>NOT(ISERROR(SEARCH("OK",O630)))</formula>
    </cfRule>
  </conditionalFormatting>
  <conditionalFormatting sqref="P630:P633 S634">
    <cfRule type="expression" dxfId="80" priority="369">
      <formula>#REF!="By developed / developing economies"</formula>
    </cfRule>
  </conditionalFormatting>
  <conditionalFormatting sqref="P633 S634">
    <cfRule type="expression" dxfId="79" priority="354">
      <formula>#REF!="N/A"</formula>
    </cfRule>
  </conditionalFormatting>
  <conditionalFormatting sqref="P642:P649">
    <cfRule type="expression" dxfId="78" priority="350">
      <formula>#REF!="No differentiation (overall segment)"</formula>
    </cfRule>
  </conditionalFormatting>
  <conditionalFormatting sqref="P648:P649">
    <cfRule type="expression" dxfId="77" priority="371">
      <formula>#REF!="N/A"</formula>
    </cfRule>
  </conditionalFormatting>
  <conditionalFormatting sqref="Q51:R72">
    <cfRule type="expression" dxfId="76" priority="728">
      <formula>#REF!="No differentiation (overall segment)"</formula>
    </cfRule>
    <cfRule type="containsText" dxfId="75" priority="729" operator="containsText" text="OK">
      <formula>NOT(ISERROR(SEARCH("OK",Q51)))</formula>
    </cfRule>
    <cfRule type="containsText" dxfId="74" priority="730" operator="containsText" text="Minimum">
      <formula>NOT(ISERROR(SEARCH(("Minimum"),(Q51))))</formula>
    </cfRule>
  </conditionalFormatting>
  <conditionalFormatting sqref="Q59:R59">
    <cfRule type="expression" dxfId="73" priority="731">
      <formula>#REF!="N/A"</formula>
    </cfRule>
  </conditionalFormatting>
  <conditionalFormatting sqref="Q92:R135">
    <cfRule type="expression" dxfId="72" priority="703">
      <formula>#REF!="No differentiation (overall segment)"</formula>
    </cfRule>
    <cfRule type="containsText" dxfId="71" priority="704" operator="containsText" text="OK">
      <formula>NOT(ISERROR(SEARCH("OK",Q92)))</formula>
    </cfRule>
    <cfRule type="containsText" dxfId="70" priority="705" operator="containsText" text="Minimum">
      <formula>NOT(ISERROR(SEARCH(("Minimum"),(Q92))))</formula>
    </cfRule>
  </conditionalFormatting>
  <conditionalFormatting sqref="Q108:R109">
    <cfRule type="expression" dxfId="69" priority="706">
      <formula>#REF!="N/A"</formula>
    </cfRule>
  </conditionalFormatting>
  <conditionalFormatting sqref="Q202:R224">
    <cfRule type="expression" dxfId="68" priority="603">
      <formula>#REF!="No differentiation (overall segment)"</formula>
    </cfRule>
    <cfRule type="containsText" dxfId="67" priority="604" operator="containsText" text="OK">
      <formula>NOT(ISERROR(SEARCH("OK",Q202)))</formula>
    </cfRule>
    <cfRule type="containsText" dxfId="66" priority="605" operator="containsText" text="Minimum">
      <formula>NOT(ISERROR(SEARCH(("Minimum"),(Q202))))</formula>
    </cfRule>
  </conditionalFormatting>
  <conditionalFormatting sqref="Q210:R210">
    <cfRule type="expression" dxfId="65" priority="606">
      <formula>#REF!="N/A"</formula>
    </cfRule>
  </conditionalFormatting>
  <conditionalFormatting sqref="Q244:R289">
    <cfRule type="expression" dxfId="64" priority="586">
      <formula>#REF!="No differentiation (overall segment)"</formula>
    </cfRule>
    <cfRule type="containsText" dxfId="63" priority="587" operator="containsText" text="OK">
      <formula>NOT(ISERROR(SEARCH("OK",Q244)))</formula>
    </cfRule>
    <cfRule type="containsText" dxfId="62" priority="588" operator="containsText" text="Minimum">
      <formula>NOT(ISERROR(SEARCH(("Minimum"),(Q244))))</formula>
    </cfRule>
  </conditionalFormatting>
  <conditionalFormatting sqref="Q260:R261">
    <cfRule type="expression" dxfId="61" priority="589">
      <formula>#REF!="N/A"</formula>
    </cfRule>
  </conditionalFormatting>
  <conditionalFormatting sqref="Q355:R377">
    <cfRule type="expression" dxfId="60" priority="508">
      <formula>#REF!="No differentiation (overall segment)"</formula>
    </cfRule>
    <cfRule type="containsText" dxfId="59" priority="509" operator="containsText" text="OK">
      <formula>NOT(ISERROR(SEARCH("OK",Q355)))</formula>
    </cfRule>
    <cfRule type="containsText" dxfId="58" priority="510" operator="containsText" text="Minimum">
      <formula>NOT(ISERROR(SEARCH(("Minimum"),(Q355))))</formula>
    </cfRule>
  </conditionalFormatting>
  <conditionalFormatting sqref="Q363:R363">
    <cfRule type="expression" dxfId="57" priority="511">
      <formula>#REF!="N/A"</formula>
    </cfRule>
  </conditionalFormatting>
  <conditionalFormatting sqref="Q397:R442">
    <cfRule type="expression" dxfId="56" priority="491">
      <formula>#REF!="No differentiation (overall segment)"</formula>
    </cfRule>
    <cfRule type="containsText" dxfId="55" priority="492" operator="containsText" text="OK">
      <formula>NOT(ISERROR(SEARCH("OK",Q397)))</formula>
    </cfRule>
    <cfRule type="containsText" dxfId="54" priority="493" operator="containsText" text="Minimum">
      <formula>NOT(ISERROR(SEARCH(("Minimum"),(Q397))))</formula>
    </cfRule>
  </conditionalFormatting>
  <conditionalFormatting sqref="Q413:R414">
    <cfRule type="expression" dxfId="53" priority="494">
      <formula>#REF!="N/A"</formula>
    </cfRule>
  </conditionalFormatting>
  <conditionalFormatting sqref="Q508:R530">
    <cfRule type="expression" dxfId="52" priority="414">
      <formula>#REF!="No differentiation (overall segment)"</formula>
    </cfRule>
    <cfRule type="containsText" dxfId="51" priority="415" operator="containsText" text="OK">
      <formula>NOT(ISERROR(SEARCH("OK",Q508)))</formula>
    </cfRule>
    <cfRule type="containsText" dxfId="50" priority="416" operator="containsText" text="Minimum">
      <formula>NOT(ISERROR(SEARCH(("Minimum"),(Q508))))</formula>
    </cfRule>
  </conditionalFormatting>
  <conditionalFormatting sqref="Q516:R516">
    <cfRule type="expression" dxfId="49" priority="417">
      <formula>#REF!="N/A"</formula>
    </cfRule>
  </conditionalFormatting>
  <conditionalFormatting sqref="Q550:R595">
    <cfRule type="expression" dxfId="48" priority="397">
      <formula>#REF!="No differentiation (overall segment)"</formula>
    </cfRule>
    <cfRule type="containsText" dxfId="47" priority="398" operator="containsText" text="OK">
      <formula>NOT(ISERROR(SEARCH("OK",Q550)))</formula>
    </cfRule>
    <cfRule type="containsText" dxfId="46" priority="399" operator="containsText" text="Minimum">
      <formula>NOT(ISERROR(SEARCH(("Minimum"),(Q550))))</formula>
    </cfRule>
  </conditionalFormatting>
  <conditionalFormatting sqref="Q566:R567">
    <cfRule type="expression" dxfId="45" priority="400">
      <formula>#REF!="N/A"</formula>
    </cfRule>
  </conditionalFormatting>
  <conditionalFormatting sqref="Q661:R683">
    <cfRule type="expression" dxfId="44" priority="319">
      <formula>#REF!="No differentiation (overall segment)"</formula>
    </cfRule>
    <cfRule type="containsText" dxfId="43" priority="320" operator="containsText" text="OK">
      <formula>NOT(ISERROR(SEARCH("OK",Q661)))</formula>
    </cfRule>
    <cfRule type="containsText" dxfId="42" priority="321" operator="containsText" text="Minimum">
      <formula>NOT(ISERROR(SEARCH(("Minimum"),(Q661))))</formula>
    </cfRule>
  </conditionalFormatting>
  <conditionalFormatting sqref="Q669:R669">
    <cfRule type="expression" dxfId="41" priority="322">
      <formula>#REF!="N/A"</formula>
    </cfRule>
  </conditionalFormatting>
  <conditionalFormatting sqref="Q703:R748">
    <cfRule type="expression" dxfId="40" priority="303">
      <formula>#REF!="No differentiation (overall segment)"</formula>
    </cfRule>
    <cfRule type="containsText" dxfId="39" priority="304" operator="containsText" text="OK">
      <formula>NOT(ISERROR(SEARCH("OK",Q703)))</formula>
    </cfRule>
    <cfRule type="containsText" dxfId="38" priority="305" operator="containsText" text="Minimum">
      <formula>NOT(ISERROR(SEARCH(("Minimum"),(Q703))))</formula>
    </cfRule>
  </conditionalFormatting>
  <conditionalFormatting sqref="Q719:R720">
    <cfRule type="expression" dxfId="37" priority="306">
      <formula>#REF!="N/A"</formula>
    </cfRule>
  </conditionalFormatting>
  <conditionalFormatting sqref="V171 P171:P174 S175 S179 V179:W179 P183:P190">
    <cfRule type="containsText" dxfId="36" priority="649" operator="containsText" text="Minimum">
      <formula>NOT(ISERROR(SEARCH(("Minimum"),(P171))))</formula>
    </cfRule>
  </conditionalFormatting>
  <conditionalFormatting sqref="V324 P324:P327 S328 S332 V332:W332 P336:P343">
    <cfRule type="containsText" dxfId="35" priority="554" operator="containsText" text="Minimum">
      <formula>NOT(ISERROR(SEARCH(("Minimum"),(P324))))</formula>
    </cfRule>
  </conditionalFormatting>
  <conditionalFormatting sqref="V477 P477:P480 S481 O485 S485:T485 P489:P496">
    <cfRule type="containsText" dxfId="34" priority="459" operator="containsText" text="Minimum">
      <formula>NOT(ISERROR(SEARCH(("Minimum"),(O477))))</formula>
    </cfRule>
  </conditionalFormatting>
  <conditionalFormatting sqref="V630 P630:P633 S634 O638 S638:T638 P642:P649">
    <cfRule type="containsText" dxfId="33" priority="364" operator="containsText" text="Minimum">
      <formula>NOT(ISERROR(SEARCH(("Minimum"),(O630))))</formula>
    </cfRule>
  </conditionalFormatting>
  <dataValidations count="4">
    <dataValidation type="list" allowBlank="1" showErrorMessage="1" sqref="Q79 S20:S23 U24 S32 Q231 S171:S174 U175 S183 Q384 S324:S327 U328 S336 Q537 S477:S480 U481 S489 Q690 S630:S633 U634 S642 R142 R296 R449 R602 R755" xr:uid="{00000000-0002-0000-0800-000000000000}">
      <formula1>"2050,2049,2048,2047,2046,2045,2044,2043,2042,2041,2040,2039,2038,2037,2036,2035,2034,2033,2032,2031,2030,2029,2028,2027,2026"</formula1>
    </dataValidation>
    <dataValidation type="list" allowBlank="1" showInputMessage="1" showErrorMessage="1" sqref="D9 D160 D313 D466 D619" xr:uid="{00000000-0002-0000-0800-000001000000}">
      <formula1>"No regional differentiation, Regional differentiation"</formula1>
    </dataValidation>
    <dataValidation type="list" allowBlank="1" showInputMessage="1" showErrorMessage="1" sqref="D8 D159 D312 D465 D618" xr:uid="{00000000-0002-0000-0800-000002000000}">
      <formula1>"Climate-Alignment Target Only, Mix of Climate-Alignment and Sector Targets"</formula1>
    </dataValidation>
    <dataValidation type="list" allowBlank="1" showInputMessage="1" showErrorMessage="1" sqref="M20:M23 M32:M39 N51:N72 N92:N135 M171:M174 M183:M190 N202:N224 N244:N289 M324:M327 M336:M343 N355:N377 N397:N442 M477:M480 M489:M496 N508:N530 N550:N595 M630:M633 M642:M649 N661:N683 N703:N748" xr:uid="{00000000-0002-0000-0800-000003000000}">
      <formula1>"2026,2027,2028,2029,2030,2031,2035"</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README</vt:lpstr>
      <vt:lpstr>Quick Guide</vt:lpstr>
      <vt:lpstr>Financial activity types </vt:lpstr>
      <vt:lpstr>LND Segmentation</vt:lpstr>
      <vt:lpstr>AOI Segmentation</vt:lpstr>
      <vt:lpstr>AMI Segmentation</vt:lpstr>
      <vt:lpstr>INS Segmentation</vt:lpstr>
      <vt:lpstr>CMA Segmentation</vt:lpstr>
      <vt:lpstr>Climate-Alignment Target</vt:lpstr>
      <vt:lpstr>Climate-Alignment Summary</vt:lpstr>
      <vt:lpstr>Sector Target-Setting Tool</vt:lpstr>
      <vt:lpstr>Sector Summary</vt:lpstr>
      <vt:lpstr>Calculator</vt:lpstr>
      <vt:lpstr>Lookup</vt:lpstr>
      <vt:lpstr>Pathway Database</vt:lpstr>
      <vt:lpstr>air_transport_wtw_ttw</vt:lpstr>
      <vt:lpstr>base_year_options</vt:lpstr>
      <vt:lpstr>coal_currency_options</vt:lpstr>
      <vt:lpstr>coal_geography_options</vt:lpstr>
      <vt:lpstr>coal_nonOECD_target_years</vt:lpstr>
      <vt:lpstr>coal_OECDorGlobal_target_years</vt:lpstr>
      <vt:lpstr>pathway_database</vt:lpstr>
      <vt:lpstr>pathway_database_metric_type</vt:lpstr>
      <vt:lpstr>pathway_database_pathway</vt:lpstr>
      <vt:lpstr>pathway_database_sector</vt:lpstr>
      <vt:lpstr>pathway_database_subsector</vt:lpstr>
      <vt:lpstr>Phaseout_Metric</vt:lpstr>
      <vt:lpstr>Proposed___Reduction_in_Absolute_Emissions</vt:lpstr>
      <vt:lpstr>target_year_options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Hunter Bell</cp:lastModifiedBy>
  <cp:revision/>
  <dcterms:created xsi:type="dcterms:W3CDTF">2025-05-21T10:48:00Z</dcterms:created>
  <dcterms:modified xsi:type="dcterms:W3CDTF">2025-09-03T18:32:34Z</dcterms:modified>
  <cp:category/>
  <cp:contentStatus/>
</cp:coreProperties>
</file>