
<file path=[Content_Types].xml><?xml version="1.0" encoding="utf-8"?>
<Types xmlns="http://schemas.openxmlformats.org/package/2006/content-types">
  <Default Extension="bin" ContentType="application/vnd.openxmlformats-officedocument.spreadsheetml.printerSettings"/>
  <Default Extension="gif" ContentType="image/gif"/>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drawings/drawing13.xml" ContentType="application/vnd.openxmlformats-officedocument.drawing+xml"/>
  <Override PartName="/xl/tables/table1.xml" ContentType="application/vnd.openxmlformats-officedocument.spreadsheetml.table+xml"/>
  <Override PartName="/xl/drawings/drawing14.xml" ContentType="application/vnd.openxmlformats-officedocument.drawing+xml"/>
  <Override PartName="/xl/tables/table2.xml" ContentType="application/vnd.openxmlformats-officedocument.spreadsheetml.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5.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6.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7.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2.xml" ContentType="application/vnd.openxmlformats-officedocument.themeOverride+xml"/>
  <Override PartName="/xl/drawings/drawing18.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9.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0.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21.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codeName="ThisWorkbook" defaultThemeVersion="166925"/>
  <mc:AlternateContent xmlns:mc="http://schemas.openxmlformats.org/markup-compatibility/2006">
    <mc:Choice Requires="x15">
      <x15ac:absPath xmlns:x15ac="http://schemas.microsoft.com/office/spreadsheetml/2010/11/ac" url="/Users/mikedanielson/Documents/SBTi Resources/Transport/2025 Auto Standard/2nd Public Consultation Documents/"/>
    </mc:Choice>
  </mc:AlternateContent>
  <xr:revisionPtr revIDLastSave="0" documentId="13_ncr:10001_{7F4A6CB3-56E5-E943-9510-8085072C7218}" xr6:coauthVersionLast="47" xr6:coauthVersionMax="47" xr10:uidLastSave="{00000000-0000-0000-0000-000000000000}"/>
  <bookViews>
    <workbookView xWindow="100" yWindow="600" windowWidth="38260" windowHeight="19200" tabRatio="867" activeTab="4" xr2:uid="{00000000-000D-0000-FFFF-FFFF00000000}"/>
  </bookViews>
  <sheets>
    <sheet name="README" sheetId="11" r:id="rId1"/>
    <sheet name="Quick Guide" sheetId="14" state="veryHidden" r:id="rId2"/>
    <sheet name="Automakers" sheetId="1" r:id="rId3"/>
    <sheet name="Autoparts" sheetId="34" r:id="rId4"/>
    <sheet name="Automaker target aggregator" sheetId="31" r:id="rId5"/>
    <sheet name="Autoparts target aggregator" sheetId="37" r:id="rId6"/>
    <sheet name="Calculations" sheetId="29" r:id="rId7"/>
    <sheet name="Database" sheetId="25" r:id="rId8"/>
    <sheet name="VCdata" sheetId="36" state="veryHidden" r:id="rId9"/>
    <sheet name="Lists" sheetId="5" state="veryHidden" r:id="rId10"/>
    <sheet name="Comparison" sheetId="26" state="veryHidden" r:id="rId11"/>
    <sheet name="TVT README" sheetId="24" state="veryHidden" r:id="rId12"/>
    <sheet name="AutomakersOLD" sheetId="35" state="veryHidden" r:id="rId13"/>
  </sheets>
  <definedNames>
    <definedName name="CAAGR_tolerance">200</definedName>
    <definedName name="RoundFactorLong">4</definedName>
    <definedName name="RoundFactorMed">3</definedName>
    <definedName name="RoundFactorShort">3</definedName>
    <definedName name="S1_2_TARGET">#REF!:OFFSET(#REF!,0,(#REF!-#REF!))</definedName>
    <definedName name="sector">Lists!$B$2:$B$5</definedName>
    <definedName name="SmallestNonZeroValue">0.00001</definedName>
    <definedName name="SumTolerance">0.005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37" l="1"/>
  <c r="D20" i="37"/>
  <c r="J96" i="34"/>
  <c r="J94" i="34"/>
  <c r="K94" i="34" s="1"/>
  <c r="J150" i="1"/>
  <c r="K150" i="1" s="1"/>
  <c r="H60" i="29" l="1" a="1"/>
  <c r="H60" i="29" s="1"/>
  <c r="I60" i="29" a="1"/>
  <c r="I60" i="29" s="1"/>
  <c r="J60" i="29" a="1"/>
  <c r="J60" i="29" s="1"/>
  <c r="K60" i="29" a="1"/>
  <c r="K60" i="29" s="1"/>
  <c r="L60" i="29" a="1"/>
  <c r="L60" i="29" s="1"/>
  <c r="M60" i="29" a="1"/>
  <c r="M60" i="29" s="1"/>
  <c r="N60" i="29" a="1"/>
  <c r="N60" i="29" s="1"/>
  <c r="O60" i="29" a="1"/>
  <c r="O60" i="29" s="1"/>
  <c r="P60" i="29" a="1"/>
  <c r="P60" i="29" s="1"/>
  <c r="Q60" i="29" a="1"/>
  <c r="Q60" i="29" s="1"/>
  <c r="R60" i="29" a="1"/>
  <c r="R60" i="29" s="1"/>
  <c r="S60" i="29" a="1"/>
  <c r="S60" i="29" s="1"/>
  <c r="T60" i="29" a="1"/>
  <c r="T60" i="29" s="1"/>
  <c r="U60" i="29" a="1"/>
  <c r="U60" i="29" s="1"/>
  <c r="V60" i="29" a="1"/>
  <c r="V60" i="29" s="1"/>
  <c r="W60" i="29" a="1"/>
  <c r="W60" i="29" s="1"/>
  <c r="X60" i="29" a="1"/>
  <c r="X60" i="29" s="1"/>
  <c r="Y60" i="29" a="1"/>
  <c r="Y60" i="29" s="1"/>
  <c r="Z60" i="29" a="1"/>
  <c r="Z60" i="29" s="1"/>
  <c r="AA60" i="29" a="1"/>
  <c r="AA60" i="29" s="1"/>
  <c r="AB60" i="29" a="1"/>
  <c r="AB60" i="29" s="1"/>
  <c r="AC60" i="29" a="1"/>
  <c r="AC60" i="29" s="1"/>
  <c r="AD60" i="29" a="1"/>
  <c r="AD60" i="29" s="1"/>
  <c r="AE60" i="29" a="1"/>
  <c r="AE60" i="29" s="1"/>
  <c r="AF60" i="29" a="1"/>
  <c r="AF60" i="29" s="1"/>
  <c r="AG60" i="29" a="1"/>
  <c r="AG60" i="29" s="1"/>
  <c r="AH60" i="29" a="1"/>
  <c r="AH60" i="29" s="1"/>
  <c r="AI60" i="29" a="1"/>
  <c r="AI60" i="29" s="1"/>
  <c r="G60" i="29" a="1"/>
  <c r="G60" i="29" s="1"/>
  <c r="H53" i="29" a="1"/>
  <c r="H53" i="29" s="1"/>
  <c r="I53" i="29" a="1"/>
  <c r="I53" i="29" s="1"/>
  <c r="J53" i="29" a="1"/>
  <c r="J53" i="29" s="1"/>
  <c r="K53" i="29" a="1"/>
  <c r="K53" i="29" s="1"/>
  <c r="L53" i="29" a="1"/>
  <c r="L53" i="29" s="1"/>
  <c r="M53" i="29" a="1"/>
  <c r="M53" i="29" s="1"/>
  <c r="N53" i="29" a="1"/>
  <c r="N53" i="29" s="1"/>
  <c r="O53" i="29" a="1"/>
  <c r="O53" i="29" s="1"/>
  <c r="P53" i="29" a="1"/>
  <c r="P53" i="29" s="1"/>
  <c r="Q53" i="29" a="1"/>
  <c r="Q53" i="29" s="1"/>
  <c r="R53" i="29" a="1"/>
  <c r="R53" i="29" s="1"/>
  <c r="S53" i="29" a="1"/>
  <c r="S53" i="29" s="1"/>
  <c r="T53" i="29" a="1"/>
  <c r="T53" i="29" s="1"/>
  <c r="U53" i="29" a="1"/>
  <c r="U53" i="29" s="1"/>
  <c r="V53" i="29" a="1"/>
  <c r="V53" i="29" s="1"/>
  <c r="W53" i="29" a="1"/>
  <c r="W53" i="29" s="1"/>
  <c r="X53" i="29" a="1"/>
  <c r="X53" i="29" s="1"/>
  <c r="Y53" i="29" a="1"/>
  <c r="Y53" i="29" s="1"/>
  <c r="Z53" i="29" a="1"/>
  <c r="Z53" i="29" s="1"/>
  <c r="AA53" i="29" a="1"/>
  <c r="AA53" i="29" s="1"/>
  <c r="AB53" i="29" a="1"/>
  <c r="AB53" i="29" s="1"/>
  <c r="AC53" i="29" a="1"/>
  <c r="AC53" i="29" s="1"/>
  <c r="AD53" i="29" a="1"/>
  <c r="AD53" i="29" s="1"/>
  <c r="AE53" i="29" a="1"/>
  <c r="AE53" i="29" s="1"/>
  <c r="AF53" i="29" a="1"/>
  <c r="AF53" i="29" s="1"/>
  <c r="AG53" i="29" a="1"/>
  <c r="AG53" i="29" s="1"/>
  <c r="AH53" i="29" a="1"/>
  <c r="AH53" i="29" s="1"/>
  <c r="AI53" i="29" a="1"/>
  <c r="AI53" i="29" s="1"/>
  <c r="G53" i="29" a="1"/>
  <c r="G53" i="29" s="1"/>
  <c r="H41" i="29" a="1"/>
  <c r="H41" i="29" s="1"/>
  <c r="I41" i="29" a="1"/>
  <c r="I41" i="29" s="1"/>
  <c r="J41" i="29" a="1"/>
  <c r="J41" i="29" s="1"/>
  <c r="K41" i="29" a="1"/>
  <c r="K41" i="29" s="1"/>
  <c r="L41" i="29" a="1"/>
  <c r="L41" i="29" s="1"/>
  <c r="M41" i="29" a="1"/>
  <c r="M41" i="29" s="1"/>
  <c r="N41" i="29" a="1"/>
  <c r="N41" i="29" s="1"/>
  <c r="O41" i="29" a="1"/>
  <c r="O41" i="29" s="1"/>
  <c r="P41" i="29" a="1"/>
  <c r="P41" i="29" s="1"/>
  <c r="Q41" i="29" a="1"/>
  <c r="Q41" i="29" s="1"/>
  <c r="R41" i="29" a="1"/>
  <c r="R41" i="29" s="1"/>
  <c r="S41" i="29" a="1"/>
  <c r="S41" i="29" s="1"/>
  <c r="T41" i="29" a="1"/>
  <c r="T41" i="29" s="1"/>
  <c r="U41" i="29" a="1"/>
  <c r="U41" i="29" s="1"/>
  <c r="V41" i="29" a="1"/>
  <c r="V41" i="29" s="1"/>
  <c r="W41" i="29" a="1"/>
  <c r="W41" i="29" s="1"/>
  <c r="X41" i="29" a="1"/>
  <c r="X41" i="29" s="1"/>
  <c r="Y41" i="29" a="1"/>
  <c r="Y41" i="29" s="1"/>
  <c r="Z41" i="29" a="1"/>
  <c r="Z41" i="29" s="1"/>
  <c r="AA41" i="29" a="1"/>
  <c r="AA41" i="29" s="1"/>
  <c r="AB41" i="29" a="1"/>
  <c r="AB41" i="29" s="1"/>
  <c r="AC41" i="29" a="1"/>
  <c r="AC41" i="29" s="1"/>
  <c r="AD41" i="29" a="1"/>
  <c r="AD41" i="29" s="1"/>
  <c r="AE41" i="29" a="1"/>
  <c r="AE41" i="29" s="1"/>
  <c r="AF41" i="29" a="1"/>
  <c r="AF41" i="29" s="1"/>
  <c r="AG41" i="29" a="1"/>
  <c r="AG41" i="29" s="1"/>
  <c r="AH41" i="29" a="1"/>
  <c r="AH41" i="29" s="1"/>
  <c r="AI41" i="29" a="1"/>
  <c r="AI41" i="29" s="1"/>
  <c r="G41" i="29" a="1"/>
  <c r="G41" i="29" s="1"/>
  <c r="M34" i="29" a="1"/>
  <c r="M34" i="29" s="1"/>
  <c r="N34" i="29" a="1"/>
  <c r="N34" i="29" s="1"/>
  <c r="O34" i="29" a="1"/>
  <c r="O34" i="29" s="1"/>
  <c r="P34" i="29" a="1"/>
  <c r="P34" i="29" s="1"/>
  <c r="Q34" i="29" a="1"/>
  <c r="Q34" i="29" s="1"/>
  <c r="R34" i="29" a="1"/>
  <c r="R34" i="29" s="1"/>
  <c r="S34" i="29" a="1"/>
  <c r="S34" i="29" s="1"/>
  <c r="T34" i="29" a="1"/>
  <c r="T34" i="29" s="1"/>
  <c r="U34" i="29" a="1"/>
  <c r="U34" i="29" s="1"/>
  <c r="V34" i="29" a="1"/>
  <c r="V34" i="29" s="1"/>
  <c r="W34" i="29" a="1"/>
  <c r="W34" i="29" s="1"/>
  <c r="X34" i="29" a="1"/>
  <c r="X34" i="29" s="1"/>
  <c r="Y34" i="29" a="1"/>
  <c r="Y34" i="29" s="1"/>
  <c r="Z34" i="29" a="1"/>
  <c r="Z34" i="29" s="1"/>
  <c r="AA34" i="29" a="1"/>
  <c r="AA34" i="29" s="1"/>
  <c r="AB34" i="29" a="1"/>
  <c r="AB34" i="29" s="1"/>
  <c r="AC34" i="29" a="1"/>
  <c r="AC34" i="29" s="1"/>
  <c r="AD34" i="29" a="1"/>
  <c r="AD34" i="29" s="1"/>
  <c r="AE34" i="29" a="1"/>
  <c r="AE34" i="29" s="1"/>
  <c r="AF34" i="29" a="1"/>
  <c r="AF34" i="29" s="1"/>
  <c r="AG34" i="29" a="1"/>
  <c r="AG34" i="29" s="1"/>
  <c r="AH34" i="29" a="1"/>
  <c r="AH34" i="29" s="1"/>
  <c r="AI34" i="29" a="1"/>
  <c r="AI34" i="29" s="1"/>
  <c r="I34" i="29" a="1"/>
  <c r="I34" i="29" s="1"/>
  <c r="J34" i="29" a="1"/>
  <c r="J34" i="29" s="1"/>
  <c r="K34" i="29" a="1"/>
  <c r="K34" i="29" s="1"/>
  <c r="L34" i="29" a="1"/>
  <c r="L34" i="29" s="1"/>
  <c r="H34" i="29" a="1"/>
  <c r="H34" i="29" s="1"/>
  <c r="G34" i="29" a="1"/>
  <c r="G34" i="29" s="1"/>
  <c r="F45" i="37" l="1"/>
  <c r="G44" i="37"/>
  <c r="F44" i="37"/>
  <c r="G45" i="37"/>
  <c r="F40" i="37"/>
  <c r="F39" i="37"/>
  <c r="G37" i="37"/>
  <c r="H37" i="37" s="1"/>
  <c r="U2" i="36"/>
  <c r="U3" i="36"/>
  <c r="U4" i="36"/>
  <c r="U5" i="36"/>
  <c r="U6" i="36"/>
  <c r="U7" i="36"/>
  <c r="U8" i="36"/>
  <c r="U9" i="36"/>
  <c r="U10" i="36"/>
  <c r="U11" i="36"/>
  <c r="U12" i="36"/>
  <c r="U13" i="36"/>
  <c r="U14" i="36"/>
  <c r="U15" i="36"/>
  <c r="U16" i="36"/>
  <c r="U17" i="36"/>
  <c r="U18" i="36"/>
  <c r="U19" i="36"/>
  <c r="U20" i="36"/>
  <c r="U21" i="36"/>
  <c r="U22" i="36"/>
  <c r="U23" i="36"/>
  <c r="U24" i="36"/>
  <c r="U25" i="36"/>
  <c r="B120" i="29"/>
  <c r="B119" i="29"/>
  <c r="J147" i="1"/>
  <c r="H5" i="11"/>
  <c r="I37" i="37" l="1"/>
  <c r="G39" i="37" s="1"/>
  <c r="H100" i="29" l="1"/>
  <c r="I100" i="29"/>
  <c r="J100" i="29"/>
  <c r="K100" i="29"/>
  <c r="L100" i="29"/>
  <c r="M100" i="29"/>
  <c r="N100" i="29"/>
  <c r="O100" i="29"/>
  <c r="P100" i="29"/>
  <c r="Q100" i="29"/>
  <c r="R100" i="29"/>
  <c r="S100" i="29"/>
  <c r="T100" i="29"/>
  <c r="U100" i="29"/>
  <c r="V100" i="29"/>
  <c r="W100" i="29"/>
  <c r="X100" i="29"/>
  <c r="Y100" i="29"/>
  <c r="Z100" i="29"/>
  <c r="AA100" i="29"/>
  <c r="AB100" i="29"/>
  <c r="AC100" i="29"/>
  <c r="AD100" i="29"/>
  <c r="AE100" i="29"/>
  <c r="AF100" i="29"/>
  <c r="AG100" i="29"/>
  <c r="AH100" i="29"/>
  <c r="AI100" i="29"/>
  <c r="G100" i="29"/>
  <c r="H69" i="29"/>
  <c r="I69" i="29"/>
  <c r="J69" i="29"/>
  <c r="K69" i="29"/>
  <c r="L69" i="29"/>
  <c r="M69" i="29"/>
  <c r="N69" i="29"/>
  <c r="O69" i="29"/>
  <c r="P69" i="29"/>
  <c r="Q69" i="29"/>
  <c r="R69" i="29"/>
  <c r="S69" i="29"/>
  <c r="T69" i="29"/>
  <c r="U69" i="29"/>
  <c r="V69" i="29"/>
  <c r="W69" i="29"/>
  <c r="X69" i="29"/>
  <c r="Y69" i="29"/>
  <c r="Z69" i="29"/>
  <c r="AA69" i="29"/>
  <c r="AB69" i="29"/>
  <c r="AC69" i="29"/>
  <c r="AD69" i="29"/>
  <c r="AE69" i="29"/>
  <c r="AF69" i="29"/>
  <c r="AG69" i="29"/>
  <c r="AH69" i="29"/>
  <c r="AI69" i="29"/>
  <c r="G69" i="29"/>
  <c r="D123" i="1" l="1"/>
  <c r="G74" i="31"/>
  <c r="F50" i="31"/>
  <c r="E50" i="31"/>
  <c r="D50" i="31"/>
  <c r="D57" i="31"/>
  <c r="B134" i="29"/>
  <c r="B125" i="29"/>
  <c r="B124" i="29"/>
  <c r="B123" i="29"/>
  <c r="B118" i="29"/>
  <c r="B115" i="29"/>
  <c r="B114" i="29"/>
  <c r="B113" i="29"/>
  <c r="B110" i="29"/>
  <c r="B109" i="29"/>
  <c r="B108" i="29"/>
  <c r="B57" i="29"/>
  <c r="B56" i="29"/>
  <c r="B55" i="29"/>
  <c r="B64" i="29"/>
  <c r="B63" i="29"/>
  <c r="B62" i="29"/>
  <c r="B45" i="29"/>
  <c r="B44" i="29"/>
  <c r="B43" i="29"/>
  <c r="B38" i="29"/>
  <c r="B37" i="29"/>
  <c r="B36" i="29"/>
  <c r="AV77" i="25" l="1"/>
  <c r="AV102" i="25" s="1"/>
  <c r="AV78" i="25"/>
  <c r="AV103" i="25" s="1"/>
  <c r="AV79" i="25"/>
  <c r="AV104" i="25" s="1"/>
  <c r="AV80" i="25"/>
  <c r="AV105" i="25" s="1"/>
  <c r="AV85" i="25"/>
  <c r="AV86" i="25"/>
  <c r="AV93" i="25"/>
  <c r="AV94" i="25"/>
  <c r="AX29" i="36"/>
  <c r="AV74" i="25" s="1"/>
  <c r="AV99" i="25" s="1"/>
  <c r="AX30" i="36"/>
  <c r="AV75" i="25" s="1"/>
  <c r="AV100" i="25" s="1"/>
  <c r="AX31" i="36"/>
  <c r="AV76" i="25" s="1"/>
  <c r="AV101" i="25" s="1"/>
  <c r="AX32" i="36"/>
  <c r="AX33" i="36"/>
  <c r="AX34" i="36"/>
  <c r="AX35" i="36"/>
  <c r="AX36" i="36"/>
  <c r="AV81" i="25" s="1"/>
  <c r="AV106" i="25" s="1"/>
  <c r="AX37" i="36"/>
  <c r="AV82" i="25" s="1"/>
  <c r="AX38" i="36"/>
  <c r="AV83" i="25" s="1"/>
  <c r="AX39" i="36"/>
  <c r="AV84" i="25" s="1"/>
  <c r="AX40" i="36"/>
  <c r="AX41" i="36"/>
  <c r="AX42" i="36"/>
  <c r="AV87" i="25" s="1"/>
  <c r="AX43" i="36"/>
  <c r="AV88" i="25" s="1"/>
  <c r="AX44" i="36"/>
  <c r="AV89" i="25" s="1"/>
  <c r="AX45" i="36"/>
  <c r="AV90" i="25" s="1"/>
  <c r="AX46" i="36"/>
  <c r="AV91" i="25" s="1"/>
  <c r="AX47" i="36"/>
  <c r="AV92" i="25" s="1"/>
  <c r="AX48" i="36"/>
  <c r="AX49" i="36"/>
  <c r="AX50" i="36"/>
  <c r="AV95" i="25" s="1"/>
  <c r="AX51" i="36"/>
  <c r="AV96" i="25" s="1"/>
  <c r="AX52" i="36"/>
  <c r="AV97" i="25" s="1"/>
  <c r="D124" i="1" l="1"/>
  <c r="V30" i="25"/>
  <c r="V9" i="25"/>
  <c r="D112" i="1" l="1"/>
  <c r="D59" i="34"/>
  <c r="D21" i="34"/>
  <c r="D97" i="34"/>
  <c r="D95" i="34"/>
  <c r="D151" i="1"/>
  <c r="D148" i="1"/>
  <c r="B131" i="29"/>
  <c r="B130" i="29"/>
  <c r="B136" i="29"/>
  <c r="B135" i="29"/>
  <c r="B69" i="34" s="1"/>
  <c r="F97" i="34" s="1"/>
  <c r="B129" i="29"/>
  <c r="B137" i="29"/>
  <c r="B132" i="29"/>
  <c r="B121" i="29"/>
  <c r="B126" i="29"/>
  <c r="F77" i="31"/>
  <c r="F76" i="31"/>
  <c r="F40" i="31"/>
  <c r="F39" i="31"/>
  <c r="B66" i="34"/>
  <c r="B28" i="34"/>
  <c r="B120" i="1"/>
  <c r="B79" i="1"/>
  <c r="X95" i="34"/>
  <c r="Y95" i="34"/>
  <c r="Z95" i="34"/>
  <c r="X97" i="34"/>
  <c r="Y97" i="34"/>
  <c r="Z97" i="34"/>
  <c r="H95" i="34"/>
  <c r="G95" i="34"/>
  <c r="D69" i="34"/>
  <c r="D81" i="29"/>
  <c r="H79" i="29" a="1"/>
  <c r="H79" i="29" s="1"/>
  <c r="H136" i="29" s="1"/>
  <c r="I79" i="29" a="1"/>
  <c r="I79" i="29" s="1"/>
  <c r="I136" i="29" s="1"/>
  <c r="J79" i="29" a="1"/>
  <c r="J79" i="29" s="1"/>
  <c r="J136" i="29" s="1"/>
  <c r="K79" i="29" a="1"/>
  <c r="K79" i="29" s="1"/>
  <c r="K136" i="29" s="1"/>
  <c r="L79" i="29" a="1"/>
  <c r="L79" i="29" s="1"/>
  <c r="L136" i="29" s="1"/>
  <c r="M79" i="29" a="1"/>
  <c r="M79" i="29" s="1"/>
  <c r="M136" i="29" s="1"/>
  <c r="N79" i="29" a="1"/>
  <c r="N79" i="29" s="1"/>
  <c r="N136" i="29" s="1"/>
  <c r="O79" i="29" a="1"/>
  <c r="O79" i="29" s="1"/>
  <c r="O136" i="29" s="1"/>
  <c r="P79" i="29" a="1"/>
  <c r="P79" i="29" s="1"/>
  <c r="P136" i="29" s="1"/>
  <c r="Q79" i="29" a="1"/>
  <c r="Q79" i="29" s="1"/>
  <c r="Q136" i="29" s="1"/>
  <c r="R79" i="29" a="1"/>
  <c r="R79" i="29" s="1"/>
  <c r="R136" i="29" s="1"/>
  <c r="S79" i="29" a="1"/>
  <c r="S79" i="29" s="1"/>
  <c r="S136" i="29" s="1"/>
  <c r="T79" i="29" a="1"/>
  <c r="T79" i="29" s="1"/>
  <c r="T136" i="29" s="1"/>
  <c r="U79" i="29" a="1"/>
  <c r="U79" i="29" s="1"/>
  <c r="U136" i="29" s="1"/>
  <c r="V79" i="29" a="1"/>
  <c r="V79" i="29" s="1"/>
  <c r="V136" i="29" s="1"/>
  <c r="W79" i="29" a="1"/>
  <c r="W79" i="29" s="1"/>
  <c r="W136" i="29" s="1"/>
  <c r="X79" i="29" a="1"/>
  <c r="X79" i="29" s="1"/>
  <c r="X136" i="29" s="1"/>
  <c r="Y79" i="29" a="1"/>
  <c r="Y79" i="29" s="1"/>
  <c r="Y136" i="29" s="1"/>
  <c r="Z79" i="29" a="1"/>
  <c r="Z79" i="29" s="1"/>
  <c r="Z136" i="29" s="1"/>
  <c r="AA79" i="29" a="1"/>
  <c r="AA79" i="29" s="1"/>
  <c r="AA136" i="29" s="1"/>
  <c r="AB79" i="29" a="1"/>
  <c r="AB79" i="29" s="1"/>
  <c r="AB136" i="29" s="1"/>
  <c r="AC79" i="29" a="1"/>
  <c r="AC79" i="29" s="1"/>
  <c r="AC136" i="29" s="1"/>
  <c r="AD79" i="29" a="1"/>
  <c r="AD79" i="29" s="1"/>
  <c r="AD136" i="29" s="1"/>
  <c r="AE79" i="29" a="1"/>
  <c r="AE79" i="29" s="1"/>
  <c r="AE136" i="29" s="1"/>
  <c r="AF79" i="29" a="1"/>
  <c r="AF79" i="29" s="1"/>
  <c r="AF136" i="29" s="1"/>
  <c r="AG79" i="29" a="1"/>
  <c r="AG79" i="29" s="1"/>
  <c r="AG136" i="29" s="1"/>
  <c r="AH79" i="29" a="1"/>
  <c r="AH79" i="29" s="1"/>
  <c r="AH136" i="29" s="1"/>
  <c r="AI79" i="29" a="1"/>
  <c r="AI79" i="29" s="1"/>
  <c r="AI136" i="29" s="1"/>
  <c r="G79" i="29" a="1"/>
  <c r="G79" i="29" s="1"/>
  <c r="D80" i="29" s="1"/>
  <c r="F68" i="34"/>
  <c r="D68" i="34"/>
  <c r="E61" i="34"/>
  <c r="C61" i="34"/>
  <c r="F30" i="34"/>
  <c r="D30" i="34"/>
  <c r="D31" i="34"/>
  <c r="F20" i="37" s="1"/>
  <c r="H72" i="29" a="1"/>
  <c r="H72" i="29" s="1"/>
  <c r="I72" i="29" a="1"/>
  <c r="I72" i="29" s="1"/>
  <c r="J72" i="29" a="1"/>
  <c r="J72" i="29" s="1"/>
  <c r="K72" i="29" a="1"/>
  <c r="K72" i="29" s="1"/>
  <c r="L72" i="29" a="1"/>
  <c r="L72" i="29" s="1"/>
  <c r="M72" i="29" a="1"/>
  <c r="M72" i="29" s="1"/>
  <c r="N72" i="29" a="1"/>
  <c r="N72" i="29" s="1"/>
  <c r="O72" i="29" a="1"/>
  <c r="O72" i="29" s="1"/>
  <c r="P72" i="29" a="1"/>
  <c r="P72" i="29" s="1"/>
  <c r="Q72" i="29" a="1"/>
  <c r="Q72" i="29" s="1"/>
  <c r="R72" i="29" a="1"/>
  <c r="R72" i="29" s="1"/>
  <c r="S72" i="29" a="1"/>
  <c r="S72" i="29" s="1"/>
  <c r="T72" i="29" a="1"/>
  <c r="T72" i="29" s="1"/>
  <c r="U72" i="29" a="1"/>
  <c r="U72" i="29" s="1"/>
  <c r="V72" i="29" a="1"/>
  <c r="V72" i="29" s="1"/>
  <c r="W72" i="29" a="1"/>
  <c r="W72" i="29" s="1"/>
  <c r="X72" i="29" a="1"/>
  <c r="X72" i="29" s="1"/>
  <c r="Y72" i="29" a="1"/>
  <c r="Y72" i="29" s="1"/>
  <c r="Z72" i="29" a="1"/>
  <c r="Z72" i="29" s="1"/>
  <c r="AA72" i="29" a="1"/>
  <c r="AA72" i="29" s="1"/>
  <c r="AB72" i="29" a="1"/>
  <c r="AB72" i="29" s="1"/>
  <c r="AC72" i="29" a="1"/>
  <c r="AC72" i="29" s="1"/>
  <c r="AD72" i="29" a="1"/>
  <c r="AD72" i="29" s="1"/>
  <c r="AE72" i="29" a="1"/>
  <c r="AE72" i="29" s="1"/>
  <c r="AF72" i="29" a="1"/>
  <c r="AF72" i="29" s="1"/>
  <c r="AG72" i="29" a="1"/>
  <c r="AG72" i="29" s="1"/>
  <c r="AH72" i="29" a="1"/>
  <c r="AH72" i="29" s="1"/>
  <c r="AI72" i="29" a="1"/>
  <c r="AI72" i="29" s="1"/>
  <c r="G72" i="29" a="1"/>
  <c r="G72" i="29" s="1"/>
  <c r="E23" i="34"/>
  <c r="C23" i="34"/>
  <c r="BI52" i="36"/>
  <c r="AW52" i="36"/>
  <c r="AU97" i="25" s="1"/>
  <c r="AV52" i="36"/>
  <c r="AT97" i="25" s="1"/>
  <c r="AU52" i="36"/>
  <c r="AS97" i="25" s="1"/>
  <c r="AT52" i="36"/>
  <c r="AR97" i="25" s="1"/>
  <c r="AS52" i="36"/>
  <c r="AQ97" i="25" s="1"/>
  <c r="AR52" i="36"/>
  <c r="AP97" i="25" s="1"/>
  <c r="AQ52" i="36"/>
  <c r="AO97" i="25" s="1"/>
  <c r="AP52" i="36"/>
  <c r="AN97" i="25" s="1"/>
  <c r="AO52" i="36"/>
  <c r="AM97" i="25" s="1"/>
  <c r="AN52" i="36"/>
  <c r="AL97" i="25" s="1"/>
  <c r="AM52" i="36"/>
  <c r="AK97" i="25" s="1"/>
  <c r="AL52" i="36"/>
  <c r="AJ97" i="25" s="1"/>
  <c r="AK52" i="36"/>
  <c r="AI97" i="25" s="1"/>
  <c r="AJ52" i="36"/>
  <c r="AH97" i="25" s="1"/>
  <c r="AI52" i="36"/>
  <c r="AG97" i="25" s="1"/>
  <c r="AH52" i="36"/>
  <c r="AF97" i="25" s="1"/>
  <c r="AG52" i="36"/>
  <c r="AE97" i="25" s="1"/>
  <c r="AF52" i="36"/>
  <c r="AD97" i="25" s="1"/>
  <c r="AE52" i="36"/>
  <c r="AC97" i="25" s="1"/>
  <c r="AD52" i="36"/>
  <c r="AB97" i="25" s="1"/>
  <c r="AC52" i="36"/>
  <c r="AA97" i="25" s="1"/>
  <c r="AB52" i="36"/>
  <c r="Z97" i="25" s="1"/>
  <c r="AA52" i="36"/>
  <c r="Y97" i="25" s="1"/>
  <c r="Z52" i="36"/>
  <c r="Y52" i="36" s="1"/>
  <c r="X52" i="36" s="1"/>
  <c r="W52" i="36" s="1"/>
  <c r="V52" i="36" s="1"/>
  <c r="T97" i="25" s="1"/>
  <c r="BI51" i="36"/>
  <c r="AW51" i="36"/>
  <c r="AU96" i="25" s="1"/>
  <c r="AV51" i="36"/>
  <c r="AT96" i="25" s="1"/>
  <c r="AU51" i="36"/>
  <c r="AS96" i="25" s="1"/>
  <c r="AT51" i="36"/>
  <c r="AR96" i="25" s="1"/>
  <c r="AS51" i="36"/>
  <c r="AQ96" i="25" s="1"/>
  <c r="AR51" i="36"/>
  <c r="AP96" i="25" s="1"/>
  <c r="AQ51" i="36"/>
  <c r="AO96" i="25" s="1"/>
  <c r="AP51" i="36"/>
  <c r="AN96" i="25" s="1"/>
  <c r="AO51" i="36"/>
  <c r="AM96" i="25" s="1"/>
  <c r="AN51" i="36"/>
  <c r="AL96" i="25" s="1"/>
  <c r="AM51" i="36"/>
  <c r="AK96" i="25" s="1"/>
  <c r="AL51" i="36"/>
  <c r="AJ96" i="25" s="1"/>
  <c r="AK51" i="36"/>
  <c r="AI96" i="25" s="1"/>
  <c r="AJ51" i="36"/>
  <c r="AH96" i="25" s="1"/>
  <c r="AI51" i="36"/>
  <c r="AG96" i="25" s="1"/>
  <c r="AH51" i="36"/>
  <c r="AF96" i="25" s="1"/>
  <c r="AG51" i="36"/>
  <c r="AE96" i="25" s="1"/>
  <c r="AF51" i="36"/>
  <c r="AD96" i="25" s="1"/>
  <c r="AE51" i="36"/>
  <c r="AC96" i="25" s="1"/>
  <c r="AD51" i="36"/>
  <c r="AB96" i="25" s="1"/>
  <c r="AC51" i="36"/>
  <c r="AA96" i="25" s="1"/>
  <c r="AB51" i="36"/>
  <c r="Z96" i="25" s="1"/>
  <c r="AA51" i="36"/>
  <c r="Y96" i="25" s="1"/>
  <c r="Z51" i="36"/>
  <c r="X96" i="25" s="1"/>
  <c r="BI50" i="36"/>
  <c r="AW50" i="36"/>
  <c r="AU95" i="25" s="1"/>
  <c r="AV50" i="36"/>
  <c r="AT95" i="25" s="1"/>
  <c r="AU50" i="36"/>
  <c r="AS95" i="25" s="1"/>
  <c r="AT50" i="36"/>
  <c r="AR95" i="25" s="1"/>
  <c r="AS50" i="36"/>
  <c r="AQ95" i="25" s="1"/>
  <c r="AR50" i="36"/>
  <c r="AP95" i="25" s="1"/>
  <c r="AQ50" i="36"/>
  <c r="AO95" i="25" s="1"/>
  <c r="AP50" i="36"/>
  <c r="AN95" i="25" s="1"/>
  <c r="AO50" i="36"/>
  <c r="AM95" i="25" s="1"/>
  <c r="AN50" i="36"/>
  <c r="AL95" i="25" s="1"/>
  <c r="AM50" i="36"/>
  <c r="AK95" i="25" s="1"/>
  <c r="AL50" i="36"/>
  <c r="AJ95" i="25" s="1"/>
  <c r="AK50" i="36"/>
  <c r="AI95" i="25" s="1"/>
  <c r="AJ50" i="36"/>
  <c r="AH95" i="25" s="1"/>
  <c r="AI50" i="36"/>
  <c r="AG95" i="25" s="1"/>
  <c r="AH50" i="36"/>
  <c r="AF95" i="25" s="1"/>
  <c r="AG50" i="36"/>
  <c r="AE95" i="25" s="1"/>
  <c r="AF50" i="36"/>
  <c r="AD95" i="25" s="1"/>
  <c r="AE50" i="36"/>
  <c r="AC95" i="25" s="1"/>
  <c r="AD50" i="36"/>
  <c r="AB95" i="25" s="1"/>
  <c r="AC50" i="36"/>
  <c r="AA95" i="25" s="1"/>
  <c r="AB50" i="36"/>
  <c r="Z95" i="25" s="1"/>
  <c r="AA50" i="36"/>
  <c r="Y95" i="25" s="1"/>
  <c r="Z50" i="36"/>
  <c r="X95" i="25" s="1"/>
  <c r="BI49" i="36"/>
  <c r="AW49" i="36"/>
  <c r="AU94" i="25" s="1"/>
  <c r="AV49" i="36"/>
  <c r="AT94" i="25" s="1"/>
  <c r="AU49" i="36"/>
  <c r="AS94" i="25" s="1"/>
  <c r="AT49" i="36"/>
  <c r="AR94" i="25" s="1"/>
  <c r="AS49" i="36"/>
  <c r="AQ94" i="25" s="1"/>
  <c r="AR49" i="36"/>
  <c r="AP94" i="25" s="1"/>
  <c r="AQ49" i="36"/>
  <c r="AO94" i="25" s="1"/>
  <c r="AP49" i="36"/>
  <c r="AN94" i="25" s="1"/>
  <c r="AO49" i="36"/>
  <c r="AM94" i="25" s="1"/>
  <c r="AN49" i="36"/>
  <c r="AL94" i="25" s="1"/>
  <c r="AM49" i="36"/>
  <c r="AK94" i="25" s="1"/>
  <c r="AL49" i="36"/>
  <c r="AJ94" i="25" s="1"/>
  <c r="AK49" i="36"/>
  <c r="AI94" i="25" s="1"/>
  <c r="AJ49" i="36"/>
  <c r="AH94" i="25" s="1"/>
  <c r="AI49" i="36"/>
  <c r="AG94" i="25" s="1"/>
  <c r="AH49" i="36"/>
  <c r="AF94" i="25" s="1"/>
  <c r="AG49" i="36"/>
  <c r="AE94" i="25" s="1"/>
  <c r="AF49" i="36"/>
  <c r="AD94" i="25" s="1"/>
  <c r="AE49" i="36"/>
  <c r="AC94" i="25" s="1"/>
  <c r="AD49" i="36"/>
  <c r="AB94" i="25" s="1"/>
  <c r="AC49" i="36"/>
  <c r="AA94" i="25" s="1"/>
  <c r="AB49" i="36"/>
  <c r="Z94" i="25" s="1"/>
  <c r="AA49" i="36"/>
  <c r="Y94" i="25" s="1"/>
  <c r="Z49" i="36"/>
  <c r="Y49" i="36" s="1"/>
  <c r="X49" i="36" s="1"/>
  <c r="W49" i="36" s="1"/>
  <c r="V49" i="36" s="1"/>
  <c r="T94" i="25" s="1"/>
  <c r="BI48" i="36"/>
  <c r="AW48" i="36"/>
  <c r="AU93" i="25" s="1"/>
  <c r="AV48" i="36"/>
  <c r="AT93" i="25" s="1"/>
  <c r="AU48" i="36"/>
  <c r="AS93" i="25" s="1"/>
  <c r="AT48" i="36"/>
  <c r="AR93" i="25" s="1"/>
  <c r="AS48" i="36"/>
  <c r="AQ93" i="25" s="1"/>
  <c r="AR48" i="36"/>
  <c r="AP93" i="25" s="1"/>
  <c r="AQ48" i="36"/>
  <c r="AO93" i="25" s="1"/>
  <c r="AP48" i="36"/>
  <c r="AN93" i="25" s="1"/>
  <c r="AO48" i="36"/>
  <c r="AM93" i="25" s="1"/>
  <c r="AN48" i="36"/>
  <c r="AL93" i="25" s="1"/>
  <c r="AM48" i="36"/>
  <c r="AK93" i="25" s="1"/>
  <c r="AL48" i="36"/>
  <c r="AJ93" i="25" s="1"/>
  <c r="AK48" i="36"/>
  <c r="AI93" i="25" s="1"/>
  <c r="AJ48" i="36"/>
  <c r="AH93" i="25" s="1"/>
  <c r="AI48" i="36"/>
  <c r="AG93" i="25" s="1"/>
  <c r="AH48" i="36"/>
  <c r="AF93" i="25" s="1"/>
  <c r="AG48" i="36"/>
  <c r="AE93" i="25" s="1"/>
  <c r="AF48" i="36"/>
  <c r="AD93" i="25" s="1"/>
  <c r="AE48" i="36"/>
  <c r="AC93" i="25" s="1"/>
  <c r="AD48" i="36"/>
  <c r="AB93" i="25" s="1"/>
  <c r="AC48" i="36"/>
  <c r="AA93" i="25" s="1"/>
  <c r="AB48" i="36"/>
  <c r="Z93" i="25" s="1"/>
  <c r="AA48" i="36"/>
  <c r="Y93" i="25" s="1"/>
  <c r="Z48" i="36"/>
  <c r="X93" i="25" s="1"/>
  <c r="BI47" i="36"/>
  <c r="AW47" i="36"/>
  <c r="AU92" i="25" s="1"/>
  <c r="AV47" i="36"/>
  <c r="AT92" i="25" s="1"/>
  <c r="AU47" i="36"/>
  <c r="AS92" i="25" s="1"/>
  <c r="AT47" i="36"/>
  <c r="AR92" i="25" s="1"/>
  <c r="AS47" i="36"/>
  <c r="AQ92" i="25" s="1"/>
  <c r="AR47" i="36"/>
  <c r="AP92" i="25" s="1"/>
  <c r="AQ47" i="36"/>
  <c r="AO92" i="25" s="1"/>
  <c r="AP47" i="36"/>
  <c r="AN92" i="25" s="1"/>
  <c r="AO47" i="36"/>
  <c r="AM92" i="25" s="1"/>
  <c r="AN47" i="36"/>
  <c r="AL92" i="25" s="1"/>
  <c r="AM47" i="36"/>
  <c r="AK92" i="25" s="1"/>
  <c r="AL47" i="36"/>
  <c r="AJ92" i="25" s="1"/>
  <c r="AK47" i="36"/>
  <c r="AI92" i="25" s="1"/>
  <c r="AJ47" i="36"/>
  <c r="AH92" i="25" s="1"/>
  <c r="AI47" i="36"/>
  <c r="AG92" i="25" s="1"/>
  <c r="AH47" i="36"/>
  <c r="AF92" i="25" s="1"/>
  <c r="AG47" i="36"/>
  <c r="AE92" i="25" s="1"/>
  <c r="AF47" i="36"/>
  <c r="AD92" i="25" s="1"/>
  <c r="AE47" i="36"/>
  <c r="AC92" i="25" s="1"/>
  <c r="AD47" i="36"/>
  <c r="AB92" i="25" s="1"/>
  <c r="AC47" i="36"/>
  <c r="AA92" i="25" s="1"/>
  <c r="AB47" i="36"/>
  <c r="Z92" i="25" s="1"/>
  <c r="AA47" i="36"/>
  <c r="Y92" i="25" s="1"/>
  <c r="Z47" i="36"/>
  <c r="Y47" i="36" s="1"/>
  <c r="X47" i="36" s="1"/>
  <c r="W47" i="36" s="1"/>
  <c r="V47" i="36" s="1"/>
  <c r="T92" i="25" s="1"/>
  <c r="BI46" i="36"/>
  <c r="AW46" i="36"/>
  <c r="AU91" i="25" s="1"/>
  <c r="AV46" i="36"/>
  <c r="AT91" i="25" s="1"/>
  <c r="AU46" i="36"/>
  <c r="AS91" i="25" s="1"/>
  <c r="AT46" i="36"/>
  <c r="AR91" i="25" s="1"/>
  <c r="AS46" i="36"/>
  <c r="AQ91" i="25" s="1"/>
  <c r="AR46" i="36"/>
  <c r="AP91" i="25" s="1"/>
  <c r="AQ46" i="36"/>
  <c r="AO91" i="25" s="1"/>
  <c r="AP46" i="36"/>
  <c r="AN91" i="25" s="1"/>
  <c r="AO46" i="36"/>
  <c r="AM91" i="25" s="1"/>
  <c r="AN46" i="36"/>
  <c r="AL91" i="25" s="1"/>
  <c r="AM46" i="36"/>
  <c r="AK91" i="25" s="1"/>
  <c r="AL46" i="36"/>
  <c r="AJ91" i="25" s="1"/>
  <c r="AK46" i="36"/>
  <c r="AI91" i="25" s="1"/>
  <c r="AJ46" i="36"/>
  <c r="AH91" i="25" s="1"/>
  <c r="AI46" i="36"/>
  <c r="AG91" i="25" s="1"/>
  <c r="AH46" i="36"/>
  <c r="AF91" i="25" s="1"/>
  <c r="AG46" i="36"/>
  <c r="AE91" i="25" s="1"/>
  <c r="AF46" i="36"/>
  <c r="AD91" i="25" s="1"/>
  <c r="AE46" i="36"/>
  <c r="AC91" i="25" s="1"/>
  <c r="AD46" i="36"/>
  <c r="AB91" i="25" s="1"/>
  <c r="AC46" i="36"/>
  <c r="AA91" i="25" s="1"/>
  <c r="AB46" i="36"/>
  <c r="Z91" i="25" s="1"/>
  <c r="AA46" i="36"/>
  <c r="Y91" i="25" s="1"/>
  <c r="Z46" i="36"/>
  <c r="Y46" i="36" s="1"/>
  <c r="X46" i="36" s="1"/>
  <c r="W46" i="36" s="1"/>
  <c r="V46" i="36" s="1"/>
  <c r="T91" i="25" s="1"/>
  <c r="BI45" i="36"/>
  <c r="AW45" i="36"/>
  <c r="AU90" i="25" s="1"/>
  <c r="AV45" i="36"/>
  <c r="AT90" i="25" s="1"/>
  <c r="AU45" i="36"/>
  <c r="AS90" i="25" s="1"/>
  <c r="AT45" i="36"/>
  <c r="AR90" i="25" s="1"/>
  <c r="AS45" i="36"/>
  <c r="AQ90" i="25" s="1"/>
  <c r="AR45" i="36"/>
  <c r="AP90" i="25" s="1"/>
  <c r="AQ45" i="36"/>
  <c r="AO90" i="25" s="1"/>
  <c r="AP45" i="36"/>
  <c r="AN90" i="25" s="1"/>
  <c r="AO45" i="36"/>
  <c r="AM90" i="25" s="1"/>
  <c r="AN45" i="36"/>
  <c r="AL90" i="25" s="1"/>
  <c r="AM45" i="36"/>
  <c r="AK90" i="25" s="1"/>
  <c r="AL45" i="36"/>
  <c r="AJ90" i="25" s="1"/>
  <c r="AK45" i="36"/>
  <c r="AI90" i="25" s="1"/>
  <c r="AJ45" i="36"/>
  <c r="AH90" i="25" s="1"/>
  <c r="AI45" i="36"/>
  <c r="AG90" i="25" s="1"/>
  <c r="AH45" i="36"/>
  <c r="AF90" i="25" s="1"/>
  <c r="AG45" i="36"/>
  <c r="AE90" i="25" s="1"/>
  <c r="AF45" i="36"/>
  <c r="AD90" i="25" s="1"/>
  <c r="AE45" i="36"/>
  <c r="AC90" i="25" s="1"/>
  <c r="AD45" i="36"/>
  <c r="AB90" i="25" s="1"/>
  <c r="AC45" i="36"/>
  <c r="AA90" i="25" s="1"/>
  <c r="AB45" i="36"/>
  <c r="Z90" i="25" s="1"/>
  <c r="AA45" i="36"/>
  <c r="Y90" i="25" s="1"/>
  <c r="Z45" i="36"/>
  <c r="Y45" i="36" s="1"/>
  <c r="X45" i="36" s="1"/>
  <c r="W45" i="36" s="1"/>
  <c r="V45" i="36" s="1"/>
  <c r="T90" i="25" s="1"/>
  <c r="T115" i="25" s="1"/>
  <c r="BI44" i="36"/>
  <c r="AW44" i="36"/>
  <c r="AU89" i="25" s="1"/>
  <c r="AV44" i="36"/>
  <c r="AT89" i="25" s="1"/>
  <c r="AU44" i="36"/>
  <c r="AS89" i="25" s="1"/>
  <c r="AT44" i="36"/>
  <c r="AR89" i="25" s="1"/>
  <c r="AS44" i="36"/>
  <c r="AQ89" i="25" s="1"/>
  <c r="AR44" i="36"/>
  <c r="AP89" i="25" s="1"/>
  <c r="AQ44" i="36"/>
  <c r="AO89" i="25" s="1"/>
  <c r="AP44" i="36"/>
  <c r="AN89" i="25" s="1"/>
  <c r="AO44" i="36"/>
  <c r="AM89" i="25" s="1"/>
  <c r="AN44" i="36"/>
  <c r="AL89" i="25" s="1"/>
  <c r="AM44" i="36"/>
  <c r="AK89" i="25" s="1"/>
  <c r="AL44" i="36"/>
  <c r="AJ89" i="25" s="1"/>
  <c r="AK44" i="36"/>
  <c r="AI89" i="25" s="1"/>
  <c r="AJ44" i="36"/>
  <c r="AH89" i="25" s="1"/>
  <c r="AI44" i="36"/>
  <c r="AG89" i="25" s="1"/>
  <c r="AH44" i="36"/>
  <c r="AF89" i="25" s="1"/>
  <c r="AG44" i="36"/>
  <c r="AE89" i="25" s="1"/>
  <c r="AF44" i="36"/>
  <c r="AD89" i="25" s="1"/>
  <c r="AE44" i="36"/>
  <c r="AC89" i="25" s="1"/>
  <c r="AD44" i="36"/>
  <c r="AB89" i="25" s="1"/>
  <c r="AC44" i="36"/>
  <c r="AA89" i="25" s="1"/>
  <c r="AB44" i="36"/>
  <c r="Z89" i="25" s="1"/>
  <c r="AA44" i="36"/>
  <c r="Y89" i="25" s="1"/>
  <c r="Z44" i="36"/>
  <c r="X89" i="25" s="1"/>
  <c r="BI43" i="36"/>
  <c r="AW43" i="36"/>
  <c r="AU88" i="25" s="1"/>
  <c r="AV43" i="36"/>
  <c r="AT88" i="25" s="1"/>
  <c r="AU43" i="36"/>
  <c r="AS88" i="25" s="1"/>
  <c r="AT43" i="36"/>
  <c r="AR88" i="25" s="1"/>
  <c r="AS43" i="36"/>
  <c r="AQ88" i="25" s="1"/>
  <c r="AR43" i="36"/>
  <c r="AP88" i="25" s="1"/>
  <c r="AQ43" i="36"/>
  <c r="AO88" i="25" s="1"/>
  <c r="AP43" i="36"/>
  <c r="AN88" i="25" s="1"/>
  <c r="AO43" i="36"/>
  <c r="AM88" i="25" s="1"/>
  <c r="AN43" i="36"/>
  <c r="AL88" i="25" s="1"/>
  <c r="AM43" i="36"/>
  <c r="AK88" i="25" s="1"/>
  <c r="AL43" i="36"/>
  <c r="AJ88" i="25" s="1"/>
  <c r="AK43" i="36"/>
  <c r="AI88" i="25" s="1"/>
  <c r="AJ43" i="36"/>
  <c r="AH88" i="25" s="1"/>
  <c r="AI43" i="36"/>
  <c r="AG88" i="25" s="1"/>
  <c r="AH43" i="36"/>
  <c r="AF88" i="25" s="1"/>
  <c r="AG43" i="36"/>
  <c r="AE88" i="25" s="1"/>
  <c r="AF43" i="36"/>
  <c r="AD88" i="25" s="1"/>
  <c r="AE43" i="36"/>
  <c r="AC88" i="25" s="1"/>
  <c r="AD43" i="36"/>
  <c r="AB88" i="25" s="1"/>
  <c r="AC43" i="36"/>
  <c r="AA88" i="25" s="1"/>
  <c r="AB43" i="36"/>
  <c r="Z88" i="25" s="1"/>
  <c r="AA43" i="36"/>
  <c r="Y88" i="25" s="1"/>
  <c r="Z43" i="36"/>
  <c r="X88" i="25" s="1"/>
  <c r="BI42" i="36"/>
  <c r="AW42" i="36"/>
  <c r="AU87" i="25" s="1"/>
  <c r="AV42" i="36"/>
  <c r="AT87" i="25" s="1"/>
  <c r="AU42" i="36"/>
  <c r="AS87" i="25" s="1"/>
  <c r="AT42" i="36"/>
  <c r="AR87" i="25" s="1"/>
  <c r="AS42" i="36"/>
  <c r="AQ87" i="25" s="1"/>
  <c r="AR42" i="36"/>
  <c r="AP87" i="25" s="1"/>
  <c r="AQ42" i="36"/>
  <c r="AO87" i="25" s="1"/>
  <c r="AP42" i="36"/>
  <c r="AN87" i="25" s="1"/>
  <c r="AO42" i="36"/>
  <c r="AM87" i="25" s="1"/>
  <c r="AN42" i="36"/>
  <c r="AL87" i="25" s="1"/>
  <c r="AM42" i="36"/>
  <c r="AK87" i="25" s="1"/>
  <c r="AL42" i="36"/>
  <c r="AJ87" i="25" s="1"/>
  <c r="AK42" i="36"/>
  <c r="AI87" i="25" s="1"/>
  <c r="AJ42" i="36"/>
  <c r="AH87" i="25" s="1"/>
  <c r="AI42" i="36"/>
  <c r="AG87" i="25" s="1"/>
  <c r="AH42" i="36"/>
  <c r="AF87" i="25" s="1"/>
  <c r="AG42" i="36"/>
  <c r="AE87" i="25" s="1"/>
  <c r="AF42" i="36"/>
  <c r="AD87" i="25" s="1"/>
  <c r="AE42" i="36"/>
  <c r="AC87" i="25" s="1"/>
  <c r="AD42" i="36"/>
  <c r="AB87" i="25" s="1"/>
  <c r="AC42" i="36"/>
  <c r="AA87" i="25" s="1"/>
  <c r="AB42" i="36"/>
  <c r="Z87" i="25" s="1"/>
  <c r="AA42" i="36"/>
  <c r="Y87" i="25" s="1"/>
  <c r="Z42" i="36"/>
  <c r="X87" i="25" s="1"/>
  <c r="BI41" i="36"/>
  <c r="AW41" i="36"/>
  <c r="AU86" i="25" s="1"/>
  <c r="AV41" i="36"/>
  <c r="AT86" i="25" s="1"/>
  <c r="AU41" i="36"/>
  <c r="AS86" i="25" s="1"/>
  <c r="AT41" i="36"/>
  <c r="AR86" i="25" s="1"/>
  <c r="AS41" i="36"/>
  <c r="AQ86" i="25" s="1"/>
  <c r="AR41" i="36"/>
  <c r="AP86" i="25" s="1"/>
  <c r="AQ41" i="36"/>
  <c r="AO86" i="25" s="1"/>
  <c r="AP41" i="36"/>
  <c r="AN86" i="25" s="1"/>
  <c r="AO41" i="36"/>
  <c r="AM86" i="25" s="1"/>
  <c r="AN41" i="36"/>
  <c r="AL86" i="25" s="1"/>
  <c r="AM41" i="36"/>
  <c r="AK86" i="25" s="1"/>
  <c r="AL41" i="36"/>
  <c r="AJ86" i="25" s="1"/>
  <c r="AK41" i="36"/>
  <c r="AI86" i="25" s="1"/>
  <c r="AJ41" i="36"/>
  <c r="AH86" i="25" s="1"/>
  <c r="AI41" i="36"/>
  <c r="AG86" i="25" s="1"/>
  <c r="AH41" i="36"/>
  <c r="AF86" i="25" s="1"/>
  <c r="AG41" i="36"/>
  <c r="AE86" i="25" s="1"/>
  <c r="AF41" i="36"/>
  <c r="AD86" i="25" s="1"/>
  <c r="AE41" i="36"/>
  <c r="AC86" i="25" s="1"/>
  <c r="AD41" i="36"/>
  <c r="AB86" i="25" s="1"/>
  <c r="AC41" i="36"/>
  <c r="AA86" i="25" s="1"/>
  <c r="AB41" i="36"/>
  <c r="Z86" i="25" s="1"/>
  <c r="AA41" i="36"/>
  <c r="Y86" i="25" s="1"/>
  <c r="Z41" i="36"/>
  <c r="X86" i="25" s="1"/>
  <c r="BI40" i="36"/>
  <c r="AW40" i="36"/>
  <c r="AU85" i="25" s="1"/>
  <c r="AV40" i="36"/>
  <c r="AT85" i="25" s="1"/>
  <c r="AU40" i="36"/>
  <c r="AS85" i="25" s="1"/>
  <c r="AT40" i="36"/>
  <c r="AR85" i="25" s="1"/>
  <c r="AS40" i="36"/>
  <c r="AQ85" i="25" s="1"/>
  <c r="AR40" i="36"/>
  <c r="AP85" i="25" s="1"/>
  <c r="AQ40" i="36"/>
  <c r="AO85" i="25" s="1"/>
  <c r="AP40" i="36"/>
  <c r="AN85" i="25" s="1"/>
  <c r="AO40" i="36"/>
  <c r="AM85" i="25" s="1"/>
  <c r="AN40" i="36"/>
  <c r="AL85" i="25" s="1"/>
  <c r="AM40" i="36"/>
  <c r="AK85" i="25" s="1"/>
  <c r="AL40" i="36"/>
  <c r="AJ85" i="25" s="1"/>
  <c r="AK40" i="36"/>
  <c r="AI85" i="25" s="1"/>
  <c r="AJ40" i="36"/>
  <c r="AH85" i="25" s="1"/>
  <c r="AI40" i="36"/>
  <c r="AG85" i="25" s="1"/>
  <c r="AH40" i="36"/>
  <c r="AF85" i="25" s="1"/>
  <c r="AG40" i="36"/>
  <c r="AE85" i="25" s="1"/>
  <c r="AF40" i="36"/>
  <c r="AD85" i="25" s="1"/>
  <c r="AE40" i="36"/>
  <c r="AC85" i="25" s="1"/>
  <c r="AD40" i="36"/>
  <c r="AB85" i="25" s="1"/>
  <c r="AC40" i="36"/>
  <c r="AA85" i="25" s="1"/>
  <c r="AB40" i="36"/>
  <c r="Z85" i="25" s="1"/>
  <c r="AA40" i="36"/>
  <c r="Y85" i="25" s="1"/>
  <c r="Z40" i="36"/>
  <c r="Y40" i="36" s="1"/>
  <c r="X40" i="36" s="1"/>
  <c r="W40" i="36" s="1"/>
  <c r="V40" i="36" s="1"/>
  <c r="T85" i="25" s="1"/>
  <c r="BI39" i="36"/>
  <c r="AW39" i="36"/>
  <c r="AU84" i="25" s="1"/>
  <c r="AV39" i="36"/>
  <c r="AT84" i="25" s="1"/>
  <c r="AU39" i="36"/>
  <c r="AS84" i="25" s="1"/>
  <c r="AT39" i="36"/>
  <c r="AR84" i="25" s="1"/>
  <c r="AS39" i="36"/>
  <c r="AQ84" i="25" s="1"/>
  <c r="AR39" i="36"/>
  <c r="AP84" i="25" s="1"/>
  <c r="AQ39" i="36"/>
  <c r="AO84" i="25" s="1"/>
  <c r="AP39" i="36"/>
  <c r="AN84" i="25" s="1"/>
  <c r="AO39" i="36"/>
  <c r="AM84" i="25" s="1"/>
  <c r="AN39" i="36"/>
  <c r="AL84" i="25" s="1"/>
  <c r="AM39" i="36"/>
  <c r="AK84" i="25" s="1"/>
  <c r="AL39" i="36"/>
  <c r="AJ84" i="25" s="1"/>
  <c r="AK39" i="36"/>
  <c r="AI84" i="25" s="1"/>
  <c r="AJ39" i="36"/>
  <c r="AH84" i="25" s="1"/>
  <c r="AI39" i="36"/>
  <c r="AG84" i="25" s="1"/>
  <c r="AH39" i="36"/>
  <c r="AF84" i="25" s="1"/>
  <c r="AG39" i="36"/>
  <c r="AE84" i="25" s="1"/>
  <c r="AF39" i="36"/>
  <c r="AD84" i="25" s="1"/>
  <c r="AE39" i="36"/>
  <c r="AC84" i="25" s="1"/>
  <c r="AD39" i="36"/>
  <c r="AB84" i="25" s="1"/>
  <c r="AC39" i="36"/>
  <c r="AA84" i="25" s="1"/>
  <c r="AB39" i="36"/>
  <c r="Z84" i="25" s="1"/>
  <c r="AA39" i="36"/>
  <c r="Y84" i="25" s="1"/>
  <c r="Z39" i="36"/>
  <c r="X84" i="25" s="1"/>
  <c r="BI38" i="36"/>
  <c r="AW38" i="36"/>
  <c r="AU83" i="25" s="1"/>
  <c r="AV38" i="36"/>
  <c r="AT83" i="25" s="1"/>
  <c r="AU38" i="36"/>
  <c r="AS83" i="25" s="1"/>
  <c r="AT38" i="36"/>
  <c r="AR83" i="25" s="1"/>
  <c r="AS38" i="36"/>
  <c r="AQ83" i="25" s="1"/>
  <c r="AR38" i="36"/>
  <c r="AP83" i="25" s="1"/>
  <c r="AQ38" i="36"/>
  <c r="AO83" i="25" s="1"/>
  <c r="AP38" i="36"/>
  <c r="AN83" i="25" s="1"/>
  <c r="AO38" i="36"/>
  <c r="AM83" i="25" s="1"/>
  <c r="AN38" i="36"/>
  <c r="AL83" i="25" s="1"/>
  <c r="AM38" i="36"/>
  <c r="AK83" i="25" s="1"/>
  <c r="AL38" i="36"/>
  <c r="AJ83" i="25" s="1"/>
  <c r="AK38" i="36"/>
  <c r="AI83" i="25" s="1"/>
  <c r="AJ38" i="36"/>
  <c r="AH83" i="25" s="1"/>
  <c r="AI38" i="36"/>
  <c r="AG83" i="25" s="1"/>
  <c r="AH38" i="36"/>
  <c r="AF83" i="25" s="1"/>
  <c r="AG38" i="36"/>
  <c r="AE83" i="25" s="1"/>
  <c r="AF38" i="36"/>
  <c r="AD83" i="25" s="1"/>
  <c r="AE38" i="36"/>
  <c r="AC83" i="25" s="1"/>
  <c r="AD38" i="36"/>
  <c r="AB83" i="25" s="1"/>
  <c r="AC38" i="36"/>
  <c r="AA83" i="25" s="1"/>
  <c r="AB38" i="36"/>
  <c r="Z83" i="25" s="1"/>
  <c r="AA38" i="36"/>
  <c r="Y83" i="25" s="1"/>
  <c r="Z38" i="36"/>
  <c r="Y38" i="36" s="1"/>
  <c r="BI37" i="36"/>
  <c r="AW37" i="36"/>
  <c r="AU82" i="25" s="1"/>
  <c r="AV37" i="36"/>
  <c r="AT82" i="25" s="1"/>
  <c r="AU37" i="36"/>
  <c r="AS82" i="25" s="1"/>
  <c r="AT37" i="36"/>
  <c r="AR82" i="25" s="1"/>
  <c r="AS37" i="36"/>
  <c r="AQ82" i="25" s="1"/>
  <c r="AR37" i="36"/>
  <c r="AP82" i="25" s="1"/>
  <c r="AQ37" i="36"/>
  <c r="AO82" i="25" s="1"/>
  <c r="AP37" i="36"/>
  <c r="AN82" i="25" s="1"/>
  <c r="AO37" i="36"/>
  <c r="AM82" i="25" s="1"/>
  <c r="AN37" i="36"/>
  <c r="AL82" i="25" s="1"/>
  <c r="AM37" i="36"/>
  <c r="AK82" i="25" s="1"/>
  <c r="AL37" i="36"/>
  <c r="AJ82" i="25" s="1"/>
  <c r="AK37" i="36"/>
  <c r="AI82" i="25" s="1"/>
  <c r="AJ37" i="36"/>
  <c r="AH82" i="25" s="1"/>
  <c r="AI37" i="36"/>
  <c r="AG82" i="25" s="1"/>
  <c r="AH37" i="36"/>
  <c r="AF82" i="25" s="1"/>
  <c r="AG37" i="36"/>
  <c r="AE82" i="25" s="1"/>
  <c r="AF37" i="36"/>
  <c r="AD82" i="25" s="1"/>
  <c r="AE37" i="36"/>
  <c r="AC82" i="25" s="1"/>
  <c r="AD37" i="36"/>
  <c r="AB82" i="25" s="1"/>
  <c r="AC37" i="36"/>
  <c r="AA82" i="25" s="1"/>
  <c r="AB37" i="36"/>
  <c r="Z82" i="25" s="1"/>
  <c r="AA37" i="36"/>
  <c r="Y82" i="25" s="1"/>
  <c r="Z37" i="36"/>
  <c r="Y37" i="36" s="1"/>
  <c r="X37" i="36" s="1"/>
  <c r="W37" i="36" s="1"/>
  <c r="V37" i="36" s="1"/>
  <c r="T82" i="25" s="1"/>
  <c r="BI36" i="36"/>
  <c r="AW36" i="36"/>
  <c r="AU81" i="25" s="1"/>
  <c r="AU106" i="25" s="1"/>
  <c r="AV36" i="36"/>
  <c r="AT81" i="25" s="1"/>
  <c r="AT106" i="25" s="1"/>
  <c r="AU36" i="36"/>
  <c r="AS81" i="25" s="1"/>
  <c r="AS106" i="25" s="1"/>
  <c r="AT36" i="36"/>
  <c r="AR81" i="25" s="1"/>
  <c r="AR106" i="25" s="1"/>
  <c r="AS36" i="36"/>
  <c r="AQ81" i="25" s="1"/>
  <c r="AQ106" i="25" s="1"/>
  <c r="AR36" i="36"/>
  <c r="AP81" i="25" s="1"/>
  <c r="AP106" i="25" s="1"/>
  <c r="AQ36" i="36"/>
  <c r="AO81" i="25" s="1"/>
  <c r="AO106" i="25" s="1"/>
  <c r="AP36" i="36"/>
  <c r="AN81" i="25" s="1"/>
  <c r="AN106" i="25" s="1"/>
  <c r="AO36" i="36"/>
  <c r="AM81" i="25" s="1"/>
  <c r="AM106" i="25" s="1"/>
  <c r="AN36" i="36"/>
  <c r="AL81" i="25" s="1"/>
  <c r="AL106" i="25" s="1"/>
  <c r="AM36" i="36"/>
  <c r="AK81" i="25" s="1"/>
  <c r="AK106" i="25" s="1"/>
  <c r="AL36" i="36"/>
  <c r="AJ81" i="25" s="1"/>
  <c r="AJ106" i="25" s="1"/>
  <c r="AK36" i="36"/>
  <c r="AI81" i="25" s="1"/>
  <c r="AI106" i="25" s="1"/>
  <c r="AJ36" i="36"/>
  <c r="AH81" i="25" s="1"/>
  <c r="AH106" i="25" s="1"/>
  <c r="AI36" i="36"/>
  <c r="AG81" i="25" s="1"/>
  <c r="AG106" i="25" s="1"/>
  <c r="AH36" i="36"/>
  <c r="AF81" i="25" s="1"/>
  <c r="AF106" i="25" s="1"/>
  <c r="AG36" i="36"/>
  <c r="AE81" i="25" s="1"/>
  <c r="AE106" i="25" s="1"/>
  <c r="AF36" i="36"/>
  <c r="AD81" i="25" s="1"/>
  <c r="AD106" i="25" s="1"/>
  <c r="AE36" i="36"/>
  <c r="AC81" i="25" s="1"/>
  <c r="AC106" i="25" s="1"/>
  <c r="AD36" i="36"/>
  <c r="AB81" i="25" s="1"/>
  <c r="AB106" i="25" s="1"/>
  <c r="AC36" i="36"/>
  <c r="AA81" i="25" s="1"/>
  <c r="AA106" i="25" s="1"/>
  <c r="AB36" i="36"/>
  <c r="Z81" i="25" s="1"/>
  <c r="Z106" i="25" s="1"/>
  <c r="AA36" i="36"/>
  <c r="Y81" i="25" s="1"/>
  <c r="Y106" i="25" s="1"/>
  <c r="Z36" i="36"/>
  <c r="X81" i="25" s="1"/>
  <c r="X106" i="25" s="1"/>
  <c r="BI35" i="36"/>
  <c r="AW35" i="36"/>
  <c r="AU80" i="25" s="1"/>
  <c r="AU105" i="25" s="1"/>
  <c r="AV35" i="36"/>
  <c r="AT80" i="25" s="1"/>
  <c r="AT105" i="25" s="1"/>
  <c r="AU35" i="36"/>
  <c r="AS80" i="25" s="1"/>
  <c r="AS105" i="25" s="1"/>
  <c r="AT35" i="36"/>
  <c r="AR80" i="25" s="1"/>
  <c r="AR105" i="25" s="1"/>
  <c r="AS35" i="36"/>
  <c r="AQ80" i="25" s="1"/>
  <c r="AQ105" i="25" s="1"/>
  <c r="AR35" i="36"/>
  <c r="AP80" i="25" s="1"/>
  <c r="AP105" i="25" s="1"/>
  <c r="AQ35" i="36"/>
  <c r="AO80" i="25" s="1"/>
  <c r="AO105" i="25" s="1"/>
  <c r="AP35" i="36"/>
  <c r="AN80" i="25" s="1"/>
  <c r="AN105" i="25" s="1"/>
  <c r="AO35" i="36"/>
  <c r="AM80" i="25" s="1"/>
  <c r="AM105" i="25" s="1"/>
  <c r="AN35" i="36"/>
  <c r="AL80" i="25" s="1"/>
  <c r="AL105" i="25" s="1"/>
  <c r="AM35" i="36"/>
  <c r="AK80" i="25" s="1"/>
  <c r="AK105" i="25" s="1"/>
  <c r="AL35" i="36"/>
  <c r="AJ80" i="25" s="1"/>
  <c r="AJ105" i="25" s="1"/>
  <c r="AK35" i="36"/>
  <c r="AI80" i="25" s="1"/>
  <c r="AI105" i="25" s="1"/>
  <c r="AJ35" i="36"/>
  <c r="AH80" i="25" s="1"/>
  <c r="AH105" i="25" s="1"/>
  <c r="AI35" i="36"/>
  <c r="AG80" i="25" s="1"/>
  <c r="AG105" i="25" s="1"/>
  <c r="AH35" i="36"/>
  <c r="AF80" i="25" s="1"/>
  <c r="AF105" i="25" s="1"/>
  <c r="AG35" i="36"/>
  <c r="AE80" i="25" s="1"/>
  <c r="AE105" i="25" s="1"/>
  <c r="AF35" i="36"/>
  <c r="AD80" i="25" s="1"/>
  <c r="AD105" i="25" s="1"/>
  <c r="AE35" i="36"/>
  <c r="AC80" i="25" s="1"/>
  <c r="AC105" i="25" s="1"/>
  <c r="AD35" i="36"/>
  <c r="AB80" i="25" s="1"/>
  <c r="AB105" i="25" s="1"/>
  <c r="AC35" i="36"/>
  <c r="AA80" i="25" s="1"/>
  <c r="AA105" i="25" s="1"/>
  <c r="AB35" i="36"/>
  <c r="Z80" i="25" s="1"/>
  <c r="Z105" i="25" s="1"/>
  <c r="AA35" i="36"/>
  <c r="Y80" i="25" s="1"/>
  <c r="Y105" i="25" s="1"/>
  <c r="Z35" i="36"/>
  <c r="Y35" i="36" s="1"/>
  <c r="X35" i="36" s="1"/>
  <c r="W35" i="36" s="1"/>
  <c r="V35" i="36" s="1"/>
  <c r="T80" i="25" s="1"/>
  <c r="T105" i="25" s="1"/>
  <c r="BI34" i="36"/>
  <c r="AW34" i="36"/>
  <c r="AU79" i="25" s="1"/>
  <c r="AU104" i="25" s="1"/>
  <c r="AV34" i="36"/>
  <c r="AT79" i="25" s="1"/>
  <c r="AT104" i="25" s="1"/>
  <c r="AU34" i="36"/>
  <c r="AS79" i="25" s="1"/>
  <c r="AS104" i="25" s="1"/>
  <c r="AT34" i="36"/>
  <c r="AR79" i="25" s="1"/>
  <c r="AR104" i="25" s="1"/>
  <c r="AS34" i="36"/>
  <c r="AQ79" i="25" s="1"/>
  <c r="AQ104" i="25" s="1"/>
  <c r="AR34" i="36"/>
  <c r="AP79" i="25" s="1"/>
  <c r="AP104" i="25" s="1"/>
  <c r="AQ34" i="36"/>
  <c r="AO79" i="25" s="1"/>
  <c r="AO104" i="25" s="1"/>
  <c r="AP34" i="36"/>
  <c r="AN79" i="25" s="1"/>
  <c r="AN104" i="25" s="1"/>
  <c r="AO34" i="36"/>
  <c r="AM79" i="25" s="1"/>
  <c r="AM104" i="25" s="1"/>
  <c r="AN34" i="36"/>
  <c r="AL79" i="25" s="1"/>
  <c r="AL104" i="25" s="1"/>
  <c r="AM34" i="36"/>
  <c r="AK79" i="25" s="1"/>
  <c r="AK104" i="25" s="1"/>
  <c r="AL34" i="36"/>
  <c r="AJ79" i="25" s="1"/>
  <c r="AJ104" i="25" s="1"/>
  <c r="AK34" i="36"/>
  <c r="AI79" i="25" s="1"/>
  <c r="AI104" i="25" s="1"/>
  <c r="AJ34" i="36"/>
  <c r="AH79" i="25" s="1"/>
  <c r="AH104" i="25" s="1"/>
  <c r="AI34" i="36"/>
  <c r="AG79" i="25" s="1"/>
  <c r="AG104" i="25" s="1"/>
  <c r="AH34" i="36"/>
  <c r="AF79" i="25" s="1"/>
  <c r="AF104" i="25" s="1"/>
  <c r="AG34" i="36"/>
  <c r="AE79" i="25" s="1"/>
  <c r="AE104" i="25" s="1"/>
  <c r="AF34" i="36"/>
  <c r="AD79" i="25" s="1"/>
  <c r="AD104" i="25" s="1"/>
  <c r="AE34" i="36"/>
  <c r="AC79" i="25" s="1"/>
  <c r="AC104" i="25" s="1"/>
  <c r="AD34" i="36"/>
  <c r="AB79" i="25" s="1"/>
  <c r="AB104" i="25" s="1"/>
  <c r="AC34" i="36"/>
  <c r="AA79" i="25" s="1"/>
  <c r="AA104" i="25" s="1"/>
  <c r="AB34" i="36"/>
  <c r="Z79" i="25" s="1"/>
  <c r="Z104" i="25" s="1"/>
  <c r="AA34" i="36"/>
  <c r="Y79" i="25" s="1"/>
  <c r="Y104" i="25" s="1"/>
  <c r="Z34" i="36"/>
  <c r="Y34" i="36" s="1"/>
  <c r="X34" i="36" s="1"/>
  <c r="W34" i="36" s="1"/>
  <c r="BI33" i="36"/>
  <c r="AW33" i="36"/>
  <c r="AU78" i="25" s="1"/>
  <c r="AU103" i="25" s="1"/>
  <c r="AV33" i="36"/>
  <c r="AT78" i="25" s="1"/>
  <c r="AT103" i="25" s="1"/>
  <c r="AU33" i="36"/>
  <c r="AS78" i="25" s="1"/>
  <c r="AS103" i="25" s="1"/>
  <c r="AT33" i="36"/>
  <c r="AR78" i="25" s="1"/>
  <c r="AR103" i="25" s="1"/>
  <c r="AS33" i="36"/>
  <c r="AQ78" i="25" s="1"/>
  <c r="AQ103" i="25" s="1"/>
  <c r="AR33" i="36"/>
  <c r="AP78" i="25" s="1"/>
  <c r="AP103" i="25" s="1"/>
  <c r="AQ33" i="36"/>
  <c r="AO78" i="25" s="1"/>
  <c r="AO103" i="25" s="1"/>
  <c r="AP33" i="36"/>
  <c r="AN78" i="25" s="1"/>
  <c r="AN103" i="25" s="1"/>
  <c r="AO33" i="36"/>
  <c r="AM78" i="25" s="1"/>
  <c r="AM103" i="25" s="1"/>
  <c r="AN33" i="36"/>
  <c r="AL78" i="25" s="1"/>
  <c r="AL103" i="25" s="1"/>
  <c r="AM33" i="36"/>
  <c r="AK78" i="25" s="1"/>
  <c r="AK103" i="25" s="1"/>
  <c r="AL33" i="36"/>
  <c r="AJ78" i="25" s="1"/>
  <c r="AJ103" i="25" s="1"/>
  <c r="AK33" i="36"/>
  <c r="AI78" i="25" s="1"/>
  <c r="AI103" i="25" s="1"/>
  <c r="AJ33" i="36"/>
  <c r="AH78" i="25" s="1"/>
  <c r="AH103" i="25" s="1"/>
  <c r="AI33" i="36"/>
  <c r="AG78" i="25" s="1"/>
  <c r="AG103" i="25" s="1"/>
  <c r="AH33" i="36"/>
  <c r="AF78" i="25" s="1"/>
  <c r="AF103" i="25" s="1"/>
  <c r="AG33" i="36"/>
  <c r="AE78" i="25" s="1"/>
  <c r="AE103" i="25" s="1"/>
  <c r="AF33" i="36"/>
  <c r="AD78" i="25" s="1"/>
  <c r="AD103" i="25" s="1"/>
  <c r="AE33" i="36"/>
  <c r="AC78" i="25" s="1"/>
  <c r="AC103" i="25" s="1"/>
  <c r="AD33" i="36"/>
  <c r="AB78" i="25" s="1"/>
  <c r="AB103" i="25" s="1"/>
  <c r="AC33" i="36"/>
  <c r="AA78" i="25" s="1"/>
  <c r="AA103" i="25" s="1"/>
  <c r="AB33" i="36"/>
  <c r="Z78" i="25" s="1"/>
  <c r="Z103" i="25" s="1"/>
  <c r="AA33" i="36"/>
  <c r="Y78" i="25" s="1"/>
  <c r="Y103" i="25" s="1"/>
  <c r="Z33" i="36"/>
  <c r="Y33" i="36" s="1"/>
  <c r="X33" i="36" s="1"/>
  <c r="W33" i="36" s="1"/>
  <c r="V33" i="36" s="1"/>
  <c r="T78" i="25" s="1"/>
  <c r="T103" i="25" s="1"/>
  <c r="BI32" i="36"/>
  <c r="AW32" i="36"/>
  <c r="AU77" i="25" s="1"/>
  <c r="AU102" i="25" s="1"/>
  <c r="AV32" i="36"/>
  <c r="AT77" i="25" s="1"/>
  <c r="AT102" i="25" s="1"/>
  <c r="AU32" i="36"/>
  <c r="AS77" i="25" s="1"/>
  <c r="AS102" i="25" s="1"/>
  <c r="AT32" i="36"/>
  <c r="AR77" i="25" s="1"/>
  <c r="AR102" i="25" s="1"/>
  <c r="AS32" i="36"/>
  <c r="AQ77" i="25" s="1"/>
  <c r="AQ102" i="25" s="1"/>
  <c r="AR32" i="36"/>
  <c r="AP77" i="25" s="1"/>
  <c r="AP102" i="25" s="1"/>
  <c r="AQ32" i="36"/>
  <c r="AO77" i="25" s="1"/>
  <c r="AO102" i="25" s="1"/>
  <c r="AP32" i="36"/>
  <c r="AN77" i="25" s="1"/>
  <c r="AN102" i="25" s="1"/>
  <c r="AO32" i="36"/>
  <c r="AM77" i="25" s="1"/>
  <c r="AM102" i="25" s="1"/>
  <c r="AN32" i="36"/>
  <c r="AL77" i="25" s="1"/>
  <c r="AL102" i="25" s="1"/>
  <c r="AM32" i="36"/>
  <c r="AK77" i="25" s="1"/>
  <c r="AK102" i="25" s="1"/>
  <c r="AL32" i="36"/>
  <c r="AJ77" i="25" s="1"/>
  <c r="AJ102" i="25" s="1"/>
  <c r="AK32" i="36"/>
  <c r="AI77" i="25" s="1"/>
  <c r="AI102" i="25" s="1"/>
  <c r="AJ32" i="36"/>
  <c r="AH77" i="25" s="1"/>
  <c r="AH102" i="25" s="1"/>
  <c r="AI32" i="36"/>
  <c r="AG77" i="25" s="1"/>
  <c r="AG102" i="25" s="1"/>
  <c r="AH32" i="36"/>
  <c r="AF77" i="25" s="1"/>
  <c r="AF102" i="25" s="1"/>
  <c r="AG32" i="36"/>
  <c r="AE77" i="25" s="1"/>
  <c r="AE102" i="25" s="1"/>
  <c r="AF32" i="36"/>
  <c r="AD77" i="25" s="1"/>
  <c r="AD102" i="25" s="1"/>
  <c r="AE32" i="36"/>
  <c r="AC77" i="25" s="1"/>
  <c r="AC102" i="25" s="1"/>
  <c r="AD32" i="36"/>
  <c r="AB77" i="25" s="1"/>
  <c r="AB102" i="25" s="1"/>
  <c r="AC32" i="36"/>
  <c r="AA77" i="25" s="1"/>
  <c r="AA102" i="25" s="1"/>
  <c r="AB32" i="36"/>
  <c r="Z77" i="25" s="1"/>
  <c r="Z102" i="25" s="1"/>
  <c r="AA32" i="36"/>
  <c r="Y77" i="25" s="1"/>
  <c r="Y102" i="25" s="1"/>
  <c r="Z32" i="36"/>
  <c r="X77" i="25" s="1"/>
  <c r="X102" i="25" s="1"/>
  <c r="BI31" i="36"/>
  <c r="AW31" i="36"/>
  <c r="AU76" i="25" s="1"/>
  <c r="AU101" i="25" s="1"/>
  <c r="AV31" i="36"/>
  <c r="AT76" i="25" s="1"/>
  <c r="AT101" i="25" s="1"/>
  <c r="AU31" i="36"/>
  <c r="AS76" i="25" s="1"/>
  <c r="AS101" i="25" s="1"/>
  <c r="AT31" i="36"/>
  <c r="AR76" i="25" s="1"/>
  <c r="AR101" i="25" s="1"/>
  <c r="AS31" i="36"/>
  <c r="AQ76" i="25" s="1"/>
  <c r="AQ101" i="25" s="1"/>
  <c r="AR31" i="36"/>
  <c r="AP76" i="25" s="1"/>
  <c r="AP101" i="25" s="1"/>
  <c r="AQ31" i="36"/>
  <c r="AO76" i="25" s="1"/>
  <c r="AO101" i="25" s="1"/>
  <c r="AP31" i="36"/>
  <c r="AN76" i="25" s="1"/>
  <c r="AN101" i="25" s="1"/>
  <c r="AO31" i="36"/>
  <c r="AM76" i="25" s="1"/>
  <c r="AM101" i="25" s="1"/>
  <c r="AN31" i="36"/>
  <c r="AL76" i="25" s="1"/>
  <c r="AL101" i="25" s="1"/>
  <c r="AM31" i="36"/>
  <c r="AK76" i="25" s="1"/>
  <c r="AK101" i="25" s="1"/>
  <c r="AL31" i="36"/>
  <c r="AJ76" i="25" s="1"/>
  <c r="AJ101" i="25" s="1"/>
  <c r="AK31" i="36"/>
  <c r="AI76" i="25" s="1"/>
  <c r="AI101" i="25" s="1"/>
  <c r="AJ31" i="36"/>
  <c r="AH76" i="25" s="1"/>
  <c r="AH101" i="25" s="1"/>
  <c r="AI31" i="36"/>
  <c r="AG76" i="25" s="1"/>
  <c r="AG101" i="25" s="1"/>
  <c r="AH31" i="36"/>
  <c r="AF76" i="25" s="1"/>
  <c r="AF101" i="25" s="1"/>
  <c r="AG31" i="36"/>
  <c r="AE76" i="25" s="1"/>
  <c r="AE101" i="25" s="1"/>
  <c r="AF31" i="36"/>
  <c r="AD76" i="25" s="1"/>
  <c r="AD101" i="25" s="1"/>
  <c r="AE31" i="36"/>
  <c r="AC76" i="25" s="1"/>
  <c r="AC101" i="25" s="1"/>
  <c r="AD31" i="36"/>
  <c r="AB76" i="25" s="1"/>
  <c r="AB101" i="25" s="1"/>
  <c r="AC31" i="36"/>
  <c r="AA76" i="25" s="1"/>
  <c r="AA101" i="25" s="1"/>
  <c r="AB31" i="36"/>
  <c r="Z76" i="25" s="1"/>
  <c r="Z101" i="25" s="1"/>
  <c r="AA31" i="36"/>
  <c r="Y76" i="25" s="1"/>
  <c r="Y101" i="25" s="1"/>
  <c r="Z31" i="36"/>
  <c r="Y31" i="36" s="1"/>
  <c r="BI30" i="36"/>
  <c r="AW30" i="36"/>
  <c r="AU75" i="25" s="1"/>
  <c r="AU100" i="25" s="1"/>
  <c r="AV30" i="36"/>
  <c r="AT75" i="25" s="1"/>
  <c r="AT100" i="25" s="1"/>
  <c r="AU30" i="36"/>
  <c r="AS75" i="25" s="1"/>
  <c r="AS100" i="25" s="1"/>
  <c r="AT30" i="36"/>
  <c r="AR75" i="25" s="1"/>
  <c r="AR100" i="25" s="1"/>
  <c r="AS30" i="36"/>
  <c r="AQ75" i="25" s="1"/>
  <c r="AQ100" i="25" s="1"/>
  <c r="AR30" i="36"/>
  <c r="AP75" i="25" s="1"/>
  <c r="AP100" i="25" s="1"/>
  <c r="AQ30" i="36"/>
  <c r="AO75" i="25" s="1"/>
  <c r="AO100" i="25" s="1"/>
  <c r="AP30" i="36"/>
  <c r="AN75" i="25" s="1"/>
  <c r="AN100" i="25" s="1"/>
  <c r="AO30" i="36"/>
  <c r="AM75" i="25" s="1"/>
  <c r="AM100" i="25" s="1"/>
  <c r="AN30" i="36"/>
  <c r="AL75" i="25" s="1"/>
  <c r="AL100" i="25" s="1"/>
  <c r="AM30" i="36"/>
  <c r="AK75" i="25" s="1"/>
  <c r="AK100" i="25" s="1"/>
  <c r="AL30" i="36"/>
  <c r="AJ75" i="25" s="1"/>
  <c r="AJ100" i="25" s="1"/>
  <c r="AK30" i="36"/>
  <c r="AI75" i="25" s="1"/>
  <c r="AI100" i="25" s="1"/>
  <c r="AJ30" i="36"/>
  <c r="AH75" i="25" s="1"/>
  <c r="AH100" i="25" s="1"/>
  <c r="AI30" i="36"/>
  <c r="AG75" i="25" s="1"/>
  <c r="AG100" i="25" s="1"/>
  <c r="AH30" i="36"/>
  <c r="AF75" i="25" s="1"/>
  <c r="AF100" i="25" s="1"/>
  <c r="AG30" i="36"/>
  <c r="AE75" i="25" s="1"/>
  <c r="AE100" i="25" s="1"/>
  <c r="AF30" i="36"/>
  <c r="AD75" i="25" s="1"/>
  <c r="AD100" i="25" s="1"/>
  <c r="AE30" i="36"/>
  <c r="AC75" i="25" s="1"/>
  <c r="AC100" i="25" s="1"/>
  <c r="AD30" i="36"/>
  <c r="AB75" i="25" s="1"/>
  <c r="AB100" i="25" s="1"/>
  <c r="AC30" i="36"/>
  <c r="AA75" i="25" s="1"/>
  <c r="AA100" i="25" s="1"/>
  <c r="AB30" i="36"/>
  <c r="Z75" i="25" s="1"/>
  <c r="Z100" i="25" s="1"/>
  <c r="AA30" i="36"/>
  <c r="Y75" i="25" s="1"/>
  <c r="Y100" i="25" s="1"/>
  <c r="Z30" i="36"/>
  <c r="X75" i="25" s="1"/>
  <c r="X100" i="25" s="1"/>
  <c r="Y30" i="36"/>
  <c r="X30" i="36" s="1"/>
  <c r="W30" i="36" s="1"/>
  <c r="V30" i="36" s="1"/>
  <c r="T75" i="25" s="1"/>
  <c r="T100" i="25" s="1"/>
  <c r="BI29" i="36"/>
  <c r="AW29" i="36"/>
  <c r="AU74" i="25" s="1"/>
  <c r="AU99" i="25" s="1"/>
  <c r="AV29" i="36"/>
  <c r="AT74" i="25" s="1"/>
  <c r="AT99" i="25" s="1"/>
  <c r="AU29" i="36"/>
  <c r="AS74" i="25" s="1"/>
  <c r="AS99" i="25" s="1"/>
  <c r="AT29" i="36"/>
  <c r="AR74" i="25" s="1"/>
  <c r="AR99" i="25" s="1"/>
  <c r="AS29" i="36"/>
  <c r="AQ74" i="25" s="1"/>
  <c r="AQ99" i="25" s="1"/>
  <c r="AR29" i="36"/>
  <c r="AP74" i="25" s="1"/>
  <c r="AP99" i="25" s="1"/>
  <c r="AQ29" i="36"/>
  <c r="AO74" i="25" s="1"/>
  <c r="AO99" i="25" s="1"/>
  <c r="AP29" i="36"/>
  <c r="AN74" i="25" s="1"/>
  <c r="AN99" i="25" s="1"/>
  <c r="AO29" i="36"/>
  <c r="AM74" i="25" s="1"/>
  <c r="AM99" i="25" s="1"/>
  <c r="AN29" i="36"/>
  <c r="AL74" i="25" s="1"/>
  <c r="AL99" i="25" s="1"/>
  <c r="AM29" i="36"/>
  <c r="AK74" i="25" s="1"/>
  <c r="AK99" i="25" s="1"/>
  <c r="AL29" i="36"/>
  <c r="AJ74" i="25" s="1"/>
  <c r="AJ99" i="25" s="1"/>
  <c r="AK29" i="36"/>
  <c r="AI74" i="25" s="1"/>
  <c r="AI99" i="25" s="1"/>
  <c r="AJ29" i="36"/>
  <c r="AH74" i="25" s="1"/>
  <c r="AH99" i="25" s="1"/>
  <c r="AI29" i="36"/>
  <c r="AG74" i="25" s="1"/>
  <c r="AG99" i="25" s="1"/>
  <c r="AH29" i="36"/>
  <c r="AF74" i="25" s="1"/>
  <c r="AF99" i="25" s="1"/>
  <c r="AG29" i="36"/>
  <c r="AE74" i="25" s="1"/>
  <c r="AE99" i="25" s="1"/>
  <c r="AF29" i="36"/>
  <c r="AD74" i="25" s="1"/>
  <c r="AD99" i="25" s="1"/>
  <c r="AE29" i="36"/>
  <c r="AC74" i="25" s="1"/>
  <c r="AC99" i="25" s="1"/>
  <c r="AD29" i="36"/>
  <c r="AB74" i="25" s="1"/>
  <c r="AB99" i="25" s="1"/>
  <c r="AC29" i="36"/>
  <c r="AA74" i="25" s="1"/>
  <c r="AA99" i="25" s="1"/>
  <c r="AB29" i="36"/>
  <c r="Z74" i="25" s="1"/>
  <c r="Z99" i="25" s="1"/>
  <c r="AA29" i="36"/>
  <c r="Y74" i="25" s="1"/>
  <c r="Y99" i="25" s="1"/>
  <c r="Z29" i="36"/>
  <c r="X74" i="25" s="1"/>
  <c r="X99" i="25" s="1"/>
  <c r="D73" i="29" l="1"/>
  <c r="V34" i="36"/>
  <c r="T79" i="25" s="1"/>
  <c r="T104" i="25" s="1"/>
  <c r="Y32" i="36"/>
  <c r="W77" i="25" s="1"/>
  <c r="W102" i="25" s="1"/>
  <c r="G136" i="29"/>
  <c r="Y39" i="36"/>
  <c r="X39" i="36" s="1"/>
  <c r="W39" i="36" s="1"/>
  <c r="V39" i="36" s="1"/>
  <c r="T84" i="25" s="1"/>
  <c r="Y44" i="36"/>
  <c r="Y50" i="36"/>
  <c r="X50" i="36" s="1"/>
  <c r="W50" i="36" s="1"/>
  <c r="V50" i="36" s="1"/>
  <c r="T95" i="25" s="1"/>
  <c r="W92" i="25"/>
  <c r="W90" i="25"/>
  <c r="V90" i="25"/>
  <c r="X32" i="36"/>
  <c r="W32" i="36" s="1"/>
  <c r="V32" i="36" s="1"/>
  <c r="T77" i="25" s="1"/>
  <c r="T102" i="25" s="1"/>
  <c r="U90" i="25"/>
  <c r="W75" i="25"/>
  <c r="W100" i="25" s="1"/>
  <c r="V75" i="25"/>
  <c r="V100" i="25" s="1"/>
  <c r="V78" i="25"/>
  <c r="V103" i="25" s="1"/>
  <c r="U75" i="25"/>
  <c r="U100" i="25" s="1"/>
  <c r="Y29" i="36"/>
  <c r="X29" i="36" s="1"/>
  <c r="V74" i="25" s="1"/>
  <c r="V99" i="25" s="1"/>
  <c r="Y36" i="36"/>
  <c r="U78" i="25"/>
  <c r="U103" i="25" s="1"/>
  <c r="X92" i="25"/>
  <c r="U92" i="25"/>
  <c r="Y41" i="36"/>
  <c r="W86" i="25" s="1"/>
  <c r="X80" i="25"/>
  <c r="X105" i="25" s="1"/>
  <c r="Y43" i="36"/>
  <c r="X43" i="36" s="1"/>
  <c r="W43" i="36" s="1"/>
  <c r="Y51" i="36"/>
  <c r="W78" i="25"/>
  <c r="W103" i="25" s="1"/>
  <c r="X38" i="36"/>
  <c r="W83" i="25"/>
  <c r="X31" i="36"/>
  <c r="W76" i="25"/>
  <c r="W101" i="25" s="1"/>
  <c r="X97" i="25"/>
  <c r="X94" i="25"/>
  <c r="X91" i="25"/>
  <c r="X85" i="25"/>
  <c r="X82" i="25"/>
  <c r="X79" i="25"/>
  <c r="X104" i="25" s="1"/>
  <c r="X76" i="25"/>
  <c r="X101" i="25" s="1"/>
  <c r="W97" i="25"/>
  <c r="W94" i="25"/>
  <c r="W91" i="25"/>
  <c r="W85" i="25"/>
  <c r="W82" i="25"/>
  <c r="W79" i="25"/>
  <c r="W104" i="25" s="1"/>
  <c r="V97" i="25"/>
  <c r="V94" i="25"/>
  <c r="V91" i="25"/>
  <c r="V85" i="25"/>
  <c r="V82" i="25"/>
  <c r="V79" i="25"/>
  <c r="V104" i="25" s="1"/>
  <c r="X83" i="25"/>
  <c r="Y42" i="36"/>
  <c r="U97" i="25"/>
  <c r="U94" i="25"/>
  <c r="U91" i="25"/>
  <c r="U85" i="25"/>
  <c r="U82" i="25"/>
  <c r="U79" i="25"/>
  <c r="U104" i="25" s="1"/>
  <c r="Y48" i="36"/>
  <c r="X90" i="25"/>
  <c r="X78" i="25"/>
  <c r="X103" i="25" s="1"/>
  <c r="W80" i="25"/>
  <c r="W105" i="25" s="1"/>
  <c r="V92" i="25"/>
  <c r="V80" i="25"/>
  <c r="V105" i="25" s="1"/>
  <c r="U80" i="25"/>
  <c r="U105" i="25" s="1"/>
  <c r="W84" i="25" l="1"/>
  <c r="U84" i="25"/>
  <c r="W29" i="36"/>
  <c r="V29" i="36" s="1"/>
  <c r="T74" i="25" s="1"/>
  <c r="T99" i="25" s="1"/>
  <c r="X41" i="36"/>
  <c r="V86" i="25" s="1"/>
  <c r="W74" i="25"/>
  <c r="W99" i="25" s="1"/>
  <c r="W88" i="25"/>
  <c r="V84" i="25"/>
  <c r="W95" i="25"/>
  <c r="W89" i="25"/>
  <c r="X44" i="36"/>
  <c r="U95" i="25"/>
  <c r="V95" i="25"/>
  <c r="U77" i="25"/>
  <c r="U102" i="25" s="1"/>
  <c r="V77" i="25"/>
  <c r="V102" i="25" s="1"/>
  <c r="X36" i="36"/>
  <c r="W81" i="25"/>
  <c r="W106" i="25" s="1"/>
  <c r="X51" i="36"/>
  <c r="W96" i="25"/>
  <c r="V88" i="25"/>
  <c r="X42" i="36"/>
  <c r="W87" i="25"/>
  <c r="V43" i="36"/>
  <c r="T88" i="25" s="1"/>
  <c r="U88" i="25"/>
  <c r="W31" i="36"/>
  <c r="V76" i="25"/>
  <c r="V101" i="25" s="1"/>
  <c r="W38" i="36"/>
  <c r="V83" i="25"/>
  <c r="W93" i="25"/>
  <c r="X48" i="36"/>
  <c r="U74" i="25" l="1"/>
  <c r="U99" i="25" s="1"/>
  <c r="W41" i="36"/>
  <c r="U86" i="25" s="1"/>
  <c r="W44" i="36"/>
  <c r="V89" i="25"/>
  <c r="W36" i="36"/>
  <c r="V81" i="25"/>
  <c r="V106" i="25" s="1"/>
  <c r="W51" i="36"/>
  <c r="V96" i="25"/>
  <c r="V38" i="36"/>
  <c r="T83" i="25" s="1"/>
  <c r="U83" i="25"/>
  <c r="V31" i="36"/>
  <c r="T76" i="25" s="1"/>
  <c r="T101" i="25" s="1"/>
  <c r="U76" i="25"/>
  <c r="U101" i="25" s="1"/>
  <c r="V93" i="25"/>
  <c r="W48" i="36"/>
  <c r="W42" i="36"/>
  <c r="V87" i="25"/>
  <c r="V41" i="36" l="1"/>
  <c r="T86" i="25" s="1"/>
  <c r="V44" i="36"/>
  <c r="T89" i="25" s="1"/>
  <c r="U89" i="25"/>
  <c r="V36" i="36"/>
  <c r="T81" i="25" s="1"/>
  <c r="T106" i="25" s="1"/>
  <c r="U81" i="25"/>
  <c r="U106" i="25" s="1"/>
  <c r="V51" i="36"/>
  <c r="T96" i="25" s="1"/>
  <c r="U96" i="25"/>
  <c r="V42" i="36"/>
  <c r="T87" i="25" s="1"/>
  <c r="U87" i="25"/>
  <c r="V48" i="36"/>
  <c r="T93" i="25" s="1"/>
  <c r="U93" i="25"/>
  <c r="B31" i="34" l="1"/>
  <c r="F95" i="34" s="1"/>
  <c r="D74" i="29"/>
  <c r="H50" i="29" l="1"/>
  <c r="I50" i="29"/>
  <c r="J50" i="29"/>
  <c r="K50" i="29"/>
  <c r="L50" i="29"/>
  <c r="M50" i="29"/>
  <c r="N50" i="29"/>
  <c r="O50" i="29"/>
  <c r="P50" i="29"/>
  <c r="Q50" i="29"/>
  <c r="R50" i="29"/>
  <c r="S50" i="29"/>
  <c r="T50" i="29"/>
  <c r="U50" i="29"/>
  <c r="V50" i="29"/>
  <c r="W50" i="29"/>
  <c r="X50" i="29"/>
  <c r="Y50" i="29"/>
  <c r="Z50" i="29"/>
  <c r="AA50" i="29"/>
  <c r="AB50" i="29"/>
  <c r="AC50" i="29"/>
  <c r="AD50" i="29"/>
  <c r="AE50" i="29"/>
  <c r="AF50" i="29"/>
  <c r="AG50" i="29"/>
  <c r="AH50" i="29"/>
  <c r="AI50" i="29"/>
  <c r="G50"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G31" i="29"/>
  <c r="U107" i="25"/>
  <c r="V107" i="25"/>
  <c r="W107" i="25"/>
  <c r="X107" i="25"/>
  <c r="Y107" i="25"/>
  <c r="Z107" i="25"/>
  <c r="AA107" i="25"/>
  <c r="AB107" i="25"/>
  <c r="AC107" i="25"/>
  <c r="AD107" i="25"/>
  <c r="AE107" i="25"/>
  <c r="AF107" i="25"/>
  <c r="AG107" i="25"/>
  <c r="AH107" i="25"/>
  <c r="AI107" i="25"/>
  <c r="AJ107" i="25"/>
  <c r="AK107" i="25"/>
  <c r="AL107" i="25"/>
  <c r="AM107" i="25"/>
  <c r="AN107" i="25"/>
  <c r="AO107" i="25"/>
  <c r="AP107" i="25"/>
  <c r="AQ107" i="25"/>
  <c r="AR107" i="25"/>
  <c r="AS107" i="25"/>
  <c r="AT107" i="25"/>
  <c r="AU107" i="25"/>
  <c r="AV107" i="25"/>
  <c r="U108" i="25"/>
  <c r="V108" i="25"/>
  <c r="W108" i="25"/>
  <c r="X108" i="25"/>
  <c r="Y108" i="25"/>
  <c r="Z108" i="25"/>
  <c r="AA108" i="25"/>
  <c r="AB108" i="25"/>
  <c r="AC108" i="25"/>
  <c r="AD108" i="25"/>
  <c r="AE108" i="25"/>
  <c r="AF108" i="25"/>
  <c r="AG108" i="25"/>
  <c r="AH108" i="25"/>
  <c r="AI108" i="25"/>
  <c r="AJ108" i="25"/>
  <c r="AK108" i="25"/>
  <c r="AL108" i="25"/>
  <c r="AM108" i="25"/>
  <c r="AN108" i="25"/>
  <c r="AO108" i="25"/>
  <c r="AP108" i="25"/>
  <c r="AQ108" i="25"/>
  <c r="AR108" i="25"/>
  <c r="AS108" i="25"/>
  <c r="AT108" i="25"/>
  <c r="AU108" i="25"/>
  <c r="AV108" i="25"/>
  <c r="U109" i="25"/>
  <c r="V109" i="25"/>
  <c r="W109" i="25"/>
  <c r="X109" i="25"/>
  <c r="Y109" i="25"/>
  <c r="Z109" i="25"/>
  <c r="AA109" i="25"/>
  <c r="AB109" i="25"/>
  <c r="AC109" i="25"/>
  <c r="AD109" i="25"/>
  <c r="AE109" i="25"/>
  <c r="AF109" i="25"/>
  <c r="AG109" i="25"/>
  <c r="AH109" i="25"/>
  <c r="AI109" i="25"/>
  <c r="AJ109" i="25"/>
  <c r="AK109" i="25"/>
  <c r="AL109" i="25"/>
  <c r="AM109" i="25"/>
  <c r="AN109" i="25"/>
  <c r="AO109" i="25"/>
  <c r="AP109" i="25"/>
  <c r="AQ109" i="25"/>
  <c r="AR109" i="25"/>
  <c r="AS109" i="25"/>
  <c r="AT109" i="25"/>
  <c r="AU109" i="25"/>
  <c r="AV109" i="25"/>
  <c r="U110" i="25"/>
  <c r="V110" i="25"/>
  <c r="W110" i="25"/>
  <c r="X110" i="25"/>
  <c r="Y110" i="25"/>
  <c r="Z110" i="25"/>
  <c r="AA110" i="25"/>
  <c r="AB110" i="25"/>
  <c r="AC110" i="25"/>
  <c r="AD110" i="25"/>
  <c r="AE110" i="25"/>
  <c r="AF110" i="25"/>
  <c r="AG110" i="25"/>
  <c r="AH110" i="25"/>
  <c r="AI110" i="25"/>
  <c r="AJ110" i="25"/>
  <c r="AK110" i="25"/>
  <c r="AL110" i="25"/>
  <c r="AM110" i="25"/>
  <c r="AN110" i="25"/>
  <c r="AO110" i="25"/>
  <c r="AP110" i="25"/>
  <c r="AQ110" i="25"/>
  <c r="AR110" i="25"/>
  <c r="AS110" i="25"/>
  <c r="AT110" i="25"/>
  <c r="AU110" i="25"/>
  <c r="AV110" i="25"/>
  <c r="U111" i="25"/>
  <c r="V111" i="25"/>
  <c r="W111" i="25"/>
  <c r="X111" i="25"/>
  <c r="Y111" i="25"/>
  <c r="Z111" i="25"/>
  <c r="AA111" i="25"/>
  <c r="AB111" i="25"/>
  <c r="AC111" i="25"/>
  <c r="AD111" i="25"/>
  <c r="AE111" i="25"/>
  <c r="AF111" i="25"/>
  <c r="AG111" i="25"/>
  <c r="AH111" i="25"/>
  <c r="AI111" i="25"/>
  <c r="AJ111" i="25"/>
  <c r="AK111" i="25"/>
  <c r="AL111" i="25"/>
  <c r="AM111" i="25"/>
  <c r="AN111" i="25"/>
  <c r="AO111" i="25"/>
  <c r="AP111" i="25"/>
  <c r="AQ111" i="25"/>
  <c r="AR111" i="25"/>
  <c r="AS111" i="25"/>
  <c r="AT111" i="25"/>
  <c r="AU111" i="25"/>
  <c r="AV111" i="25"/>
  <c r="U112" i="25"/>
  <c r="V112" i="25"/>
  <c r="W112" i="25"/>
  <c r="X112" i="25"/>
  <c r="Y112" i="25"/>
  <c r="Z112" i="25"/>
  <c r="AA112" i="25"/>
  <c r="AB112" i="25"/>
  <c r="AC112" i="25"/>
  <c r="AD112" i="25"/>
  <c r="AE112" i="25"/>
  <c r="AF112" i="25"/>
  <c r="AG112" i="25"/>
  <c r="AH112" i="25"/>
  <c r="AI112" i="25"/>
  <c r="AJ112" i="25"/>
  <c r="AK112" i="25"/>
  <c r="AL112" i="25"/>
  <c r="AM112" i="25"/>
  <c r="AN112" i="25"/>
  <c r="AO112" i="25"/>
  <c r="AP112" i="25"/>
  <c r="AQ112" i="25"/>
  <c r="AR112" i="25"/>
  <c r="AS112" i="25"/>
  <c r="AT112" i="25"/>
  <c r="AU112" i="25"/>
  <c r="AV112" i="25"/>
  <c r="U113" i="25"/>
  <c r="V113" i="25"/>
  <c r="W113" i="25"/>
  <c r="X113" i="25"/>
  <c r="Y113" i="25"/>
  <c r="Z113" i="25"/>
  <c r="AA113" i="25"/>
  <c r="AB113" i="25"/>
  <c r="AC113" i="25"/>
  <c r="AD113" i="25"/>
  <c r="AE113" i="25"/>
  <c r="AF113" i="25"/>
  <c r="AG113" i="25"/>
  <c r="AH113" i="25"/>
  <c r="AI113" i="25"/>
  <c r="AJ113" i="25"/>
  <c r="AK113" i="25"/>
  <c r="AL113" i="25"/>
  <c r="AM113" i="25"/>
  <c r="AN113" i="25"/>
  <c r="AO113" i="25"/>
  <c r="AP113" i="25"/>
  <c r="AQ113" i="25"/>
  <c r="AR113" i="25"/>
  <c r="AS113" i="25"/>
  <c r="AT113" i="25"/>
  <c r="AU113" i="25"/>
  <c r="AV113" i="25"/>
  <c r="U114" i="25"/>
  <c r="V114" i="25"/>
  <c r="W114" i="25"/>
  <c r="X114" i="25"/>
  <c r="Y114" i="25"/>
  <c r="Z114" i="25"/>
  <c r="AA114" i="25"/>
  <c r="AB114" i="25"/>
  <c r="AC114" i="25"/>
  <c r="AD114" i="25"/>
  <c r="AE114" i="25"/>
  <c r="AF114" i="25"/>
  <c r="AG114" i="25"/>
  <c r="AH114" i="25"/>
  <c r="AI114" i="25"/>
  <c r="AJ114" i="25"/>
  <c r="AK114" i="25"/>
  <c r="AL114" i="25"/>
  <c r="AM114" i="25"/>
  <c r="AN114" i="25"/>
  <c r="AO114" i="25"/>
  <c r="AP114" i="25"/>
  <c r="AQ114" i="25"/>
  <c r="AR114" i="25"/>
  <c r="AS114" i="25"/>
  <c r="AT114" i="25"/>
  <c r="AU114" i="25"/>
  <c r="AV114" i="25"/>
  <c r="U115" i="25"/>
  <c r="H131" i="29" s="1"/>
  <c r="V115" i="25"/>
  <c r="I131" i="29" s="1"/>
  <c r="W115" i="25"/>
  <c r="J131" i="29" s="1"/>
  <c r="X115" i="25"/>
  <c r="K131" i="29" s="1"/>
  <c r="Y115" i="25"/>
  <c r="L131" i="29" s="1"/>
  <c r="Z115" i="25"/>
  <c r="M131" i="29" s="1"/>
  <c r="AA115" i="25"/>
  <c r="N131" i="29" s="1"/>
  <c r="AB115" i="25"/>
  <c r="O131" i="29" s="1"/>
  <c r="AC115" i="25"/>
  <c r="P131" i="29" s="1"/>
  <c r="AD115" i="25"/>
  <c r="Q131" i="29" s="1"/>
  <c r="AE115" i="25"/>
  <c r="R131" i="29" s="1"/>
  <c r="AF115" i="25"/>
  <c r="S131" i="29" s="1"/>
  <c r="AG115" i="25"/>
  <c r="T131" i="29" s="1"/>
  <c r="AH115" i="25"/>
  <c r="U131" i="29" s="1"/>
  <c r="AI115" i="25"/>
  <c r="V131" i="29" s="1"/>
  <c r="AJ115" i="25"/>
  <c r="W131" i="29" s="1"/>
  <c r="AK115" i="25"/>
  <c r="X131" i="29" s="1"/>
  <c r="AL115" i="25"/>
  <c r="Y131" i="29" s="1"/>
  <c r="AM115" i="25"/>
  <c r="Z131" i="29" s="1"/>
  <c r="AN115" i="25"/>
  <c r="AA131" i="29" s="1"/>
  <c r="AO115" i="25"/>
  <c r="AB131" i="29" s="1"/>
  <c r="AP115" i="25"/>
  <c r="AC131" i="29" s="1"/>
  <c r="AQ115" i="25"/>
  <c r="AD131" i="29" s="1"/>
  <c r="AR115" i="25"/>
  <c r="AE131" i="29" s="1"/>
  <c r="AS115" i="25"/>
  <c r="AF131" i="29" s="1"/>
  <c r="AT115" i="25"/>
  <c r="AG131" i="29" s="1"/>
  <c r="AU115" i="25"/>
  <c r="AH131" i="29" s="1"/>
  <c r="AV115" i="25"/>
  <c r="AI131" i="29" s="1"/>
  <c r="U116" i="25"/>
  <c r="V116" i="25"/>
  <c r="W116" i="25"/>
  <c r="X116" i="25"/>
  <c r="Y116" i="25"/>
  <c r="Z116" i="25"/>
  <c r="AA116" i="25"/>
  <c r="AB116" i="25"/>
  <c r="AC116" i="25"/>
  <c r="AD116" i="25"/>
  <c r="AE116" i="25"/>
  <c r="AF116" i="25"/>
  <c r="AG116" i="25"/>
  <c r="AH116" i="25"/>
  <c r="AI116" i="25"/>
  <c r="AJ116" i="25"/>
  <c r="AK116" i="25"/>
  <c r="AL116" i="25"/>
  <c r="AM116" i="25"/>
  <c r="AN116" i="25"/>
  <c r="AO116" i="25"/>
  <c r="AP116" i="25"/>
  <c r="AQ116" i="25"/>
  <c r="AR116" i="25"/>
  <c r="AS116" i="25"/>
  <c r="AT116" i="25"/>
  <c r="AU116" i="25"/>
  <c r="AV116" i="25"/>
  <c r="U117" i="25"/>
  <c r="V117" i="25"/>
  <c r="W117" i="25"/>
  <c r="X117" i="25"/>
  <c r="Y117" i="25"/>
  <c r="Z117" i="25"/>
  <c r="AA117" i="25"/>
  <c r="AB117" i="25"/>
  <c r="AC117" i="25"/>
  <c r="AD117" i="25"/>
  <c r="AE117" i="25"/>
  <c r="AF117" i="25"/>
  <c r="AG117" i="25"/>
  <c r="AH117" i="25"/>
  <c r="AI117" i="25"/>
  <c r="AJ117" i="25"/>
  <c r="AK117" i="25"/>
  <c r="AL117" i="25"/>
  <c r="AM117" i="25"/>
  <c r="AN117" i="25"/>
  <c r="AO117" i="25"/>
  <c r="AP117" i="25"/>
  <c r="AQ117" i="25"/>
  <c r="AR117" i="25"/>
  <c r="AS117" i="25"/>
  <c r="AT117" i="25"/>
  <c r="AU117" i="25"/>
  <c r="AV117" i="25"/>
  <c r="U118" i="25"/>
  <c r="V118" i="25"/>
  <c r="W118" i="25"/>
  <c r="X118" i="25"/>
  <c r="Y118" i="25"/>
  <c r="Z118" i="25"/>
  <c r="AA118" i="25"/>
  <c r="AB118" i="25"/>
  <c r="AC118" i="25"/>
  <c r="AD118" i="25"/>
  <c r="AE118" i="25"/>
  <c r="AF118" i="25"/>
  <c r="AG118" i="25"/>
  <c r="AH118" i="25"/>
  <c r="AI118" i="25"/>
  <c r="AJ118" i="25"/>
  <c r="AK118" i="25"/>
  <c r="AL118" i="25"/>
  <c r="AM118" i="25"/>
  <c r="AN118" i="25"/>
  <c r="AO118" i="25"/>
  <c r="AP118" i="25"/>
  <c r="AQ118" i="25"/>
  <c r="AR118" i="25"/>
  <c r="AS118" i="25"/>
  <c r="AT118" i="25"/>
  <c r="AU118" i="25"/>
  <c r="AV118" i="25"/>
  <c r="U119" i="25"/>
  <c r="V119" i="25"/>
  <c r="W119" i="25"/>
  <c r="X119" i="25"/>
  <c r="Y119" i="25"/>
  <c r="Z119" i="25"/>
  <c r="AA119" i="25"/>
  <c r="AB119" i="25"/>
  <c r="AC119" i="25"/>
  <c r="AD119" i="25"/>
  <c r="AE119" i="25"/>
  <c r="AF119" i="25"/>
  <c r="AG119" i="25"/>
  <c r="AH119" i="25"/>
  <c r="AI119" i="25"/>
  <c r="AJ119" i="25"/>
  <c r="AK119" i="25"/>
  <c r="AL119" i="25"/>
  <c r="AM119" i="25"/>
  <c r="AN119" i="25"/>
  <c r="AO119" i="25"/>
  <c r="AP119" i="25"/>
  <c r="AQ119" i="25"/>
  <c r="AR119" i="25"/>
  <c r="AS119" i="25"/>
  <c r="AT119" i="25"/>
  <c r="AU119" i="25"/>
  <c r="AV119" i="25"/>
  <c r="U120" i="25"/>
  <c r="V120" i="25"/>
  <c r="W120" i="25"/>
  <c r="X120" i="25"/>
  <c r="Y120" i="25"/>
  <c r="Z120" i="25"/>
  <c r="AA120" i="25"/>
  <c r="AB120" i="25"/>
  <c r="AC120" i="25"/>
  <c r="AD120" i="25"/>
  <c r="AE120" i="25"/>
  <c r="AF120" i="25"/>
  <c r="AG120" i="25"/>
  <c r="AH120" i="25"/>
  <c r="AI120" i="25"/>
  <c r="AJ120" i="25"/>
  <c r="AK120" i="25"/>
  <c r="AL120" i="25"/>
  <c r="AM120" i="25"/>
  <c r="AN120" i="25"/>
  <c r="AO120" i="25"/>
  <c r="AP120" i="25"/>
  <c r="AQ120" i="25"/>
  <c r="AR120" i="25"/>
  <c r="AS120" i="25"/>
  <c r="AT120" i="25"/>
  <c r="AU120" i="25"/>
  <c r="AV120" i="25"/>
  <c r="U121" i="25"/>
  <c r="V121" i="25"/>
  <c r="W121" i="25"/>
  <c r="X121" i="25"/>
  <c r="Y121" i="25"/>
  <c r="Z121" i="25"/>
  <c r="AA121" i="25"/>
  <c r="AB121" i="25"/>
  <c r="AC121" i="25"/>
  <c r="AD121" i="25"/>
  <c r="AE121" i="25"/>
  <c r="AF121" i="25"/>
  <c r="AG121" i="25"/>
  <c r="AH121" i="25"/>
  <c r="AI121" i="25"/>
  <c r="AJ121" i="25"/>
  <c r="AK121" i="25"/>
  <c r="AL121" i="25"/>
  <c r="AM121" i="25"/>
  <c r="AN121" i="25"/>
  <c r="AO121" i="25"/>
  <c r="AP121" i="25"/>
  <c r="AQ121" i="25"/>
  <c r="AR121" i="25"/>
  <c r="AS121" i="25"/>
  <c r="AT121" i="25"/>
  <c r="AU121" i="25"/>
  <c r="AV121" i="25"/>
  <c r="U122" i="25"/>
  <c r="V122" i="25"/>
  <c r="W122" i="25"/>
  <c r="X122" i="25"/>
  <c r="Y122" i="25"/>
  <c r="Z122" i="25"/>
  <c r="AA122" i="25"/>
  <c r="AB122" i="25"/>
  <c r="AC122" i="25"/>
  <c r="AD122" i="25"/>
  <c r="AE122" i="25"/>
  <c r="AF122" i="25"/>
  <c r="AG122" i="25"/>
  <c r="AH122" i="25"/>
  <c r="AI122" i="25"/>
  <c r="AJ122" i="25"/>
  <c r="AK122" i="25"/>
  <c r="AL122" i="25"/>
  <c r="AM122" i="25"/>
  <c r="AN122" i="25"/>
  <c r="AO122" i="25"/>
  <c r="AP122" i="25"/>
  <c r="AQ122" i="25"/>
  <c r="AR122" i="25"/>
  <c r="AS122" i="25"/>
  <c r="AT122" i="25"/>
  <c r="AU122" i="25"/>
  <c r="AV122" i="25"/>
  <c r="T120" i="25"/>
  <c r="T121" i="25"/>
  <c r="T122" i="25"/>
  <c r="T119" i="25"/>
  <c r="T116" i="25"/>
  <c r="T117" i="25"/>
  <c r="T118" i="25"/>
  <c r="G131" i="29"/>
  <c r="T112" i="25"/>
  <c r="T113" i="25"/>
  <c r="T114" i="25"/>
  <c r="T111" i="25"/>
  <c r="T108" i="25"/>
  <c r="T109" i="25"/>
  <c r="T110" i="25"/>
  <c r="T107" i="25"/>
  <c r="X151" i="1"/>
  <c r="Y151" i="1"/>
  <c r="Z151" i="1"/>
  <c r="X152" i="1"/>
  <c r="Y152" i="1"/>
  <c r="Z152" i="1"/>
  <c r="X148" i="1"/>
  <c r="Y148" i="1"/>
  <c r="Z148" i="1"/>
  <c r="X149" i="1"/>
  <c r="Y149" i="1"/>
  <c r="Z149" i="1"/>
  <c r="D61" i="29" l="1"/>
  <c r="AI63" i="29"/>
  <c r="V75" i="29"/>
  <c r="V130" i="29" s="1"/>
  <c r="AB75" i="29"/>
  <c r="AB130" i="29" s="1"/>
  <c r="L75" i="29"/>
  <c r="AI75" i="29"/>
  <c r="AI130" i="29" s="1"/>
  <c r="AA75" i="29"/>
  <c r="AA130" i="29" s="1"/>
  <c r="S75" i="29"/>
  <c r="K75" i="29"/>
  <c r="O75" i="29"/>
  <c r="U75" i="29"/>
  <c r="U130" i="29" s="1"/>
  <c r="T75" i="29"/>
  <c r="T130" i="29" s="1"/>
  <c r="AH75" i="29"/>
  <c r="AH130" i="29" s="1"/>
  <c r="Z75" i="29"/>
  <c r="Z130" i="29" s="1"/>
  <c r="R75" i="29"/>
  <c r="J75" i="29"/>
  <c r="J130" i="29" s="1"/>
  <c r="W75" i="29"/>
  <c r="W130" i="29" s="1"/>
  <c r="AD75" i="29"/>
  <c r="AD130" i="29" s="1"/>
  <c r="N75" i="29"/>
  <c r="AG75" i="29"/>
  <c r="AG130" i="29" s="1"/>
  <c r="Y75" i="29"/>
  <c r="Y130" i="29" s="1"/>
  <c r="Q75" i="29"/>
  <c r="I75" i="29"/>
  <c r="AE75" i="29"/>
  <c r="AE130" i="29" s="1"/>
  <c r="AC75" i="29"/>
  <c r="AC130" i="29" s="1"/>
  <c r="M75" i="29"/>
  <c r="G75" i="29"/>
  <c r="G130" i="29" s="1"/>
  <c r="AF75" i="29"/>
  <c r="AF130" i="29" s="1"/>
  <c r="X75" i="29"/>
  <c r="X130" i="29" s="1"/>
  <c r="P75" i="29"/>
  <c r="H75" i="29"/>
  <c r="J82" i="29"/>
  <c r="J135" i="29" s="1"/>
  <c r="AG82" i="29"/>
  <c r="AG135" i="29" s="1"/>
  <c r="U82" i="29"/>
  <c r="U135" i="29" s="1"/>
  <c r="I82" i="29"/>
  <c r="I135" i="29" s="1"/>
  <c r="AF82" i="29"/>
  <c r="AF135" i="29" s="1"/>
  <c r="T82" i="29"/>
  <c r="T135" i="29" s="1"/>
  <c r="H82" i="29"/>
  <c r="H135" i="29" s="1"/>
  <c r="V82" i="29"/>
  <c r="V135" i="29" s="1"/>
  <c r="AE82" i="29"/>
  <c r="AE135" i="29" s="1"/>
  <c r="S82" i="29"/>
  <c r="S135" i="29" s="1"/>
  <c r="AI82" i="29"/>
  <c r="AI135" i="29" s="1"/>
  <c r="W82" i="29"/>
  <c r="W135" i="29" s="1"/>
  <c r="AC82" i="29"/>
  <c r="AC135" i="29" s="1"/>
  <c r="Q82" i="29"/>
  <c r="Q135" i="29" s="1"/>
  <c r="AH82" i="29"/>
  <c r="AH135" i="29" s="1"/>
  <c r="AB82" i="29"/>
  <c r="AB135" i="29" s="1"/>
  <c r="P82" i="29"/>
  <c r="P135" i="29" s="1"/>
  <c r="AD82" i="29"/>
  <c r="AD135" i="29" s="1"/>
  <c r="AA82" i="29"/>
  <c r="AA135" i="29" s="1"/>
  <c r="O82" i="29"/>
  <c r="O135" i="29" s="1"/>
  <c r="Z82" i="29"/>
  <c r="Z135" i="29" s="1"/>
  <c r="N82" i="29"/>
  <c r="N135" i="29" s="1"/>
  <c r="R82" i="29"/>
  <c r="Y82" i="29"/>
  <c r="Y135" i="29" s="1"/>
  <c r="M82" i="29"/>
  <c r="M135" i="29" s="1"/>
  <c r="K82" i="29"/>
  <c r="K135" i="29" s="1"/>
  <c r="G82" i="29"/>
  <c r="G135" i="29" s="1"/>
  <c r="X82" i="29"/>
  <c r="X135" i="29" s="1"/>
  <c r="L82" i="29"/>
  <c r="L135" i="29" s="1"/>
  <c r="A49" i="29"/>
  <c r="A30" i="29"/>
  <c r="D83" i="29" l="1"/>
  <c r="R135" i="29"/>
  <c r="I130" i="29"/>
  <c r="H130" i="29"/>
  <c r="S130" i="29"/>
  <c r="Q130" i="29"/>
  <c r="P130" i="29"/>
  <c r="O130" i="29"/>
  <c r="N130" i="29"/>
  <c r="M130" i="29"/>
  <c r="L130" i="29"/>
  <c r="K130" i="29"/>
  <c r="J97" i="34"/>
  <c r="F81" i="1"/>
  <c r="D81" i="1"/>
  <c r="Z155" i="35"/>
  <c r="Y155" i="35"/>
  <c r="X155" i="35"/>
  <c r="H155" i="35"/>
  <c r="G155" i="35"/>
  <c r="H154" i="35"/>
  <c r="G154" i="35"/>
  <c r="Z152" i="35"/>
  <c r="Y152" i="35"/>
  <c r="X152" i="35"/>
  <c r="G152" i="35"/>
  <c r="Z151" i="35"/>
  <c r="Y151" i="35"/>
  <c r="X151" i="35"/>
  <c r="G151" i="35"/>
  <c r="Z148" i="35"/>
  <c r="Y148" i="35"/>
  <c r="X148" i="35"/>
  <c r="F148" i="35"/>
  <c r="Z147" i="35"/>
  <c r="Y147" i="35"/>
  <c r="X147" i="35"/>
  <c r="J146" i="35"/>
  <c r="D122" i="35"/>
  <c r="D121" i="35"/>
  <c r="F120" i="35"/>
  <c r="D120" i="35"/>
  <c r="B118" i="35"/>
  <c r="D154" i="35" s="1"/>
  <c r="F115" i="35"/>
  <c r="D113" i="35"/>
  <c r="D112" i="35"/>
  <c r="C112" i="35"/>
  <c r="F111" i="35"/>
  <c r="E111" i="35"/>
  <c r="C111" i="35"/>
  <c r="F110" i="35"/>
  <c r="D82" i="35"/>
  <c r="D81" i="35"/>
  <c r="F80" i="35"/>
  <c r="D80" i="35"/>
  <c r="B78" i="35"/>
  <c r="D151" i="35" s="1"/>
  <c r="F75" i="35"/>
  <c r="D74" i="35"/>
  <c r="D114" i="35" s="1"/>
  <c r="D73" i="35"/>
  <c r="D72" i="35"/>
  <c r="C72" i="35"/>
  <c r="F71" i="35"/>
  <c r="E71" i="35"/>
  <c r="C71" i="35"/>
  <c r="F70" i="35"/>
  <c r="B37" i="35"/>
  <c r="F149" i="35" s="1"/>
  <c r="F35" i="35"/>
  <c r="D35" i="35"/>
  <c r="B35" i="35"/>
  <c r="F34" i="35"/>
  <c r="F37" i="35" s="1"/>
  <c r="J37" i="35" s="1"/>
  <c r="D34" i="35"/>
  <c r="B34" i="35"/>
  <c r="F147" i="35" s="1"/>
  <c r="H33" i="35"/>
  <c r="F33" i="35"/>
  <c r="D33" i="35"/>
  <c r="F29" i="35"/>
  <c r="E29" i="35"/>
  <c r="C29" i="35"/>
  <c r="F28" i="35"/>
  <c r="E28" i="35"/>
  <c r="C28" i="35"/>
  <c r="E27" i="35"/>
  <c r="C27" i="35"/>
  <c r="C26" i="35"/>
  <c r="E25" i="35"/>
  <c r="C25" i="35"/>
  <c r="E24" i="35"/>
  <c r="C24" i="35"/>
  <c r="E23" i="35"/>
  <c r="C23" i="35"/>
  <c r="D3" i="35"/>
  <c r="J95" i="34" l="1"/>
  <c r="F69" i="34"/>
  <c r="D71" i="34" s="1" a="1"/>
  <c r="D71" i="34" s="1"/>
  <c r="D137" i="29"/>
  <c r="R130" i="29"/>
  <c r="D76" i="29"/>
  <c r="F31" i="34" s="1"/>
  <c r="H20" i="37" s="1"/>
  <c r="Z149" i="35"/>
  <c r="Z154" i="35" s="1"/>
  <c r="Y149" i="35"/>
  <c r="Y154" i="35" s="1"/>
  <c r="X149" i="35"/>
  <c r="X154" i="35" s="1"/>
  <c r="K146" i="35"/>
  <c r="D37" i="35"/>
  <c r="D3" i="34"/>
  <c r="H69" i="34" l="1"/>
  <c r="L146" i="35"/>
  <c r="K97" i="34" l="1"/>
  <c r="K95" i="34"/>
  <c r="H31" i="34"/>
  <c r="M146" i="35"/>
  <c r="L94" i="34"/>
  <c r="D33" i="34" l="1" a="1"/>
  <c r="D33" i="34" s="1"/>
  <c r="I20" i="37"/>
  <c r="L97" i="34"/>
  <c r="L95" i="34"/>
  <c r="N146" i="35"/>
  <c r="M94" i="34"/>
  <c r="M97" i="34" l="1"/>
  <c r="M95" i="34"/>
  <c r="O146" i="35"/>
  <c r="N94" i="34"/>
  <c r="N97" i="34" l="1"/>
  <c r="N95" i="34"/>
  <c r="P146" i="35"/>
  <c r="O94" i="34"/>
  <c r="O97" i="34" l="1"/>
  <c r="O95" i="34"/>
  <c r="Q146" i="35"/>
  <c r="P94" i="34"/>
  <c r="P97" i="34" l="1"/>
  <c r="P95" i="34"/>
  <c r="R146" i="35"/>
  <c r="Q94" i="34"/>
  <c r="Q97" i="34" l="1"/>
  <c r="Q95" i="34"/>
  <c r="S146" i="35"/>
  <c r="R94" i="34"/>
  <c r="R97" i="34" l="1"/>
  <c r="R95" i="34"/>
  <c r="T146" i="35"/>
  <c r="S94" i="34"/>
  <c r="S97" i="34" l="1"/>
  <c r="S95" i="34"/>
  <c r="U146" i="35"/>
  <c r="T94" i="34"/>
  <c r="T97" i="34" l="1"/>
  <c r="T95" i="34"/>
  <c r="V146" i="35"/>
  <c r="U94" i="34"/>
  <c r="U97" i="34" l="1"/>
  <c r="U95" i="34"/>
  <c r="W146" i="35"/>
  <c r="V94" i="34"/>
  <c r="V97" i="34" l="1"/>
  <c r="V95" i="34"/>
  <c r="W94" i="34"/>
  <c r="W95" i="34" l="1"/>
  <c r="W97" i="34"/>
  <c r="D54" i="29"/>
  <c r="B82" i="35" l="1"/>
  <c r="F152" i="35" s="1"/>
  <c r="E57" i="31"/>
  <c r="D20" i="31"/>
  <c r="E20" i="31"/>
  <c r="G37" i="31"/>
  <c r="H37" i="31" l="1"/>
  <c r="I37" i="31" s="1"/>
  <c r="H74" i="31"/>
  <c r="G39" i="31" l="1"/>
  <c r="H152" i="1"/>
  <c r="G152" i="1"/>
  <c r="H151" i="1"/>
  <c r="G151" i="1"/>
  <c r="F29" i="1"/>
  <c r="F28" i="1"/>
  <c r="H125" i="29"/>
  <c r="I125" i="29"/>
  <c r="J125" i="29"/>
  <c r="K125" i="29"/>
  <c r="L125" i="29"/>
  <c r="M125" i="29"/>
  <c r="N125" i="29"/>
  <c r="O125" i="29"/>
  <c r="P125" i="29"/>
  <c r="Q125" i="29"/>
  <c r="R125" i="29"/>
  <c r="S125" i="29"/>
  <c r="T125" i="29"/>
  <c r="U125" i="29"/>
  <c r="V125" i="29"/>
  <c r="W125" i="29"/>
  <c r="X125" i="29"/>
  <c r="Y125" i="29"/>
  <c r="Z125" i="29"/>
  <c r="AA125" i="29"/>
  <c r="AB125" i="29"/>
  <c r="AC125" i="29"/>
  <c r="AD125" i="29"/>
  <c r="AE125" i="29"/>
  <c r="AF125" i="29"/>
  <c r="AG125" i="29"/>
  <c r="AH125" i="29"/>
  <c r="AI125" i="29"/>
  <c r="D62" i="29"/>
  <c r="A48" i="29"/>
  <c r="H120" i="29"/>
  <c r="I120" i="29"/>
  <c r="J120" i="29"/>
  <c r="K120" i="29"/>
  <c r="L120" i="29"/>
  <c r="M120" i="29"/>
  <c r="N120" i="29"/>
  <c r="O120" i="29"/>
  <c r="P120" i="29"/>
  <c r="Q120" i="29"/>
  <c r="R120" i="29"/>
  <c r="S120" i="29"/>
  <c r="T120" i="29"/>
  <c r="U120" i="29"/>
  <c r="V120" i="29"/>
  <c r="W120" i="29"/>
  <c r="X120" i="29"/>
  <c r="Y120" i="29"/>
  <c r="Z120" i="29"/>
  <c r="AA120" i="29"/>
  <c r="AB120" i="29"/>
  <c r="AC120" i="29"/>
  <c r="AD120" i="29"/>
  <c r="AE120" i="29"/>
  <c r="AF120" i="29"/>
  <c r="AG120" i="29"/>
  <c r="AH120" i="29"/>
  <c r="AI120" i="29"/>
  <c r="G120" i="29"/>
  <c r="D55" i="29"/>
  <c r="G56" i="29" s="1"/>
  <c r="H63" i="29" l="1"/>
  <c r="G63" i="29"/>
  <c r="T63" i="29"/>
  <c r="R63" i="29"/>
  <c r="H56" i="29"/>
  <c r="R56" i="29"/>
  <c r="O63" i="29"/>
  <c r="W63" i="29"/>
  <c r="X63" i="29"/>
  <c r="AF63" i="29"/>
  <c r="Q63" i="29"/>
  <c r="U63" i="29"/>
  <c r="Z63" i="29"/>
  <c r="AE63" i="29"/>
  <c r="J63" i="29"/>
  <c r="AH63" i="29"/>
  <c r="V63" i="29"/>
  <c r="L63" i="29"/>
  <c r="S63" i="29"/>
  <c r="AB63" i="29"/>
  <c r="M63" i="29"/>
  <c r="P63" i="29"/>
  <c r="AG63" i="29"/>
  <c r="AC63" i="29"/>
  <c r="AD63" i="29"/>
  <c r="I63" i="29"/>
  <c r="K63" i="29"/>
  <c r="N63" i="29"/>
  <c r="AA63" i="29"/>
  <c r="Y63" i="29"/>
  <c r="B121" i="35"/>
  <c r="F154" i="35" s="1"/>
  <c r="B122" i="35"/>
  <c r="F155" i="35" s="1"/>
  <c r="B124" i="1"/>
  <c r="F152" i="1" s="1"/>
  <c r="B123" i="1"/>
  <c r="F151" i="1" s="1"/>
  <c r="G125" i="29"/>
  <c r="D3" i="1" l="1"/>
  <c r="G3" i="14"/>
  <c r="F4" i="31" l="1"/>
  <c r="F4" i="37"/>
  <c r="D122" i="1"/>
  <c r="E114" i="1"/>
  <c r="C114" i="1"/>
  <c r="AC124" i="29" l="1"/>
  <c r="AF124" i="29"/>
  <c r="AG124" i="29"/>
  <c r="AD124" i="29"/>
  <c r="G124" i="29"/>
  <c r="AE124" i="29"/>
  <c r="AH124" i="29"/>
  <c r="AI124" i="29"/>
  <c r="L56" i="29"/>
  <c r="L119" i="29" s="1"/>
  <c r="F57" i="31"/>
  <c r="Z56" i="29"/>
  <c r="Z119" i="29" s="1"/>
  <c r="Z124" i="29"/>
  <c r="AA56" i="29"/>
  <c r="AA119" i="29" s="1"/>
  <c r="AA124" i="29"/>
  <c r="AD56" i="29"/>
  <c r="AD119" i="29" s="1"/>
  <c r="AI56" i="29"/>
  <c r="AI119" i="29" s="1"/>
  <c r="G119" i="29"/>
  <c r="AE56" i="29"/>
  <c r="AE119" i="29" s="1"/>
  <c r="AB56" i="29"/>
  <c r="AB119" i="29" s="1"/>
  <c r="AB124" i="29"/>
  <c r="AC56" i="29"/>
  <c r="AC119" i="29" s="1"/>
  <c r="AF56" i="29"/>
  <c r="AF119" i="29" s="1"/>
  <c r="AG56" i="29"/>
  <c r="AG119" i="29" s="1"/>
  <c r="AH56" i="29"/>
  <c r="AH119" i="29" s="1"/>
  <c r="D83" i="1"/>
  <c r="J155" i="35" l="1"/>
  <c r="I124" i="29"/>
  <c r="K124" i="29"/>
  <c r="L124" i="29"/>
  <c r="M124" i="29"/>
  <c r="N124" i="29"/>
  <c r="O124" i="29"/>
  <c r="P124" i="29"/>
  <c r="Q124" i="29"/>
  <c r="R124" i="29"/>
  <c r="S124" i="29"/>
  <c r="H124" i="29"/>
  <c r="J124" i="29"/>
  <c r="T124" i="29"/>
  <c r="U124" i="29"/>
  <c r="V124" i="29"/>
  <c r="W124" i="29"/>
  <c r="X124" i="29"/>
  <c r="Y124" i="29"/>
  <c r="I56" i="29"/>
  <c r="I119" i="29" s="1"/>
  <c r="T56" i="29"/>
  <c r="T119" i="29" s="1"/>
  <c r="P56" i="29"/>
  <c r="P119" i="29" s="1"/>
  <c r="U56" i="29"/>
  <c r="U119" i="29" s="1"/>
  <c r="K56" i="29"/>
  <c r="K119" i="29" s="1"/>
  <c r="H119" i="29"/>
  <c r="J56" i="29"/>
  <c r="J119" i="29" s="1"/>
  <c r="R119" i="29"/>
  <c r="N56" i="29"/>
  <c r="N119" i="29" s="1"/>
  <c r="M56" i="29"/>
  <c r="M119" i="29" s="1"/>
  <c r="V56" i="29"/>
  <c r="W56" i="29"/>
  <c r="W119" i="29" s="1"/>
  <c r="S56" i="29"/>
  <c r="S119" i="29" s="1"/>
  <c r="X56" i="29"/>
  <c r="X119" i="29" s="1"/>
  <c r="Y56" i="29"/>
  <c r="Y119" i="29" s="1"/>
  <c r="O56" i="29"/>
  <c r="O119" i="29" s="1"/>
  <c r="Q56" i="29"/>
  <c r="Q119" i="29" s="1"/>
  <c r="J151" i="1" l="1"/>
  <c r="J152" i="1"/>
  <c r="D64" i="29"/>
  <c r="V119" i="29"/>
  <c r="D57" i="29"/>
  <c r="S155" i="35"/>
  <c r="V155" i="35"/>
  <c r="U155" i="35"/>
  <c r="T155" i="35"/>
  <c r="R155" i="35"/>
  <c r="Q155" i="35"/>
  <c r="K155" i="35"/>
  <c r="P155" i="35"/>
  <c r="O155" i="35"/>
  <c r="N155" i="35"/>
  <c r="L155" i="35"/>
  <c r="W155" i="35"/>
  <c r="M155" i="35"/>
  <c r="F19" i="29"/>
  <c r="F21" i="29"/>
  <c r="G21" i="29"/>
  <c r="E14" i="29" l="1"/>
  <c r="D8" i="29" l="1"/>
  <c r="G13" i="29"/>
  <c r="G14" i="29" s="1"/>
  <c r="H13" i="29"/>
  <c r="I13" i="29"/>
  <c r="J13" i="29"/>
  <c r="K13" i="29"/>
  <c r="L13" i="29"/>
  <c r="M13" i="29"/>
  <c r="N13" i="29"/>
  <c r="O13" i="29"/>
  <c r="P13" i="29"/>
  <c r="Q13" i="29"/>
  <c r="R13" i="29"/>
  <c r="S13" i="29"/>
  <c r="T13" i="29"/>
  <c r="U13" i="29"/>
  <c r="V13" i="29"/>
  <c r="W13" i="29"/>
  <c r="X13" i="29"/>
  <c r="Y13" i="29"/>
  <c r="D82" i="1"/>
  <c r="C116" i="29"/>
  <c r="C111" i="29"/>
  <c r="C119" i="29" s="1"/>
  <c r="C120" i="29" s="1"/>
  <c r="C121" i="29" s="1"/>
  <c r="C115" i="29"/>
  <c r="C114" i="29"/>
  <c r="D43" i="29"/>
  <c r="D36" i="29"/>
  <c r="B116" i="29"/>
  <c r="B111" i="29"/>
  <c r="C110" i="29"/>
  <c r="C109" i="29"/>
  <c r="F5" i="29"/>
  <c r="G5" i="29"/>
  <c r="H5" i="29"/>
  <c r="I5" i="29"/>
  <c r="J5" i="29"/>
  <c r="K5" i="29"/>
  <c r="L5" i="29"/>
  <c r="M5" i="29"/>
  <c r="N5" i="29"/>
  <c r="O5" i="29"/>
  <c r="P5" i="29"/>
  <c r="Q5" i="29"/>
  <c r="R5" i="29"/>
  <c r="S5" i="29"/>
  <c r="T5" i="29"/>
  <c r="U5" i="29"/>
  <c r="V5" i="29"/>
  <c r="W5" i="29"/>
  <c r="X5" i="29"/>
  <c r="Y5" i="29"/>
  <c r="Z5" i="29"/>
  <c r="AA5" i="29"/>
  <c r="AB5" i="29"/>
  <c r="AC5" i="29"/>
  <c r="AD5" i="29"/>
  <c r="AE5" i="29"/>
  <c r="AF5" i="29"/>
  <c r="AG5" i="29"/>
  <c r="AH5" i="29"/>
  <c r="AI5" i="29"/>
  <c r="E5" i="29"/>
  <c r="F20" i="31" l="1"/>
  <c r="C124" i="29"/>
  <c r="C125" i="29" s="1"/>
  <c r="C126" i="29" s="1"/>
  <c r="B81" i="35"/>
  <c r="F151" i="35" s="1"/>
  <c r="F122" i="1"/>
  <c r="D126" i="29"/>
  <c r="F124" i="1" s="1"/>
  <c r="D121" i="29"/>
  <c r="B83" i="1"/>
  <c r="B82" i="1"/>
  <c r="C130" i="29" l="1"/>
  <c r="C131" i="29" s="1"/>
  <c r="C132" i="29" s="1"/>
  <c r="C135" i="29" s="1"/>
  <c r="C136" i="29" s="1"/>
  <c r="C137" i="29" s="1"/>
  <c r="F121" i="35"/>
  <c r="F122" i="35"/>
  <c r="H122" i="35" s="1"/>
  <c r="F123" i="1"/>
  <c r="H57" i="31"/>
  <c r="D127" i="1" l="1" a="1"/>
  <c r="D127" i="1" s="1"/>
  <c r="H121" i="35"/>
  <c r="D124" i="35" s="1" a="1"/>
  <c r="D124" i="35" s="1"/>
  <c r="D125" i="35" a="1"/>
  <c r="D125" i="35" s="1"/>
  <c r="H123" i="1"/>
  <c r="H115" i="29"/>
  <c r="I115" i="29"/>
  <c r="J115" i="29"/>
  <c r="K115" i="29"/>
  <c r="L115" i="29"/>
  <c r="M115" i="29"/>
  <c r="N115" i="29"/>
  <c r="O115" i="29"/>
  <c r="P115" i="29"/>
  <c r="Q115" i="29"/>
  <c r="R115" i="29"/>
  <c r="S115" i="29"/>
  <c r="AI44" i="29"/>
  <c r="H81" i="29"/>
  <c r="I81" i="29"/>
  <c r="J81" i="29"/>
  <c r="K81" i="29"/>
  <c r="L81" i="29"/>
  <c r="M81" i="29"/>
  <c r="N81" i="29"/>
  <c r="O81" i="29"/>
  <c r="P81" i="29"/>
  <c r="Q81" i="29"/>
  <c r="R81" i="29"/>
  <c r="S81" i="29"/>
  <c r="AI37" i="29"/>
  <c r="E21" i="29"/>
  <c r="C104" i="29"/>
  <c r="C103" i="29"/>
  <c r="C98" i="29"/>
  <c r="B98" i="29" s="1"/>
  <c r="C97" i="29"/>
  <c r="B97" i="29" s="1"/>
  <c r="B96" i="29"/>
  <c r="B95" i="29"/>
  <c r="C91" i="29"/>
  <c r="B91" i="29" s="1"/>
  <c r="C90" i="29"/>
  <c r="B90" i="29" s="1"/>
  <c r="AI89" i="29"/>
  <c r="AH89" i="29"/>
  <c r="AG89" i="29"/>
  <c r="AF89" i="29"/>
  <c r="AE89" i="29"/>
  <c r="AD89" i="29"/>
  <c r="AC89" i="29"/>
  <c r="AB89" i="29"/>
  <c r="AA89" i="29"/>
  <c r="Z89" i="29"/>
  <c r="Y89" i="29"/>
  <c r="X89" i="29"/>
  <c r="W89" i="29"/>
  <c r="V89" i="29"/>
  <c r="U89" i="29"/>
  <c r="B89" i="29"/>
  <c r="AI88" i="29"/>
  <c r="AH88" i="29"/>
  <c r="AG88" i="29"/>
  <c r="AF88" i="29"/>
  <c r="AE88" i="29"/>
  <c r="AD88" i="29"/>
  <c r="AC88" i="29"/>
  <c r="AB88" i="29"/>
  <c r="AA88" i="29"/>
  <c r="Z88" i="29"/>
  <c r="Y88" i="29"/>
  <c r="X88" i="29"/>
  <c r="W88" i="29"/>
  <c r="V88" i="29"/>
  <c r="U88" i="29"/>
  <c r="B88" i="29"/>
  <c r="AI13" i="29"/>
  <c r="AH13" i="29"/>
  <c r="AG13" i="29"/>
  <c r="AF13" i="29"/>
  <c r="AE13" i="29"/>
  <c r="AD13" i="29"/>
  <c r="AC13" i="29"/>
  <c r="AB13" i="29"/>
  <c r="AA13" i="29"/>
  <c r="Z13" i="29"/>
  <c r="F13" i="29"/>
  <c r="F14" i="29" s="1"/>
  <c r="E13" i="29"/>
  <c r="D10" i="29"/>
  <c r="D9" i="29"/>
  <c r="D7" i="29"/>
  <c r="A29" i="29"/>
  <c r="Y81" i="29" l="1"/>
  <c r="X81" i="29"/>
  <c r="W81" i="29"/>
  <c r="V81" i="29"/>
  <c r="T115" i="29"/>
  <c r="D126" i="1" a="1"/>
  <c r="D126" i="1" s="1"/>
  <c r="AG74" i="29"/>
  <c r="AG81" i="29"/>
  <c r="AC74" i="29"/>
  <c r="AC81" i="29"/>
  <c r="AD74" i="29"/>
  <c r="AD81" i="29"/>
  <c r="AB74" i="29"/>
  <c r="AB81" i="29"/>
  <c r="AA74" i="29"/>
  <c r="AA81" i="29"/>
  <c r="Z74" i="29"/>
  <c r="Z81" i="29"/>
  <c r="AI74" i="29"/>
  <c r="AI81" i="29"/>
  <c r="AH74" i="29"/>
  <c r="AH81" i="29"/>
  <c r="U74" i="29"/>
  <c r="U81" i="29"/>
  <c r="AF74" i="29"/>
  <c r="AF81" i="29"/>
  <c r="T74" i="29"/>
  <c r="T81" i="29"/>
  <c r="AE74" i="29"/>
  <c r="AE81" i="29"/>
  <c r="Q110" i="29"/>
  <c r="Q74" i="29"/>
  <c r="P110" i="29"/>
  <c r="P74" i="29"/>
  <c r="N110" i="29"/>
  <c r="N74" i="29"/>
  <c r="Y74" i="29"/>
  <c r="X74" i="29"/>
  <c r="L110" i="29"/>
  <c r="L74" i="29"/>
  <c r="W74" i="29"/>
  <c r="K110" i="29"/>
  <c r="K74" i="29"/>
  <c r="M110" i="29"/>
  <c r="M74" i="29"/>
  <c r="V74" i="29"/>
  <c r="J110" i="29"/>
  <c r="J74" i="29"/>
  <c r="I110" i="29"/>
  <c r="I74" i="29"/>
  <c r="O110" i="29"/>
  <c r="O74" i="29"/>
  <c r="H110" i="29"/>
  <c r="H74" i="29"/>
  <c r="R110" i="29"/>
  <c r="R74" i="29"/>
  <c r="S110" i="29"/>
  <c r="S74" i="29"/>
  <c r="AB110" i="29"/>
  <c r="AA110" i="29"/>
  <c r="Z110" i="29"/>
  <c r="AC115" i="29"/>
  <c r="AI110" i="29"/>
  <c r="AI109" i="29"/>
  <c r="AB115" i="29"/>
  <c r="AH110" i="29"/>
  <c r="AA115" i="29"/>
  <c r="AD115" i="29"/>
  <c r="AG110" i="29"/>
  <c r="Z115" i="29"/>
  <c r="AI115" i="29"/>
  <c r="AI114" i="29"/>
  <c r="AC110" i="29"/>
  <c r="AF115" i="29"/>
  <c r="AE115" i="29"/>
  <c r="AF110" i="29"/>
  <c r="AD110" i="29"/>
  <c r="AH115" i="29"/>
  <c r="AG115" i="29"/>
  <c r="AE110" i="29"/>
  <c r="J34" i="35"/>
  <c r="J35" i="35"/>
  <c r="J34" i="1"/>
  <c r="S21" i="29"/>
  <c r="AE21" i="29"/>
  <c r="H21" i="29"/>
  <c r="T21" i="29"/>
  <c r="AF21" i="29"/>
  <c r="I21" i="29"/>
  <c r="U21" i="29"/>
  <c r="AG21" i="29"/>
  <c r="J21" i="29"/>
  <c r="V21" i="29"/>
  <c r="AH21" i="29"/>
  <c r="K21" i="29"/>
  <c r="W21" i="29"/>
  <c r="AI21" i="29"/>
  <c r="L21" i="29"/>
  <c r="X21" i="29"/>
  <c r="M21" i="29"/>
  <c r="Y21" i="29"/>
  <c r="N21" i="29"/>
  <c r="Z21" i="29"/>
  <c r="O21" i="29"/>
  <c r="AA21" i="29"/>
  <c r="P21" i="29"/>
  <c r="AB21" i="29"/>
  <c r="Q21" i="29"/>
  <c r="AC21" i="29"/>
  <c r="R21" i="29"/>
  <c r="AD21" i="29"/>
  <c r="H14" i="29"/>
  <c r="T14" i="29"/>
  <c r="AF14" i="29"/>
  <c r="AE14" i="29"/>
  <c r="I14" i="29"/>
  <c r="U14" i="29"/>
  <c r="AG14" i="29"/>
  <c r="J14" i="29"/>
  <c r="V14" i="29"/>
  <c r="AH14" i="29"/>
  <c r="K14" i="29"/>
  <c r="W14" i="29"/>
  <c r="AI14" i="29"/>
  <c r="L14" i="29"/>
  <c r="X14" i="29"/>
  <c r="M14" i="29"/>
  <c r="Y14" i="29"/>
  <c r="N14" i="29"/>
  <c r="Z14" i="29"/>
  <c r="O14" i="29"/>
  <c r="AA14" i="29"/>
  <c r="P14" i="29"/>
  <c r="AB14" i="29"/>
  <c r="Q14" i="29"/>
  <c r="AC14" i="29"/>
  <c r="R14" i="29"/>
  <c r="AD14" i="29"/>
  <c r="S14" i="29"/>
  <c r="D42" i="29"/>
  <c r="G115" i="29"/>
  <c r="W115" i="29"/>
  <c r="V115" i="29"/>
  <c r="U115" i="29"/>
  <c r="X115" i="29"/>
  <c r="Y115" i="29"/>
  <c r="G110" i="29"/>
  <c r="D35" i="29"/>
  <c r="G37" i="29" s="1"/>
  <c r="V110" i="29"/>
  <c r="T110" i="29"/>
  <c r="U110" i="29"/>
  <c r="Y110" i="29"/>
  <c r="X110" i="29"/>
  <c r="W110" i="29"/>
  <c r="F26" i="29"/>
  <c r="J35" i="1"/>
  <c r="E26" i="29"/>
  <c r="Q88" i="29"/>
  <c r="P88" i="29"/>
  <c r="T88" i="29"/>
  <c r="R88" i="29"/>
  <c r="S88" i="29"/>
  <c r="J44" i="29" l="1"/>
  <c r="J114" i="29" s="1"/>
  <c r="G44" i="29"/>
  <c r="I37" i="29"/>
  <c r="I109" i="29" s="1"/>
  <c r="G109" i="29"/>
  <c r="J151" i="35" s="1"/>
  <c r="H37" i="29"/>
  <c r="H109" i="29" s="1"/>
  <c r="Q37" i="29"/>
  <c r="Q109" i="29" s="1"/>
  <c r="H44" i="29"/>
  <c r="H114" i="29" s="1"/>
  <c r="I44" i="29"/>
  <c r="I114" i="29" s="1"/>
  <c r="Q44" i="29"/>
  <c r="Q114" i="29" s="1"/>
  <c r="Y44" i="29"/>
  <c r="Y114" i="29" s="1"/>
  <c r="AG44" i="29"/>
  <c r="AG114" i="29" s="1"/>
  <c r="R44" i="29"/>
  <c r="R114" i="29" s="1"/>
  <c r="Z44" i="29"/>
  <c r="Z114" i="29" s="1"/>
  <c r="AH44" i="29"/>
  <c r="AH114" i="29" s="1"/>
  <c r="S44" i="29"/>
  <c r="S114" i="29" s="1"/>
  <c r="AA44" i="29"/>
  <c r="AA114" i="29" s="1"/>
  <c r="T44" i="29"/>
  <c r="T114" i="29" s="1"/>
  <c r="W152" i="35" s="1"/>
  <c r="AB44" i="29"/>
  <c r="AB114" i="29" s="1"/>
  <c r="AC44" i="29"/>
  <c r="AC114" i="29" s="1"/>
  <c r="N44" i="29"/>
  <c r="N114" i="29" s="1"/>
  <c r="O44" i="29"/>
  <c r="O114" i="29" s="1"/>
  <c r="AE44" i="29"/>
  <c r="AE114" i="29" s="1"/>
  <c r="X44" i="29"/>
  <c r="X114" i="29" s="1"/>
  <c r="M44" i="29"/>
  <c r="M114" i="29" s="1"/>
  <c r="AD44" i="29"/>
  <c r="AD114" i="29" s="1"/>
  <c r="W44" i="29"/>
  <c r="W114" i="29" s="1"/>
  <c r="K44" i="29"/>
  <c r="K114" i="29" s="1"/>
  <c r="N152" i="35" s="1"/>
  <c r="AF44" i="29"/>
  <c r="AF114" i="29" s="1"/>
  <c r="L44" i="29"/>
  <c r="L114" i="29" s="1"/>
  <c r="U44" i="29"/>
  <c r="U114" i="29" s="1"/>
  <c r="V44" i="29"/>
  <c r="V114" i="29" s="1"/>
  <c r="P44" i="29"/>
  <c r="P114" i="29" s="1"/>
  <c r="Y37" i="29"/>
  <c r="Y109" i="29" s="1"/>
  <c r="AG37" i="29"/>
  <c r="AG109" i="29" s="1"/>
  <c r="AA37" i="29"/>
  <c r="AA109" i="29" s="1"/>
  <c r="L37" i="29"/>
  <c r="L109" i="29" s="1"/>
  <c r="T37" i="29"/>
  <c r="T109" i="29" s="1"/>
  <c r="W151" i="35" s="1"/>
  <c r="AB37" i="29"/>
  <c r="AB109" i="29" s="1"/>
  <c r="U37" i="29"/>
  <c r="U109" i="29" s="1"/>
  <c r="V37" i="29"/>
  <c r="V109" i="29" s="1"/>
  <c r="J37" i="29"/>
  <c r="J109" i="29" s="1"/>
  <c r="R37" i="29"/>
  <c r="R109" i="29" s="1"/>
  <c r="U151" i="35" s="1"/>
  <c r="Z37" i="29"/>
  <c r="Z109" i="29" s="1"/>
  <c r="AH37" i="29"/>
  <c r="AH109" i="29" s="1"/>
  <c r="S37" i="29"/>
  <c r="S109" i="29" s="1"/>
  <c r="M37" i="29"/>
  <c r="AD37" i="29"/>
  <c r="AD109" i="29" s="1"/>
  <c r="K37" i="29"/>
  <c r="K109" i="29" s="1"/>
  <c r="O37" i="29"/>
  <c r="O109" i="29" s="1"/>
  <c r="W37" i="29"/>
  <c r="W109" i="29" s="1"/>
  <c r="AE37" i="29"/>
  <c r="AE109" i="29" s="1"/>
  <c r="P37" i="29"/>
  <c r="P109" i="29" s="1"/>
  <c r="X37" i="29"/>
  <c r="X109" i="29" s="1"/>
  <c r="AF37" i="29"/>
  <c r="AF109" i="29" s="1"/>
  <c r="AC37" i="29"/>
  <c r="AC109" i="29" s="1"/>
  <c r="N37" i="29"/>
  <c r="N109" i="29" s="1"/>
  <c r="G114" i="29"/>
  <c r="J152" i="35" s="1"/>
  <c r="D16" i="29"/>
  <c r="D23" i="29"/>
  <c r="R89" i="29"/>
  <c r="S89" i="29"/>
  <c r="Q89" i="29"/>
  <c r="T89" i="29"/>
  <c r="P89" i="29"/>
  <c r="M109" i="29" l="1"/>
  <c r="D38" i="29"/>
  <c r="J148" i="1"/>
  <c r="J149" i="1"/>
  <c r="R151" i="35"/>
  <c r="U152" i="35"/>
  <c r="Q151" i="35"/>
  <c r="M151" i="35"/>
  <c r="T152" i="35"/>
  <c r="O151" i="35"/>
  <c r="R152" i="35"/>
  <c r="N151" i="35"/>
  <c r="P152" i="35"/>
  <c r="V151" i="35"/>
  <c r="O152" i="35"/>
  <c r="K152" i="35"/>
  <c r="T151" i="35"/>
  <c r="M152" i="35"/>
  <c r="K151" i="35"/>
  <c r="S152" i="35"/>
  <c r="S151" i="35"/>
  <c r="Q152" i="35"/>
  <c r="L152" i="35"/>
  <c r="P151" i="35"/>
  <c r="L151" i="35"/>
  <c r="V152" i="35"/>
  <c r="D24" i="29"/>
  <c r="D22" i="29"/>
  <c r="D45" i="29"/>
  <c r="D116" i="29" s="1"/>
  <c r="F82" i="35" s="1"/>
  <c r="H82" i="35" s="1"/>
  <c r="H152" i="35" s="1"/>
  <c r="D111" i="29"/>
  <c r="D17" i="29"/>
  <c r="D15" i="29" s="1"/>
  <c r="K35" i="35" l="1"/>
  <c r="K34" i="35"/>
  <c r="F81" i="35"/>
  <c r="F82" i="1"/>
  <c r="F83" i="1"/>
  <c r="K35" i="1"/>
  <c r="D25" i="29"/>
  <c r="U26" i="29"/>
  <c r="U104" i="29" s="1"/>
  <c r="AD26" i="29"/>
  <c r="AD104" i="29" s="1"/>
  <c r="I26" i="29"/>
  <c r="I104" i="29" s="1"/>
  <c r="AE26" i="29"/>
  <c r="AE104" i="29" s="1"/>
  <c r="S26" i="29"/>
  <c r="S104" i="29" s="1"/>
  <c r="AF26" i="29"/>
  <c r="AF104" i="29" s="1"/>
  <c r="G26" i="29"/>
  <c r="G104" i="29" s="1"/>
  <c r="X26" i="29"/>
  <c r="Z26" i="29"/>
  <c r="Z104" i="29" s="1"/>
  <c r="AB26" i="29"/>
  <c r="AB104" i="29" s="1"/>
  <c r="AC26" i="29"/>
  <c r="AC104" i="29" s="1"/>
  <c r="AA26" i="29"/>
  <c r="AA104" i="29" s="1"/>
  <c r="AG26" i="29"/>
  <c r="AG104" i="29" s="1"/>
  <c r="V26" i="29"/>
  <c r="V104" i="29" s="1"/>
  <c r="AH26" i="29"/>
  <c r="AH104" i="29" s="1"/>
  <c r="Q26" i="29"/>
  <c r="Q104" i="29" s="1"/>
  <c r="W26" i="29"/>
  <c r="W104" i="29" s="1"/>
  <c r="AI26" i="29"/>
  <c r="M26" i="29"/>
  <c r="M104" i="29" s="1"/>
  <c r="J26" i="29"/>
  <c r="J104" i="29" s="1"/>
  <c r="K26" i="29"/>
  <c r="K104" i="29" s="1"/>
  <c r="P26" i="29"/>
  <c r="P104" i="29" s="1"/>
  <c r="O26" i="29"/>
  <c r="O104" i="29" s="1"/>
  <c r="L26" i="29"/>
  <c r="L104" i="29" s="1"/>
  <c r="H26" i="29"/>
  <c r="H104" i="29" s="1"/>
  <c r="T26" i="29"/>
  <c r="T104" i="29" s="1"/>
  <c r="N26" i="29"/>
  <c r="N104" i="29" s="1"/>
  <c r="U19" i="29"/>
  <c r="U103" i="29" s="1"/>
  <c r="V19" i="29"/>
  <c r="V103" i="29" s="1"/>
  <c r="AH19" i="29"/>
  <c r="AH103" i="29" s="1"/>
  <c r="AI19" i="29"/>
  <c r="AI103" i="29" s="1"/>
  <c r="Y19" i="29"/>
  <c r="Y103" i="29" s="1"/>
  <c r="Z19" i="29"/>
  <c r="Z103" i="29" s="1"/>
  <c r="AA19" i="29"/>
  <c r="AA103" i="29" s="1"/>
  <c r="AB19" i="29"/>
  <c r="AB103" i="29" s="1"/>
  <c r="AC19" i="29"/>
  <c r="AC103" i="29" s="1"/>
  <c r="AD19" i="29"/>
  <c r="AD103" i="29" s="1"/>
  <c r="AE19" i="29"/>
  <c r="AE103" i="29" s="1"/>
  <c r="AG19" i="29"/>
  <c r="AG103" i="29" s="1"/>
  <c r="W19" i="29"/>
  <c r="W103" i="29" s="1"/>
  <c r="AF19" i="29"/>
  <c r="AF103" i="29" s="1"/>
  <c r="X19" i="29"/>
  <c r="X103" i="29" s="1"/>
  <c r="J19" i="29"/>
  <c r="J103" i="29" s="1"/>
  <c r="K19" i="29"/>
  <c r="K103" i="29" s="1"/>
  <c r="L19" i="29"/>
  <c r="L103" i="29" s="1"/>
  <c r="M19" i="29"/>
  <c r="M103" i="29" s="1"/>
  <c r="N19" i="29"/>
  <c r="N103" i="29" s="1"/>
  <c r="O19" i="29"/>
  <c r="P19" i="29"/>
  <c r="P103" i="29" s="1"/>
  <c r="Q19" i="29"/>
  <c r="Q103" i="29" s="1"/>
  <c r="G19" i="29"/>
  <c r="G103" i="29" s="1"/>
  <c r="S19" i="29"/>
  <c r="H19" i="29"/>
  <c r="H103" i="29" s="1"/>
  <c r="T19" i="29"/>
  <c r="T103" i="29" s="1"/>
  <c r="I19" i="29"/>
  <c r="I103" i="29" s="1"/>
  <c r="E19" i="29"/>
  <c r="K34" i="1"/>
  <c r="D18" i="29"/>
  <c r="H50" i="31" l="1"/>
  <c r="H82" i="1"/>
  <c r="D86" i="1" a="1"/>
  <c r="D86" i="1" s="1"/>
  <c r="O148" i="35"/>
  <c r="T147" i="35"/>
  <c r="L35" i="35"/>
  <c r="Q147" i="35"/>
  <c r="P147" i="35"/>
  <c r="S148" i="35"/>
  <c r="O147" i="35"/>
  <c r="N148" i="35"/>
  <c r="N147" i="35"/>
  <c r="M148" i="35"/>
  <c r="L148" i="35"/>
  <c r="W148" i="35"/>
  <c r="L147" i="35"/>
  <c r="M147" i="35"/>
  <c r="P148" i="35"/>
  <c r="J148" i="35"/>
  <c r="H81" i="35"/>
  <c r="H151" i="35" s="1"/>
  <c r="D85" i="35" a="1"/>
  <c r="D85" i="35" s="1"/>
  <c r="J147" i="35"/>
  <c r="S147" i="35"/>
  <c r="Q148" i="35"/>
  <c r="K148" i="35"/>
  <c r="R148" i="35"/>
  <c r="V148" i="35"/>
  <c r="L34" i="35"/>
  <c r="W147" i="35"/>
  <c r="K147" i="35"/>
  <c r="T148" i="35"/>
  <c r="H20" i="31"/>
  <c r="F33" i="1"/>
  <c r="I20" i="31" l="1"/>
  <c r="D85" i="1" a="1"/>
  <c r="D85" i="1" s="1"/>
  <c r="F4" i="35"/>
  <c r="F4" i="34"/>
  <c r="O149" i="35"/>
  <c r="O154" i="35" s="1"/>
  <c r="W149" i="35"/>
  <c r="W154" i="35" s="1"/>
  <c r="N149" i="35"/>
  <c r="N154" i="35" s="1"/>
  <c r="P149" i="35"/>
  <c r="P154" i="35" s="1"/>
  <c r="M149" i="35"/>
  <c r="M154" i="35" s="1"/>
  <c r="K149" i="35"/>
  <c r="K154" i="35" s="1"/>
  <c r="Q149" i="35"/>
  <c r="Q154" i="35" s="1"/>
  <c r="D40" i="35"/>
  <c r="H35" i="35"/>
  <c r="S149" i="35"/>
  <c r="S154" i="35" s="1"/>
  <c r="L149" i="35"/>
  <c r="L154" i="35" s="1"/>
  <c r="T149" i="35"/>
  <c r="T154" i="35" s="1"/>
  <c r="D39" i="35"/>
  <c r="H34" i="35"/>
  <c r="J149" i="35"/>
  <c r="J154" i="35" s="1"/>
  <c r="D84" i="35" a="1"/>
  <c r="D84" i="35" s="1"/>
  <c r="C52" i="26"/>
  <c r="C51" i="26"/>
  <c r="I45" i="26"/>
  <c r="F66" i="26"/>
  <c r="E66" i="26"/>
  <c r="D66" i="26"/>
  <c r="C66" i="26"/>
  <c r="F65" i="26"/>
  <c r="E65" i="26"/>
  <c r="D65" i="26"/>
  <c r="C65" i="26"/>
  <c r="F64" i="26"/>
  <c r="E64" i="26"/>
  <c r="D64" i="26"/>
  <c r="C64" i="26"/>
  <c r="F63" i="26"/>
  <c r="E63" i="26"/>
  <c r="D63" i="26"/>
  <c r="C63" i="26"/>
  <c r="F62" i="26"/>
  <c r="E62" i="26"/>
  <c r="D62" i="26"/>
  <c r="C62" i="26"/>
  <c r="F59" i="26"/>
  <c r="E59" i="26"/>
  <c r="D59" i="26"/>
  <c r="C59" i="26"/>
  <c r="F58" i="26"/>
  <c r="E58" i="26"/>
  <c r="D58" i="26"/>
  <c r="C58" i="26"/>
  <c r="F57" i="26"/>
  <c r="E57" i="26"/>
  <c r="D57" i="26"/>
  <c r="C57" i="26"/>
  <c r="F56" i="26"/>
  <c r="E56" i="26"/>
  <c r="D56" i="26"/>
  <c r="C56" i="26"/>
  <c r="F55" i="26"/>
  <c r="E55" i="26"/>
  <c r="D55" i="26"/>
  <c r="C55" i="26"/>
  <c r="F52" i="26"/>
  <c r="E52" i="26"/>
  <c r="D52" i="26"/>
  <c r="F51" i="26"/>
  <c r="E51" i="26"/>
  <c r="D51" i="26"/>
  <c r="F50" i="26"/>
  <c r="E50" i="26"/>
  <c r="D50" i="26"/>
  <c r="C50" i="26"/>
  <c r="F49" i="26"/>
  <c r="E49" i="26"/>
  <c r="D49" i="26"/>
  <c r="C49" i="26"/>
  <c r="F48" i="26"/>
  <c r="E48" i="26"/>
  <c r="D48" i="26"/>
  <c r="C48" i="26"/>
  <c r="C30" i="26"/>
  <c r="D30" i="26"/>
  <c r="E30" i="26"/>
  <c r="F30" i="26"/>
  <c r="C31" i="26"/>
  <c r="D31" i="26"/>
  <c r="E31" i="26"/>
  <c r="F31" i="26"/>
  <c r="C32" i="26"/>
  <c r="D32" i="26"/>
  <c r="E32" i="26"/>
  <c r="F32" i="26"/>
  <c r="C33" i="26"/>
  <c r="D33" i="26"/>
  <c r="E33" i="26"/>
  <c r="F33" i="26"/>
  <c r="F29" i="26"/>
  <c r="E29" i="26"/>
  <c r="D29" i="26"/>
  <c r="C29" i="26"/>
  <c r="D23" i="26"/>
  <c r="E23" i="26"/>
  <c r="F23" i="26"/>
  <c r="D24" i="26"/>
  <c r="E24" i="26"/>
  <c r="F24" i="26"/>
  <c r="D25" i="26"/>
  <c r="E25" i="26"/>
  <c r="F25" i="26"/>
  <c r="D26" i="26"/>
  <c r="E26" i="26"/>
  <c r="F26" i="26"/>
  <c r="F22" i="26"/>
  <c r="E22" i="26"/>
  <c r="D22" i="26"/>
  <c r="C22" i="26"/>
  <c r="C23" i="26"/>
  <c r="C24" i="26"/>
  <c r="K12" i="26"/>
  <c r="C26" i="26"/>
  <c r="C25" i="26"/>
  <c r="F16" i="26"/>
  <c r="F17" i="26"/>
  <c r="F18" i="26"/>
  <c r="F19" i="26"/>
  <c r="F15" i="26"/>
  <c r="E19" i="26"/>
  <c r="E16" i="26"/>
  <c r="E17" i="26"/>
  <c r="E18" i="26"/>
  <c r="E15" i="26"/>
  <c r="D16" i="26"/>
  <c r="D17" i="26"/>
  <c r="D18" i="26"/>
  <c r="D19" i="26"/>
  <c r="D15" i="26"/>
  <c r="C15" i="26"/>
  <c r="C16" i="26"/>
  <c r="C17" i="26"/>
  <c r="C18" i="26"/>
  <c r="C19" i="26"/>
  <c r="H37" i="35" l="1"/>
  <c r="L37" i="35" s="1"/>
  <c r="K37" i="35" s="1"/>
  <c r="F34" i="1"/>
  <c r="D34" i="1"/>
  <c r="L34" i="1" s="1"/>
  <c r="F35" i="1"/>
  <c r="D42" i="35" l="1" a="1"/>
  <c r="D42" i="35" s="1"/>
  <c r="F37" i="1"/>
  <c r="H33" i="1" l="1"/>
  <c r="F4" i="1" l="1"/>
  <c r="H5" i="31" l="1"/>
  <c r="H5" i="37"/>
  <c r="I2" i="5"/>
  <c r="I3" i="5" s="1"/>
  <c r="I4" i="5" s="1"/>
  <c r="I5" i="5" s="1"/>
  <c r="I6" i="5" s="1"/>
  <c r="I7" i="5" s="1"/>
  <c r="I8" i="5" s="1"/>
  <c r="I9" i="5" s="1"/>
  <c r="I10" i="5" s="1"/>
  <c r="J27" i="5" l="1"/>
  <c r="J28" i="5" s="1"/>
  <c r="J29" i="5" s="1"/>
  <c r="J30" i="5" s="1"/>
  <c r="J31" i="5" s="1"/>
  <c r="D35" i="1" l="1"/>
  <c r="D33" i="1"/>
  <c r="D37" i="1" l="1"/>
  <c r="J37" i="1" s="1"/>
  <c r="L35" i="1"/>
  <c r="E29" i="1"/>
  <c r="C29" i="1"/>
  <c r="E28" i="1"/>
  <c r="C28" i="1"/>
  <c r="E27" i="1"/>
  <c r="C27" i="1"/>
  <c r="I5" i="14" l="1"/>
  <c r="B37" i="1"/>
  <c r="B35" i="1"/>
  <c r="B34" i="1"/>
  <c r="G149" i="1"/>
  <c r="G148" i="1"/>
  <c r="C73" i="1"/>
  <c r="C23" i="1"/>
  <c r="C26" i="1"/>
  <c r="C24" i="1"/>
  <c r="C25" i="1"/>
  <c r="H3" i="5"/>
  <c r="H4" i="5" s="1"/>
  <c r="H5" i="5" s="1"/>
  <c r="H6" i="5" s="1"/>
  <c r="H7" i="5" s="1"/>
  <c r="H8" i="5" s="1"/>
  <c r="H9" i="5" s="1"/>
  <c r="H10" i="5" s="1"/>
  <c r="H11" i="5" s="1"/>
  <c r="H12" i="5" s="1"/>
  <c r="H13" i="5" s="1"/>
  <c r="H14" i="5" s="1"/>
  <c r="H15" i="5" s="1"/>
  <c r="H16" i="5" s="1"/>
  <c r="H17" i="5" s="1"/>
  <c r="H18" i="5" s="1"/>
  <c r="H19" i="5" s="1"/>
  <c r="H20" i="5" s="1"/>
  <c r="H21" i="5" s="1"/>
  <c r="H22" i="5" s="1"/>
  <c r="H23" i="5" s="1"/>
  <c r="H24" i="5" s="1"/>
  <c r="E73" i="1"/>
  <c r="E25" i="1"/>
  <c r="E24" i="1"/>
  <c r="E23" i="1"/>
  <c r="D39" i="1" l="1"/>
  <c r="K147" i="1"/>
  <c r="K151" i="1" l="1"/>
  <c r="K149" i="1"/>
  <c r="K148" i="1"/>
  <c r="K152" i="1"/>
  <c r="H34" i="1"/>
  <c r="F148" i="1"/>
  <c r="L147" i="1"/>
  <c r="F149" i="1"/>
  <c r="L151" i="1" l="1"/>
  <c r="L149" i="1"/>
  <c r="L152" i="1"/>
  <c r="L148" i="1"/>
  <c r="D105" i="29"/>
  <c r="R19" i="29"/>
  <c r="R103" i="29" s="1"/>
  <c r="O103" i="29"/>
  <c r="S103" i="29"/>
  <c r="M147" i="1"/>
  <c r="M148" i="1" l="1"/>
  <c r="M151" i="1"/>
  <c r="M149" i="1"/>
  <c r="M152" i="1"/>
  <c r="V147" i="35"/>
  <c r="V149" i="35" s="1"/>
  <c r="V154" i="35" s="1"/>
  <c r="R147" i="35"/>
  <c r="R149" i="35" s="1"/>
  <c r="R154" i="35" s="1"/>
  <c r="U147" i="35"/>
  <c r="N147" i="1"/>
  <c r="D40" i="1"/>
  <c r="N148" i="1" l="1"/>
  <c r="N151" i="1"/>
  <c r="N149" i="1"/>
  <c r="N152" i="1"/>
  <c r="R36" i="29"/>
  <c r="T36" i="29"/>
  <c r="S36" i="29"/>
  <c r="AE36" i="29"/>
  <c r="X36" i="29"/>
  <c r="AB36" i="29"/>
  <c r="H36" i="29"/>
  <c r="V36" i="29"/>
  <c r="Y36" i="29"/>
  <c r="U36" i="29"/>
  <c r="I36" i="29"/>
  <c r="AG36" i="29"/>
  <c r="Z36" i="29"/>
  <c r="AC36" i="29"/>
  <c r="K36" i="29"/>
  <c r="AA36" i="29"/>
  <c r="AF36" i="29"/>
  <c r="J36" i="29"/>
  <c r="AH36" i="29"/>
  <c r="AD36" i="29"/>
  <c r="M36" i="29"/>
  <c r="AI36" i="29"/>
  <c r="L36" i="29"/>
  <c r="W36" i="29"/>
  <c r="AD95" i="29"/>
  <c r="H88" i="29"/>
  <c r="H90" i="29" s="1"/>
  <c r="J88" i="29"/>
  <c r="R95" i="29"/>
  <c r="G95" i="29"/>
  <c r="G97" i="29" s="1"/>
  <c r="H95" i="29"/>
  <c r="H97" i="29" s="1"/>
  <c r="AG95" i="29"/>
  <c r="AG97" i="29" s="1"/>
  <c r="X95" i="29"/>
  <c r="M88" i="29"/>
  <c r="N95" i="29"/>
  <c r="AI95" i="29"/>
  <c r="I95" i="29"/>
  <c r="G88" i="29"/>
  <c r="G90" i="29" s="1"/>
  <c r="P95" i="29"/>
  <c r="U95" i="29"/>
  <c r="W95" i="29"/>
  <c r="O95" i="29"/>
  <c r="V95" i="29"/>
  <c r="E88" i="29"/>
  <c r="E90" i="29" s="1"/>
  <c r="E95" i="29"/>
  <c r="E97" i="29" s="1"/>
  <c r="Z95" i="29"/>
  <c r="S95" i="29"/>
  <c r="AH95" i="29"/>
  <c r="AB95" i="29"/>
  <c r="I88" i="29"/>
  <c r="L95" i="29"/>
  <c r="Q95" i="29"/>
  <c r="F88" i="29"/>
  <c r="F90" i="29" s="1"/>
  <c r="J95" i="29"/>
  <c r="K88" i="29"/>
  <c r="K95" i="29"/>
  <c r="AA95" i="29"/>
  <c r="Y95" i="29"/>
  <c r="N88" i="29"/>
  <c r="AF95" i="29"/>
  <c r="F95" i="29"/>
  <c r="F97" i="29" s="1"/>
  <c r="O36" i="29"/>
  <c r="L88" i="29"/>
  <c r="AC95" i="29"/>
  <c r="T95" i="29"/>
  <c r="AE95" i="29"/>
  <c r="M95" i="29"/>
  <c r="O88" i="29"/>
  <c r="N36" i="29"/>
  <c r="P36" i="29"/>
  <c r="Q36" i="29"/>
  <c r="H35" i="1"/>
  <c r="O6" i="5"/>
  <c r="O147" i="1"/>
  <c r="O152" i="1" l="1"/>
  <c r="O148" i="1"/>
  <c r="O151" i="1"/>
  <c r="O149" i="1"/>
  <c r="R26" i="29"/>
  <c r="R104" i="29" s="1"/>
  <c r="Y26" i="29"/>
  <c r="Y104" i="29" s="1"/>
  <c r="AI104" i="29"/>
  <c r="D106" i="29"/>
  <c r="X104" i="29"/>
  <c r="I90" i="29"/>
  <c r="AD97" i="29"/>
  <c r="Y97" i="29"/>
  <c r="P97" i="29"/>
  <c r="M90" i="29"/>
  <c r="AB97" i="29"/>
  <c r="M97" i="29"/>
  <c r="U97" i="29"/>
  <c r="S97" i="29"/>
  <c r="L90" i="29"/>
  <c r="L97" i="29"/>
  <c r="J90" i="29"/>
  <c r="I97" i="29"/>
  <c r="N90" i="29"/>
  <c r="W97" i="29"/>
  <c r="O90" i="29"/>
  <c r="V97" i="29"/>
  <c r="N97" i="29"/>
  <c r="X97" i="29"/>
  <c r="Z90" i="29"/>
  <c r="Z91" i="29"/>
  <c r="R97" i="29"/>
  <c r="Z97" i="29"/>
  <c r="AF97" i="29"/>
  <c r="AI90" i="29"/>
  <c r="AI91" i="29"/>
  <c r="Q90" i="29"/>
  <c r="Q91" i="29"/>
  <c r="AB90" i="29"/>
  <c r="AB91" i="29"/>
  <c r="S90" i="29"/>
  <c r="S91" i="29"/>
  <c r="W91" i="29"/>
  <c r="W90" i="29"/>
  <c r="K90" i="29"/>
  <c r="AC97" i="29"/>
  <c r="J97" i="29"/>
  <c r="AI97" i="29"/>
  <c r="AC91" i="29"/>
  <c r="AC90" i="29"/>
  <c r="AH97" i="29"/>
  <c r="AE97" i="29"/>
  <c r="K97" i="29"/>
  <c r="T90" i="29"/>
  <c r="T91" i="29"/>
  <c r="AG91" i="29"/>
  <c r="AG90" i="29"/>
  <c r="T97" i="29"/>
  <c r="Y90" i="29"/>
  <c r="Y91" i="29"/>
  <c r="P90" i="29"/>
  <c r="P91" i="29"/>
  <c r="V91" i="29"/>
  <c r="V90" i="29"/>
  <c r="AF90" i="29"/>
  <c r="AF91" i="29"/>
  <c r="R90" i="29"/>
  <c r="R91" i="29"/>
  <c r="AA97" i="29"/>
  <c r="U90" i="29"/>
  <c r="U91" i="29"/>
  <c r="O97" i="29"/>
  <c r="AD91" i="29"/>
  <c r="AD90" i="29"/>
  <c r="AE91" i="29"/>
  <c r="AE90" i="29"/>
  <c r="AH90" i="29"/>
  <c r="AH91" i="29"/>
  <c r="AA90" i="29"/>
  <c r="AA91" i="29"/>
  <c r="Q97" i="29"/>
  <c r="X91" i="29"/>
  <c r="X90" i="29"/>
  <c r="Y96" i="29"/>
  <c r="Y98" i="29" s="1"/>
  <c r="AB96" i="29"/>
  <c r="AB98" i="29" s="1"/>
  <c r="H96" i="29"/>
  <c r="H98" i="29" s="1"/>
  <c r="X96" i="29"/>
  <c r="X98" i="29" s="1"/>
  <c r="J96" i="29"/>
  <c r="J98" i="29" s="1"/>
  <c r="F96" i="29"/>
  <c r="F98" i="29" s="1"/>
  <c r="T96" i="29"/>
  <c r="T98" i="29" s="1"/>
  <c r="N89" i="29"/>
  <c r="N91" i="29" s="1"/>
  <c r="V96" i="29"/>
  <c r="V98" i="29" s="1"/>
  <c r="E96" i="29"/>
  <c r="E98" i="29" s="1"/>
  <c r="G89" i="29"/>
  <c r="G91" i="29" s="1"/>
  <c r="I89" i="29"/>
  <c r="I91" i="29" s="1"/>
  <c r="AC96" i="29"/>
  <c r="AC98" i="29" s="1"/>
  <c r="O96" i="29"/>
  <c r="O98" i="29" s="1"/>
  <c r="S96" i="29"/>
  <c r="S98" i="29" s="1"/>
  <c r="H89" i="29"/>
  <c r="H91" i="29" s="1"/>
  <c r="M89" i="29"/>
  <c r="M91" i="29" s="1"/>
  <c r="AH96" i="29"/>
  <c r="AH98" i="29" s="1"/>
  <c r="AA96" i="29"/>
  <c r="AA98" i="29" s="1"/>
  <c r="Q96" i="29"/>
  <c r="Q98" i="29" s="1"/>
  <c r="F89" i="29"/>
  <c r="F91" i="29" s="1"/>
  <c r="M96" i="29"/>
  <c r="M98" i="29" s="1"/>
  <c r="AF96" i="29"/>
  <c r="AF98" i="29" s="1"/>
  <c r="Z96" i="29"/>
  <c r="Z98" i="29" s="1"/>
  <c r="W96" i="29"/>
  <c r="W98" i="29" s="1"/>
  <c r="L89" i="29"/>
  <c r="L91" i="29" s="1"/>
  <c r="K89" i="29"/>
  <c r="K91" i="29" s="1"/>
  <c r="U96" i="29"/>
  <c r="U98" i="29" s="1"/>
  <c r="O89" i="29"/>
  <c r="O91" i="29" s="1"/>
  <c r="N96" i="29"/>
  <c r="N98" i="29" s="1"/>
  <c r="L96" i="29"/>
  <c r="L98" i="29" s="1"/>
  <c r="P96" i="29"/>
  <c r="P98" i="29" s="1"/>
  <c r="E89" i="29"/>
  <c r="E91" i="29" s="1"/>
  <c r="AD96" i="29"/>
  <c r="AD98" i="29" s="1"/>
  <c r="J89" i="29"/>
  <c r="J91" i="29" s="1"/>
  <c r="G96" i="29"/>
  <c r="G98" i="29" s="1"/>
  <c r="I96" i="29"/>
  <c r="I98" i="29" s="1"/>
  <c r="K96" i="29"/>
  <c r="K98" i="29" s="1"/>
  <c r="AE96" i="29"/>
  <c r="AE98" i="29" s="1"/>
  <c r="AG96" i="29"/>
  <c r="AG98" i="29" s="1"/>
  <c r="AI96" i="29"/>
  <c r="AI98" i="29" s="1"/>
  <c r="R96" i="29"/>
  <c r="R98" i="29" s="1"/>
  <c r="H37" i="1"/>
  <c r="L37" i="1" s="1"/>
  <c r="P147" i="1"/>
  <c r="P152" i="1" l="1"/>
  <c r="P148" i="1"/>
  <c r="P151" i="1"/>
  <c r="P149" i="1"/>
  <c r="U148" i="35"/>
  <c r="U149" i="35" s="1"/>
  <c r="U154" i="35" s="1"/>
  <c r="K37" i="1"/>
  <c r="Q147" i="1"/>
  <c r="Q149" i="1" l="1"/>
  <c r="Q148" i="1"/>
  <c r="Q151" i="1"/>
  <c r="Q152" i="1"/>
  <c r="O7" i="5"/>
  <c r="R147" i="1"/>
  <c r="R148" i="1" l="1"/>
  <c r="R151" i="1"/>
  <c r="R149" i="1"/>
  <c r="R152" i="1"/>
  <c r="S147" i="1"/>
  <c r="S151" i="1" l="1"/>
  <c r="S152" i="1"/>
  <c r="S149" i="1"/>
  <c r="S148" i="1"/>
  <c r="H148" i="1"/>
  <c r="T147" i="1"/>
  <c r="T152" i="1" l="1"/>
  <c r="T149" i="1"/>
  <c r="T148" i="1"/>
  <c r="T151" i="1"/>
  <c r="U147" i="1"/>
  <c r="U148" i="1" l="1"/>
  <c r="U149" i="1"/>
  <c r="U152" i="1"/>
  <c r="U151" i="1"/>
  <c r="H149" i="1"/>
  <c r="V147" i="1"/>
  <c r="V149" i="1" l="1"/>
  <c r="V152" i="1"/>
  <c r="V148" i="1"/>
  <c r="V151" i="1"/>
  <c r="W147" i="1"/>
  <c r="W151" i="1" l="1"/>
  <c r="W149" i="1"/>
  <c r="W152" i="1"/>
  <c r="W148" i="1"/>
  <c r="G77" i="31" l="1"/>
  <c r="G76" i="31"/>
  <c r="D42" i="1" a="1"/>
  <c r="D42" i="1" s="1"/>
  <c r="D132" i="2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<sst xmlns="http://schemas.openxmlformats.org/spreadsheetml/2006/main" count="2102" uniqueCount="480">
  <si>
    <t>Base year</t>
  </si>
  <si>
    <t>Target year</t>
  </si>
  <si>
    <t>Scenario</t>
  </si>
  <si>
    <t>Region</t>
  </si>
  <si>
    <t>Unit</t>
  </si>
  <si>
    <t>Geography</t>
  </si>
  <si>
    <t>MtCO2</t>
  </si>
  <si>
    <t>Emissions intensity</t>
  </si>
  <si>
    <t>CE</t>
  </si>
  <si>
    <t>CI</t>
  </si>
  <si>
    <t>CE2</t>
  </si>
  <si>
    <t>Absolute contraction (LAR)</t>
  </si>
  <si>
    <t>Absolute contraction (CAGR)</t>
  </si>
  <si>
    <t>CI2</t>
  </si>
  <si>
    <t>Parameter</t>
  </si>
  <si>
    <t>Activity unit description</t>
  </si>
  <si>
    <t>Subcategory/Description</t>
  </si>
  <si>
    <t>Disclaimer</t>
  </si>
  <si>
    <t>Terms of use</t>
  </si>
  <si>
    <t>History of revisions</t>
  </si>
  <si>
    <t xml:space="preserve">Version </t>
  </si>
  <si>
    <t>Release date</t>
  </si>
  <si>
    <t>Description</t>
  </si>
  <si>
    <t>-----</t>
  </si>
  <si>
    <t>Scope 1 target</t>
  </si>
  <si>
    <t>Scope 2 target</t>
  </si>
  <si>
    <t>Support:</t>
  </si>
  <si>
    <t>info@sciencebasedtargets.org</t>
  </si>
  <si>
    <t>Version:</t>
  </si>
  <si>
    <t>%</t>
  </si>
  <si>
    <t>Target timeframe</t>
  </si>
  <si>
    <t>Target setting method</t>
  </si>
  <si>
    <t>Review all target modelling data</t>
  </si>
  <si>
    <t>Section 4. All target modelling data</t>
  </si>
  <si>
    <t>QUICK GUIDE</t>
  </si>
  <si>
    <t>README</t>
  </si>
  <si>
    <t>`</t>
  </si>
  <si>
    <t xml:space="preserve">Review data references here. </t>
  </si>
  <si>
    <t>Science Based Targets initiative website</t>
  </si>
  <si>
    <t>Please review our terms of use, disclaimer, and history of revisions made to this tool.</t>
  </si>
  <si>
    <t>Sectoral Decarbonization Approach</t>
  </si>
  <si>
    <t>IEA</t>
  </si>
  <si>
    <t>International Energy Agency</t>
  </si>
  <si>
    <t>Energy Technology Perspectives</t>
  </si>
  <si>
    <t>SDA</t>
  </si>
  <si>
    <t>1.5C</t>
  </si>
  <si>
    <t>Climate scenario aligned with a 1.5 degree temperature goal</t>
  </si>
  <si>
    <t>tCO2e</t>
  </si>
  <si>
    <t>Metric tons of carbon dioxide equivalent</t>
  </si>
  <si>
    <t xml:space="preserve">BACK-END DATA </t>
  </si>
  <si>
    <t>GRAPH DATA</t>
  </si>
  <si>
    <t>Foundations of Science-based Target Setting</t>
  </si>
  <si>
    <t>SBTi 1.5C</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</si>
  <si>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</si>
  <si>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</si>
  <si>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</si>
  <si>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</si>
  <si>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</si>
  <si>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</si>
  <si>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</si>
  <si>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</si>
  <si>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</si>
  <si>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</si>
  <si>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</si>
  <si>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</si>
  <si>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</si>
  <si>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</si>
  <si>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</si>
  <si>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</si>
  <si>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</si>
  <si>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</si>
  <si>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</si>
  <si>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</si>
  <si>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</si>
  <si>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</si>
  <si>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</si>
  <si>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</si>
  <si>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</si>
  <si>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</si>
  <si>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</si>
  <si>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</si>
  <si>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</si>
  <si>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</si>
  <si>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</si>
  <si>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</si>
  <si>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</si>
  <si>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</si>
  <si>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</si>
  <si>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</si>
  <si>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</si>
  <si>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Most recent year (MRY)</t>
  </si>
  <si>
    <t>Base year | Scope 2 emissions</t>
  </si>
  <si>
    <t>MRY | Scope 2 emissions</t>
  </si>
  <si>
    <t>Net Zero 2050 ambition (cross sector)</t>
  </si>
  <si>
    <t>Scope 1 Reduction to date</t>
  </si>
  <si>
    <t>Scope 2 Reduction to date</t>
  </si>
  <si>
    <t>Scope 1 FLA adjustment</t>
  </si>
  <si>
    <t>Scope 1 target with FLA adjustment</t>
  </si>
  <si>
    <t>Scope 1 target before FLA adjustment</t>
  </si>
  <si>
    <t>Scope 2 target before FLA adjustment</t>
  </si>
  <si>
    <t>Scope 2 target with FLA adjustment</t>
  </si>
  <si>
    <t>% SBT reduction</t>
  </si>
  <si>
    <t>List of changes</t>
  </si>
  <si>
    <t>Main tab | Section 1 Input data</t>
  </si>
  <si>
    <t>Increased base year eliglibilty to 2022 for S1, S2 &amp; S3</t>
  </si>
  <si>
    <t>Main tab | Section 2 SDA</t>
  </si>
  <si>
    <t>Updated target SDA calculations to accommodate base years up to 2022</t>
  </si>
  <si>
    <t>Power sector 1.5C targets in line with SBTi 1.5C pathway (no change)</t>
  </si>
  <si>
    <t>Added Steel, Cement, Buildings (residential and commercial) 1.5C pathways derived from IEA NZE</t>
  </si>
  <si>
    <t>Added Residential Buildings WB2C pathway for consistency only</t>
  </si>
  <si>
    <r>
      <rPr>
        <b/>
        <sz val="11"/>
        <color theme="1"/>
        <rFont val="Calibri"/>
        <family val="2"/>
        <scheme val="minor"/>
      </rPr>
      <t xml:space="preserve">WARNING: </t>
    </r>
    <r>
      <rPr>
        <sz val="10"/>
        <color theme="1"/>
        <rFont val="Arial"/>
        <family val="2"/>
      </rPr>
      <t>Residential buildings pathway is almost entirely unapplicable to a company S1&amp;S2 emissions, should be used mostly for S3 applications</t>
    </r>
  </si>
  <si>
    <t>Steel, Cement, Buildings 1.5C S2 pathways derived from IEA NZE Power Sector pathway for scenario consistency (not SBTi 1.5C pathway for Power sector)</t>
  </si>
  <si>
    <t>Kept WB2C legacy pathways, available until July 15 2022</t>
  </si>
  <si>
    <t>Added chart for combined S1+S2 intensity target</t>
  </si>
  <si>
    <t>Changed results layout</t>
  </si>
  <si>
    <t>Main tab | Section 3 Absolute contraction</t>
  </si>
  <si>
    <t>Updated absolute contraction calculations for S1 &amp; S2 emissions (base year dependent)</t>
  </si>
  <si>
    <t>Eliminated absolute contraction calculation for WB2C for S1 &amp; S2</t>
  </si>
  <si>
    <t>Improved calculation for combined S1+S2 absolute target in results table</t>
  </si>
  <si>
    <t>Added results for "reduction to date", "FLA adjustment" and SBT reduction to show new FLA calculation</t>
  </si>
  <si>
    <t>Change results layout</t>
  </si>
  <si>
    <t>Scope 3 tab | All sections</t>
  </si>
  <si>
    <t>Updated absolute contraction calculations for S3 emissions (base year dependent)</t>
  </si>
  <si>
    <t>Eliminated absolute contraction calculation for 2C for S3 emissions</t>
  </si>
  <si>
    <t>Updated Scope 3 physical intensity calculation</t>
  </si>
  <si>
    <r>
      <rPr>
        <b/>
        <sz val="11"/>
        <color theme="1"/>
        <rFont val="Calibri"/>
        <family val="2"/>
        <scheme val="minor"/>
      </rPr>
      <t>NOTE:</t>
    </r>
    <r>
      <rPr>
        <sz val="10"/>
        <color theme="1"/>
        <rFont val="Arial"/>
        <family val="2"/>
      </rPr>
      <t xml:space="preserve"> No FLA for Scope 3</t>
    </r>
  </si>
  <si>
    <t>Other fixes</t>
  </si>
  <si>
    <t>Updates to README tab</t>
  </si>
  <si>
    <t>Adjustments to target modelling data (section 4 in main tab)</t>
  </si>
  <si>
    <t>Adjusted database tab (will keep locked but visible to users)</t>
  </si>
  <si>
    <t>Added rows for showing FLA adjustment in calculations tab (will keep locked but visible to users)</t>
  </si>
  <si>
    <t>Changed order of required input and added section for Most Recent Year activity and emissions data</t>
  </si>
  <si>
    <t>Minor edits to guidance text (column F), mouse over text and notice/notifications. Additional suggestions welcome!</t>
  </si>
  <si>
    <t>Please confirm</t>
  </si>
  <si>
    <t>Grammar is ok. Sufficient guidance</t>
  </si>
  <si>
    <t>Check calcs, please test different base &amp; target years</t>
  </si>
  <si>
    <t>Check calcs (target ouput)</t>
  </si>
  <si>
    <t>Do we need additional text guidance?</t>
  </si>
  <si>
    <t>Check results</t>
  </si>
  <si>
    <t>Check results, axis, chart layout</t>
  </si>
  <si>
    <t>Check calcs as per TVP version 3.0</t>
  </si>
  <si>
    <t>Confirm we don't need it</t>
  </si>
  <si>
    <t>Check calcs (target output)</t>
  </si>
  <si>
    <t>Any feedback on results layout?</t>
  </si>
  <si>
    <t xml:space="preserve">Confirm we don't need it </t>
  </si>
  <si>
    <t>Check text please</t>
  </si>
  <si>
    <t>Check layout</t>
  </si>
  <si>
    <t>Check layout and comment on clarity/transparency</t>
  </si>
  <si>
    <t>Years eligible suffice/work</t>
  </si>
  <si>
    <t>MRY data input is clear. Conditional formatting works</t>
  </si>
  <si>
    <t>Company | Scope 1 emissions, no FLA (tCO2e)</t>
  </si>
  <si>
    <t>Company | Scope 1 emissions FLA (tCO2e)</t>
  </si>
  <si>
    <t>Company | Scope 2 emissions, no FLA (tCO2e)</t>
  </si>
  <si>
    <t>Company | Scope 2 emissions FLA (tCO2e)</t>
  </si>
  <si>
    <t>Scope 2 FLA adjustment</t>
  </si>
  <si>
    <t>Company | Scope 1 emissions (tCO2e)</t>
  </si>
  <si>
    <t>Company | Scope 2 emissions (tCO2e)</t>
  </si>
  <si>
    <t xml:space="preserve">Including both options for FLA check for SDA is challenging. Currently it is not included. </t>
  </si>
  <si>
    <t>Do we need to add it or suggest users a workaround?</t>
  </si>
  <si>
    <r>
      <rPr>
        <b/>
        <sz val="14"/>
        <color rgb="FFC00000"/>
        <rFont val="Arial"/>
        <family val="2"/>
      </rPr>
      <t>IMPORTANT:</t>
    </r>
    <r>
      <rPr>
        <sz val="14"/>
        <color rgb="FFC00000"/>
        <rFont val="Arial"/>
        <family val="2"/>
      </rPr>
      <t xml:space="preserve"> By using this tool you acknowledge that you have read, understood and agree to our Terms of Use and Disclaimer.</t>
    </r>
  </si>
  <si>
    <t xml:space="preserve">Keppel Land trial indicates that for their ABS target for scope 1 and 2 they would have to reduce 89.1% to be in line with 1.5C pathway. Previous version of the tool only indicates a 42% reduction to be in line with 1.5C pathway. </t>
  </si>
  <si>
    <t xml:space="preserve">Target year output for physical intensity scope 3 has an extra '.0' on the end, we might want to remove for consistency </t>
  </si>
  <si>
    <t>Keppel Land physical intensity scope 3 target data outputs a 51.6% reduction needed which equates to a 5.16% linear annual reduction as per the TVR</t>
  </si>
  <si>
    <t>Pop up window when hovering over MRY indicates a 15 year target timeframe still - update to 10 years max</t>
  </si>
  <si>
    <t xml:space="preserve">Calculation not working, reduction % stays the same regardless of which base year chosen </t>
  </si>
  <si>
    <t>When choosing 'target year output' the option of fixed market share is displayed underneath for data input instead of target year output</t>
  </si>
  <si>
    <t>When selecting 2021 or 2022 using power SDA, there are errors that pop up in the % reduction table but this does not occur when selecting 2020 or lower base years</t>
  </si>
  <si>
    <t>Not applicable as they were not on SDA drop down list</t>
  </si>
  <si>
    <t>yes companies will be very confused by this - it needs to be clear that it is only for scope 3 and not an option for scope 1 and 2</t>
  </si>
  <si>
    <t>Agreed but I think we should make this clearer in the text description in 'important notice'</t>
  </si>
  <si>
    <t>Growth projections for 'services - buildings' changes when selecting WB2C (18%) to 1.5C (19%)… is this intended?</t>
  </si>
  <si>
    <t xml:space="preserve">Base year cell in scope 3 tool still has a hover over text reading that 15 years target time frame is ok - update to 10 years max </t>
  </si>
  <si>
    <t xml:space="preserve">Crazy reduction outputs for SDA services buildings that are not in line with reality </t>
  </si>
  <si>
    <t xml:space="preserve">Unit is incorrect for SDA services buildings </t>
  </si>
  <si>
    <t>Conditional formatting for MRY is not working for power SDA (maybe all SDAs?)</t>
  </si>
  <si>
    <t>MRY data did not impact results of reduction for power SDA and it should….</t>
  </si>
  <si>
    <t>Graphs for power SDA should be 'generation' rather than scope 1</t>
  </si>
  <si>
    <t xml:space="preserve">Random comments and updates needed </t>
  </si>
  <si>
    <t>Change the warning for absolute contraction to only 'power generation emissions' rather than power sector companies</t>
  </si>
  <si>
    <t xml:space="preserve">Update blurb about FLA to be more user friendly </t>
  </si>
  <si>
    <t>TVT notes on specific changes</t>
  </si>
  <si>
    <t>Fixed mouse over text</t>
  </si>
  <si>
    <t>Ok, thank you</t>
  </si>
  <si>
    <t>Confirmed that dropdown will only include Power, Service and Residential buildings</t>
  </si>
  <si>
    <t>As per our conversation, WB2C SDA is not longer enabled in this tool version</t>
  </si>
  <si>
    <t>As agreed, users will be required to submit two tools (one with base year, one with MRY data)</t>
  </si>
  <si>
    <t>Clarified during call</t>
  </si>
  <si>
    <t>Fixed issue with FLA adjusting kicking in</t>
  </si>
  <si>
    <t>adjusted decimals</t>
  </si>
  <si>
    <t xml:space="preserve">Yes, but WB2C is now disabled </t>
  </si>
  <si>
    <t>corrected, thanks</t>
  </si>
  <si>
    <t>yes,conversion factors for buildings got misaligned with sectors in the Lists tab. This has been fixed</t>
  </si>
  <si>
    <t>fixed, thanks</t>
  </si>
  <si>
    <t>MRY data input is now disabled for SDA calcs</t>
  </si>
  <si>
    <t>changed</t>
  </si>
  <si>
    <t>% FLA Adjustment</t>
  </si>
  <si>
    <t>% Reduction to date</t>
  </si>
  <si>
    <t>Select a base year</t>
  </si>
  <si>
    <t>Select a target year</t>
  </si>
  <si>
    <t>Thank you Emma for your review</t>
  </si>
  <si>
    <t>Hid rows for unused sector data</t>
  </si>
  <si>
    <t>Added to wish list for next tool version</t>
  </si>
  <si>
    <t>MRY | Scope 1 emissions</t>
  </si>
  <si>
    <t>Please test again</t>
  </si>
  <si>
    <t>Fixed, please test again</t>
  </si>
  <si>
    <t xml:space="preserve">Please suggest text to add </t>
  </si>
  <si>
    <t>LAR increases significantly since the new rate is 7% compounded</t>
  </si>
  <si>
    <t>McKenna responses</t>
  </si>
  <si>
    <t>Ok now</t>
  </si>
  <si>
    <t>I think we will do this on the website rather than within the tool. However, maybe we could add like a '*' next to the residential building option so companies are aware</t>
  </si>
  <si>
    <t>yay great</t>
  </si>
  <si>
    <t>Yes great!</t>
  </si>
  <si>
    <t>great thanks!</t>
  </si>
  <si>
    <t>hahaha</t>
  </si>
  <si>
    <t>Timeline counter</t>
  </si>
  <si>
    <t>0.0</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</si>
  <si>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</si>
  <si>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For additional terms and definitions, consult the SBTi glossary: http://sciencebasedtargets.org/glossary</t>
  </si>
  <si>
    <t xml:space="preserve">SBTi Step by step process </t>
  </si>
  <si>
    <t>SBTi Resources</t>
  </si>
  <si>
    <t>SBTi Corporate Target Submission Form</t>
  </si>
  <si>
    <t>SBTi Sector Guidance</t>
  </si>
  <si>
    <t>Enter your company name</t>
  </si>
  <si>
    <t>Near-Term Scope 1 SBT Formulation</t>
  </si>
  <si>
    <t>Near-Term Scope 2 SBT Formulation</t>
  </si>
  <si>
    <t>Near-Term Scope 1+2 SBT Formulation</t>
  </si>
  <si>
    <t xml:space="preserve">SBTi Criteria and Recommendations </t>
  </si>
  <si>
    <t>SBTi Criteria Assessment Indicators</t>
  </si>
  <si>
    <t>SBTi Procedure for Validation of SBTi Targets</t>
  </si>
  <si>
    <t>SBTi Corporate Net-Zero Standard</t>
  </si>
  <si>
    <t>Advanced</t>
  </si>
  <si>
    <t>China</t>
  </si>
  <si>
    <t>EMDE</t>
  </si>
  <si>
    <t>Global</t>
  </si>
  <si>
    <t>LCVs</t>
  </si>
  <si>
    <r>
      <t xml:space="preserve">How to navigate this tool </t>
    </r>
    <r>
      <rPr>
        <b/>
        <sz val="20"/>
        <color rgb="FFFF0000"/>
        <rFont val="Arial"/>
        <family val="2"/>
      </rPr>
      <t xml:space="preserve"> - TO BE UPDATED -</t>
    </r>
  </si>
  <si>
    <t>Vehicle category</t>
  </si>
  <si>
    <t>Legacy WTW (B2DS)</t>
  </si>
  <si>
    <t>WTW emissions intensity LDV</t>
  </si>
  <si>
    <t>Reduction relative to 2020</t>
  </si>
  <si>
    <t>Reduction relative to 2018</t>
  </si>
  <si>
    <t>Reduction relative to 2022</t>
  </si>
  <si>
    <t>Comparison of target ambition on WtW basis</t>
  </si>
  <si>
    <t>Test case 1</t>
  </si>
  <si>
    <t>ITF</t>
  </si>
  <si>
    <t>SFC</t>
  </si>
  <si>
    <t>Test case 2</t>
  </si>
  <si>
    <t>Reduction relative to 2016</t>
  </si>
  <si>
    <t>Flow</t>
  </si>
  <si>
    <t>Vehicle Category</t>
  </si>
  <si>
    <t>2011</t>
  </si>
  <si>
    <t>2012</t>
  </si>
  <si>
    <t>2013</t>
  </si>
  <si>
    <t>2010</t>
  </si>
  <si>
    <t>SS</t>
  </si>
  <si>
    <t>Model sheet</t>
  </si>
  <si>
    <t>Sales share</t>
  </si>
  <si>
    <t>LCint</t>
  </si>
  <si>
    <t>Shares of sales per region</t>
  </si>
  <si>
    <t xml:space="preserve">Target year </t>
  </si>
  <si>
    <r>
      <t xml:space="preserve">SBTi online resources  </t>
    </r>
    <r>
      <rPr>
        <b/>
        <sz val="20"/>
        <color rgb="FFFF0000"/>
        <rFont val="Arial"/>
        <family val="2"/>
      </rPr>
      <t xml:space="preserve">- TO BE UPDATED - </t>
    </r>
  </si>
  <si>
    <t>Base year | Scope 1 emissions</t>
  </si>
  <si>
    <t>gCO2e/vkm</t>
  </si>
  <si>
    <t>GHG emissions intensity (gCO2e/vkm) by region on LC Basis</t>
  </si>
  <si>
    <t>Graph 1 | Absolute contraction 1.5C</t>
  </si>
  <si>
    <t xml:space="preserve">Base year </t>
  </si>
  <si>
    <t>Metric</t>
  </si>
  <si>
    <t>share of sales</t>
  </si>
  <si>
    <t>grams of CO2e per vehicle-kilometer</t>
  </si>
  <si>
    <t>Most recent year</t>
  </si>
  <si>
    <t>Cb</t>
  </si>
  <si>
    <t>Cy</t>
  </si>
  <si>
    <t>Benchmark | GHG emissions intensity by region on LC Basis</t>
  </si>
  <si>
    <t>Benchmark | Shares of sales per region</t>
  </si>
  <si>
    <t>Base year | Life-cycle intensity (average)</t>
  </si>
  <si>
    <t>Base year | Sales share (average)</t>
  </si>
  <si>
    <t>Tb</t>
  </si>
  <si>
    <t>Benchmark | Normative trajectory value in year b</t>
  </si>
  <si>
    <t>% difference</t>
  </si>
  <si>
    <t>Near-term life-cycle target formulation</t>
  </si>
  <si>
    <t>Near-term sales share target formulation</t>
  </si>
  <si>
    <t>Annual reduction 1.5C (2020 - 2030)</t>
  </si>
  <si>
    <t>Annual reduction 1.5C (&gt; 2020)</t>
  </si>
  <si>
    <t>Annual reduction 1.5C (&gt; 2030)</t>
  </si>
  <si>
    <t>Absolute contraction targets</t>
  </si>
  <si>
    <t>Absolute contraction targets | Scope 1 and 2</t>
  </si>
  <si>
    <t>Percentage of low-emission vehicle sales in selected region</t>
  </si>
  <si>
    <t>Method</t>
  </si>
  <si>
    <t>Same as above</t>
  </si>
  <si>
    <t>Please refer to the SBTi Automotive Standard</t>
  </si>
  <si>
    <t xml:space="preserve">Section 1: </t>
  </si>
  <si>
    <t xml:space="preserve">Section 2: </t>
  </si>
  <si>
    <t xml:space="preserve">Section 3:  </t>
  </si>
  <si>
    <t xml:space="preserve">Section 4: </t>
  </si>
  <si>
    <t>Review all target modelling output data.</t>
  </si>
  <si>
    <t>Near-term target setting tool for Automakers | User Guide</t>
  </si>
  <si>
    <t>Required Input</t>
  </si>
  <si>
    <t>Calculations / Results</t>
  </si>
  <si>
    <t>Same as Section 1 above</t>
  </si>
  <si>
    <t>Absolute contraction approach</t>
  </si>
  <si>
    <t>Convergence approach</t>
  </si>
  <si>
    <t>Percent improvement approach</t>
  </si>
  <si>
    <r>
      <t xml:space="preserve">Absolute emission reduction targets for Scope 1 and 2. Input emissions data as required to calculate targets using the </t>
    </r>
    <r>
      <rPr>
        <b/>
        <u/>
        <sz val="10"/>
        <rFont val="Arial"/>
        <family val="2"/>
      </rPr>
      <t>absolute contraction approach</t>
    </r>
    <r>
      <rPr>
        <sz val="10"/>
        <rFont val="Arial"/>
        <family val="2"/>
      </rPr>
      <t>.</t>
    </r>
  </si>
  <si>
    <r>
      <t xml:space="preserve">Life-cycle intensity and sales share targets for LDVs. Input life-cycle intensity data (gCO2e/vkm) and sales shares (%) per relevant geography to calculate targets using the </t>
    </r>
    <r>
      <rPr>
        <b/>
        <u/>
        <sz val="10"/>
        <rFont val="Arial"/>
        <family val="2"/>
      </rPr>
      <t>convergence approach</t>
    </r>
    <r>
      <rPr>
        <sz val="10"/>
        <rFont val="Arial"/>
        <family val="2"/>
      </rPr>
      <t xml:space="preserve">. </t>
    </r>
  </si>
  <si>
    <t>Array formula</t>
  </si>
  <si>
    <t>Select most recent year of available data</t>
  </si>
  <si>
    <t>Low-emissions vehicle sales share convergence method</t>
  </si>
  <si>
    <t>Absolute contraction method | Scopes 1 and 2</t>
  </si>
  <si>
    <t>draft version - do not circulate</t>
  </si>
  <si>
    <t xml:space="preserve">Version: </t>
  </si>
  <si>
    <t>% 
reduction</t>
  </si>
  <si>
    <t xml:space="preserve">Target modelling results </t>
  </si>
  <si>
    <t>&lt; COPY ROW</t>
  </si>
  <si>
    <t>INPUT REQUIRED</t>
  </si>
  <si>
    <t>Single road vehicle category</t>
  </si>
  <si>
    <t>Single road Vehicle category</t>
  </si>
  <si>
    <t>Automakers | Near-term targets</t>
  </si>
  <si>
    <t>Target Aggregator</t>
  </si>
  <si>
    <t>Front end of the target setting tool aimed at modelling SBTs for road vehicles using convergence and percent improvement approaches</t>
  </si>
  <si>
    <t>Tool for aggregating eligible target types (for same vehicle category and same target-setting approach) based on weighted averages</t>
  </si>
  <si>
    <t>Data and calculations used in modelling life-cycle and low-emission sales share targets. Backend data uses proprietary data and is password protected.</t>
  </si>
  <si>
    <t>ABC Motors</t>
  </si>
  <si>
    <t>Automotive standard criteria</t>
  </si>
  <si>
    <t>AMSS-C6: Companies shall set targets to reduce combined scope 1 and 2 emissions</t>
  </si>
  <si>
    <t>AMSS-C7: Companies shall set targets to increase their low-emission vehicle sales share covering their overall annual vehicle sales/registration portfolio for the target base year</t>
  </si>
  <si>
    <t>AMSS-C5: Companies shall set targets to reduce vehicle life-cycle emission intensity covering their overall annual vehicle sales/registration portfolio</t>
  </si>
  <si>
    <t>Advanced Economies</t>
  </si>
  <si>
    <t>Emerging Markets and Developing Economies</t>
  </si>
  <si>
    <t>Medium Duty Trucks</t>
  </si>
  <si>
    <t>Medium duty trucks</t>
  </si>
  <si>
    <t>Heavy duty trucks</t>
  </si>
  <si>
    <t>2&amp;3 wheelers</t>
  </si>
  <si>
    <r>
      <t>Life-cycle intensity and sales share targets for 2-3 wheelers, buses and minibuses, medium and heavy duty trucks. Input life-cycle intensity data (gCO2e/vkm) and sales shares (%) per relevant geography to calculate targets using the</t>
    </r>
    <r>
      <rPr>
        <b/>
        <u/>
        <sz val="10"/>
        <rFont val="Arial"/>
        <family val="2"/>
      </rPr>
      <t xml:space="preserve"> percent improvement approach and the convergence approach,</t>
    </r>
    <r>
      <rPr>
        <sz val="10"/>
        <rFont val="Arial"/>
        <family val="2"/>
      </rPr>
      <t xml:space="preserve"> respectively.</t>
    </r>
  </si>
  <si>
    <t>PLDVs</t>
  </si>
  <si>
    <r>
      <t xml:space="preserve">Section 2. Near-term life-cycle intensity and low-emission vehicle sales share targets </t>
    </r>
    <r>
      <rPr>
        <b/>
        <sz val="14"/>
        <color rgb="FFC00000"/>
        <rFont val="Arial"/>
        <family val="2"/>
      </rPr>
      <t>(PLDVs &amp; LCVs)</t>
    </r>
  </si>
  <si>
    <r>
      <t xml:space="preserve">Section 3. Near-term life-cycle intensity and low-emission vehicle sales share targets </t>
    </r>
    <r>
      <rPr>
        <b/>
        <sz val="14"/>
        <color rgb="FFC00000"/>
        <rFont val="Arial"/>
        <family val="2"/>
      </rPr>
      <t>(2&amp;3 wheelers, buses &amp; minibuses, medium and heavy duty trucks)</t>
    </r>
  </si>
  <si>
    <t>SECTION 1: SCOPE 1 AND SCOPE 2 ABSOLUTE CONTRACTION TARGETS</t>
  </si>
  <si>
    <t>Vehicle cycle</t>
  </si>
  <si>
    <t>GHG emission intensity of autopart manufacturing</t>
  </si>
  <si>
    <t>Net Zero Scope 1+2 SBT Formulation</t>
  </si>
  <si>
    <t>ABC Motors commits to reduce scope 1 and 2 emissions 89% by 2040 from a 2022 base year</t>
  </si>
  <si>
    <t xml:space="preserve">Section 3: </t>
  </si>
  <si>
    <t>Section 1. Scope 1 and 2 targets</t>
  </si>
  <si>
    <t>Vehicle category for sold autoparts</t>
  </si>
  <si>
    <t xml:space="preserve">Section 2:  </t>
  </si>
  <si>
    <t>Section X. Scope 1 and 2 targets</t>
  </si>
  <si>
    <t>NFG</t>
  </si>
  <si>
    <t>AUTOMAKERS SECTION 2: TARGET CALCULATIONS FOR 2&amp;3 WHEELERS, BUSES, MEDIUM AND HEAVY DUTY TRUCKS</t>
  </si>
  <si>
    <t>AUTOPART MANUFACTURERS</t>
  </si>
  <si>
    <t xml:space="preserve">Acronyms and definitions </t>
  </si>
  <si>
    <t xml:space="preserve">References </t>
  </si>
  <si>
    <t>Select a geography</t>
  </si>
  <si>
    <t>Select a vehicle category</t>
  </si>
  <si>
    <t>VCint</t>
  </si>
  <si>
    <t>2051</t>
  </si>
  <si>
    <t>2052</t>
  </si>
  <si>
    <t>2053</t>
  </si>
  <si>
    <t>2054</t>
  </si>
  <si>
    <t>2055</t>
  </si>
  <si>
    <t>2056</t>
  </si>
  <si>
    <t>2057</t>
  </si>
  <si>
    <t>2058</t>
  </si>
  <si>
    <t>2059</t>
  </si>
  <si>
    <t>2060</t>
  </si>
  <si>
    <t>Passenger cars</t>
  </si>
  <si>
    <t>Buses</t>
  </si>
  <si>
    <r>
      <t xml:space="preserve">Section 2. Target setting for non light-duty vehicles </t>
    </r>
    <r>
      <rPr>
        <b/>
        <sz val="14"/>
        <color rgb="FF7030A0"/>
        <rFont val="Arial"/>
        <family val="2"/>
      </rPr>
      <t>(2&amp;3 wheelers, buses, medium and heavy duty trucks)</t>
    </r>
  </si>
  <si>
    <t>Materials (aggregate - scope 3 cat 1)</t>
  </si>
  <si>
    <t>All</t>
  </si>
  <si>
    <t>Materials</t>
  </si>
  <si>
    <t>Mat</t>
  </si>
  <si>
    <t>WtWInt</t>
  </si>
  <si>
    <t>Fuel Cycle</t>
  </si>
  <si>
    <t xml:space="preserve">GHG emission intensity of emission intensity of powertrains </t>
  </si>
  <si>
    <t>AUTOMAKERS SECTION 1: TARGET CALCULATIONS FOR LIGHT-DUTY VEHICLES</t>
  </si>
  <si>
    <r>
      <t xml:space="preserve">Section 1. Target setting for light-duty vehicles </t>
    </r>
    <r>
      <rPr>
        <b/>
        <sz val="14"/>
        <color rgb="FF7030A0"/>
        <rFont val="Arial"/>
        <family val="2"/>
      </rPr>
      <t>(Passenger cars and LCVs)</t>
    </r>
  </si>
  <si>
    <t>Benchmark | GHG emissions intensity by region on WtW Basis</t>
  </si>
  <si>
    <t>gCO2e/part</t>
  </si>
  <si>
    <t>International Transport Forum</t>
  </si>
  <si>
    <t>STEPS</t>
  </si>
  <si>
    <t>Stated policies scenario</t>
  </si>
  <si>
    <t>APS</t>
  </si>
  <si>
    <t>NZE</t>
  </si>
  <si>
    <t>Net-zero scenario</t>
  </si>
  <si>
    <t>Announced Pledges Scenarios (International Energy Agency)</t>
  </si>
  <si>
    <t>Grams of carbon dioxide equivalent per vehicle kilometer</t>
  </si>
  <si>
    <t>Grams of carbon dioxide equivalent per autopart manufactured</t>
  </si>
  <si>
    <t>LDV</t>
  </si>
  <si>
    <t>Light duty vehicle</t>
  </si>
  <si>
    <t>LCV</t>
  </si>
  <si>
    <t>Light commercial vehicle</t>
  </si>
  <si>
    <t>Two- and three-wheeled vehicles</t>
  </si>
  <si>
    <t>WTT</t>
  </si>
  <si>
    <t>TTW</t>
  </si>
  <si>
    <t>WTW</t>
  </si>
  <si>
    <t>Well-to-tank</t>
  </si>
  <si>
    <t>Tank-to-wheel</t>
  </si>
  <si>
    <t>Well-to-wheel</t>
  </si>
  <si>
    <t>Draft for internal beta-testing / SBTi review</t>
  </si>
  <si>
    <t>Released for public consultation</t>
  </si>
  <si>
    <r>
      <t xml:space="preserve">SBTi Automotive Target-Setting Tool | </t>
    </r>
    <r>
      <rPr>
        <b/>
        <sz val="22"/>
        <color rgb="FFFF0000"/>
        <rFont val="Arial"/>
        <family val="2"/>
      </rPr>
      <t>DRAFT VERSION</t>
    </r>
  </si>
  <si>
    <t>% change</t>
  </si>
  <si>
    <t>Note: For a complete list of references used in developing benchmark trajectories please refer to the SBTi Automotive Sector Net Zero Standard</t>
  </si>
  <si>
    <t>Vehicle-cycle trajectories corrected for increases in emissions intensity occurring between 2022-2025</t>
  </si>
  <si>
    <t>Company name</t>
  </si>
  <si>
    <t xml:space="preserve"> Aggregated emission intensity target formulation</t>
  </si>
  <si>
    <t>Low-emissions vehicle sales share target formulation</t>
  </si>
  <si>
    <t>Scope 3 category 11 target formulation</t>
  </si>
  <si>
    <t>Target setting tool for Automakers | User Guide</t>
  </si>
  <si>
    <t>Target setting tool for Autoparts | User Guide</t>
  </si>
  <si>
    <t>IMPORTANT NOTICE: The SBTi released this draft version of the Automotive Target-Setting tool solely for informative purposes to allow interested parties to test sector-specific criteria and benchmarks during the public consultation phase. Please note that there could be minor text misalignments between this tool and the draft standard.</t>
  </si>
  <si>
    <t>June 2025</t>
  </si>
  <si>
    <t>transport@sciencebasedtargets.org</t>
  </si>
  <si>
    <t>China region</t>
  </si>
  <si>
    <t>Low-emissions vehicle sales share | convergence method</t>
  </si>
  <si>
    <t>Scope 3  category 11 fuel-cycle intensity for LDV powertrains | convergence method</t>
  </si>
  <si>
    <t>Scope 3 category 11 emissions intensity, in base year</t>
  </si>
  <si>
    <t>Scope 3 category 11 emissions intensity, in year y</t>
  </si>
  <si>
    <t>Scope 3 category 11 intensity target</t>
  </si>
  <si>
    <t>Scope 3 category 11 fuel-cycle intensity for non LDV powertrains | percent improvement method</t>
  </si>
  <si>
    <t>LEV</t>
  </si>
  <si>
    <t>Low-emissions vehicle</t>
  </si>
  <si>
    <t>Scope 3 category 11 intensity target formulation</t>
  </si>
  <si>
    <t>Base year | Scope 3 Category 11 fuel-cycle intensity</t>
  </si>
  <si>
    <t>Aggregated GHG emissions intensity 
(gCO2e/vkm)</t>
  </si>
  <si>
    <t>Aggregated emissions intensity 
(gCO2e/vkm)</t>
  </si>
  <si>
    <t>July 2025</t>
  </si>
  <si>
    <t>Released for public consultation with updated sales shares trajectories</t>
  </si>
  <si>
    <t>Released for 2nd public consultation with revisions described in 2nd Public Consultation Main Changes Document for the First Public Consultation of the Automotive Sector Net Zero Standard</t>
  </si>
  <si>
    <t>Activity 
Projected annual sales per region in Target Year
(units)</t>
  </si>
  <si>
    <t>--</t>
  </si>
  <si>
    <t>gCO2e/tonne</t>
  </si>
  <si>
    <t>Updated 28/10: JET and MD</t>
  </si>
  <si>
    <t>gCO2e/tonne parts</t>
  </si>
  <si>
    <t>2061</t>
  </si>
  <si>
    <t>&lt; PASTE ROWS (USE "PASTE SPECIAL --&gt; VALUES")</t>
  </si>
  <si>
    <t>Base year | Zero-emission vehicle sales share (average)</t>
  </si>
  <si>
    <t>Percentage of zero-emission vehicle sales in selected region</t>
  </si>
  <si>
    <t>Base year | Use-phase emission intensity (average)</t>
  </si>
  <si>
    <t>Use-phase emissions intensity | convergence method</t>
  </si>
  <si>
    <t>Benchmark | Use-phase GHG emissions intensity by region</t>
  </si>
  <si>
    <t>Zero-emission vehicle sales share 
(%)</t>
  </si>
  <si>
    <t>Use-phase emissions intensity 
(gCO2e/vkm)</t>
  </si>
  <si>
    <t>FCint</t>
  </si>
  <si>
    <t>Section 3. All target modelling data</t>
  </si>
  <si>
    <t>Use-phase emissions intensity | percent improvement method</t>
  </si>
  <si>
    <t>Fcint</t>
  </si>
  <si>
    <t>AMSS-C3: Companies shall set near-term and long-term targets either to reduce scope 3 category 11 use-phase emissions intensity or to increase the share of zero- and near-zero-emission vehicle sales share, or both. Targets on scope 3 category 11 emissions shall be set according to this criterion.</t>
  </si>
  <si>
    <t>AMSS-C4: Companies shall set near-term and long-term targets either to reduce scope 3 category 11 use-phase emissions intensity or to increase the share of zero- and near-zero-emission vehicle sales share, or both. Targets on zero- and near-zero-emission vehicle sales share shall be set according to this criterion.</t>
  </si>
  <si>
    <r>
      <t xml:space="preserve">Section 1. Target setting for manufacturers of powertrains for light-duty vehicles </t>
    </r>
    <r>
      <rPr>
        <b/>
        <sz val="14"/>
        <color rgb="FF7030A0"/>
        <rFont val="Arial"/>
        <family val="2"/>
      </rPr>
      <t>(Passenger cars and LCVs)</t>
    </r>
  </si>
  <si>
    <r>
      <t xml:space="preserve">Section 2. Target setting for manufacturers of powertrains for non light-duty vehicles </t>
    </r>
    <r>
      <rPr>
        <b/>
        <sz val="14"/>
        <color rgb="FF7030A0"/>
        <rFont val="Arial"/>
        <family val="2"/>
      </rPr>
      <t>(2&amp;3 wheelers, buses, medium and heavy duty trucks)</t>
    </r>
  </si>
  <si>
    <t>APSS-C3: Companies shall set near-term and long-term targets to address scope 3 category 11 emissions using any applicable method for powertrain suppliers.</t>
  </si>
  <si>
    <t>February 2026</t>
  </si>
  <si>
    <t>Table 1 - Passenger cars and LCVs use-phase emission intensity targets (AMSS-C3)</t>
  </si>
  <si>
    <t>Table 2 - Passenger cars and LCVs use-phase emission intensity targets (AMSS-C3)</t>
  </si>
  <si>
    <t>Step 2: Review the aggregated target formulations for AMSS-C3</t>
  </si>
  <si>
    <t>Step 2: Review the aggregated target formulations for AMSS-C4 targets</t>
  </si>
  <si>
    <t>Table 1 - Passenger cars and LCVs ZEV sales share target (AMSS-C4)</t>
  </si>
  <si>
    <t>Table 2 - 2&amp;3 wheelers, buses &amp; minibuses, medium and heavy duty trucks ZEV sales share target (AMSS-C4)</t>
  </si>
  <si>
    <t>Table 3 - All Vehicle Types - Aggregated ZEV Sales Share Target (AMSS-C4)</t>
  </si>
  <si>
    <t>Aggregated target - ZEV sales share (AMSS-C4)</t>
  </si>
  <si>
    <t>Aggregated target - LDVs use-phase emissions intensity (AMSS-C3)</t>
  </si>
  <si>
    <t>Automakers use-phase emissions intensity target aggregation sheet (AMSS-C3) - Light-duty vehicles (Passenger cars and LCVs) only</t>
  </si>
  <si>
    <t>Automakers ZEV sales share target aggregation sheet (AMSS-C4) - All vehicle types</t>
  </si>
  <si>
    <t xml:space="preserve">International Transport Forum (2025), All-Out Scenario modelling in the International Transport Forum’s Transport Outlook, 2025 (ITF, forthcoming)
International Transport Forum (2020), Good to Go? Assessing the Environmental Performance of New Mobility
https://www.itf-oecd.org/good-go-assessing-environmental-performance-new-mobility
International Transport Forum (2024), Greener Micromobility
https://www.itf-oecd.org/greener-micromobility
Argonne National laboratory (2024), GREET Energy Systems and Infrastructure Analysis 
https://greet.anl.gov/
</t>
  </si>
  <si>
    <t>and/or</t>
  </si>
  <si>
    <t>20212</t>
  </si>
  <si>
    <t>Autoparts use-phase emissions intensity target aggregation sheet (APSS-C3) - Light-duty vehicles (Passenger cars and LCVs) only</t>
  </si>
  <si>
    <t>Step 2: Review the aggregated target formulations for APSS-C3</t>
  </si>
  <si>
    <t>Table 1 - Passenger cars and LCVs use-phase emission intensity targets (APSS-C3)</t>
  </si>
  <si>
    <t>Table 2 - Passenger cars and LCVs use-phase emission intensity targets (APSS-C3)</t>
  </si>
  <si>
    <t>Aggregated target - LDVs use-phase emissions intensity (APSS-C3)</t>
  </si>
  <si>
    <t>Although reasonable care was taken in the preparation of this Tool, the Science Based Targets initiative (SBTi) the Science Based Targets initiative (SBTi) affirms that the document is provided without warranty, either expressed or implied, of accuracy, completeness or fitness for purpose. The SBTi hereby further disclaims any liability, direct or indirect, for damages or loss relating to the use of this document to the fullest extent permitted by law. 
The information (including data) contained in this document is not intended to constitute or form the basis of any advice (financial or otherwise). 
The SBTi does not accept any liability for any claim or loss arising from any use of or reliance on any data or information.
The SBTi accepts no liability for the reliability of any information provided by third parties.
This document is protected by copyright. Information or material from this document may be reproduced only in unaltered form for personal, non-commercial use. All other rights are reserved. Information or material used from this document may be used only for the purposes of private study, research, criticism, or review permitted under the Copyright Designs &amp; Patents Act 1988 as amended from time to time ('Copyright Act'). Any reproduction permitted in accordance with the Copyright Act shall acknowledge this document as the source of any selected passage, extract, diagram, content or other information.
The SBTi reserves the right to revise this document according to a set revision schedule or as advisable to reflect the most recent emissions scenarios, regulatory, legal or scientific developments, or changes to GHG accounting best practices.
“Science Based Targets initiative” and “SBTi” refer to the Science Based Targets initiative, a private company registered in England number 14960097 and registered as a UK Charity number 1205768. 
© SBTi 2026</t>
  </si>
  <si>
    <t>Section 1 allows calculation of targets adhering to AMSS-C3 and/or AMSS-C4 for light-duty vehicles sold/registered in the selected base year. Users must enter, per each relevant vehicle category and geography, a) a single estimate of the use-phase GHG emission intensity (gCO2e/vkm), following the emissions boundary defined in criteria AMSS-C1, and/or b) zero-emission vehicle sales share (%) to calculate intensity targets in the selected target year.</t>
  </si>
  <si>
    <t>Section 2 allows calculation of targets adhering to AMSS-C3 and/or AMSS-C4 for non light-duty vehicles sold/registered in the selected base year. Users must enter, per each relevant vehicle category and geography, a) a single estimate of the use-phase GHG emission intensity (gCO2e/vkm), following the emissions boundary defined in criteria AMSS-C1, and/or b) zero-emission vehicle sales share (%) to calculate intensity targets in the selected target year.</t>
  </si>
  <si>
    <r>
      <t xml:space="preserve">Section 1 allows calculation of targets adhering to APSS-C3 for powertrains used in light-duty vehicles. Users must enter base year scope 3 category 11 emissions intensity (gCO2e/vkm) of powertrains used in light-duty vehicles on a Well-to-Wheel basis to calculate intenstiy targets in the selected target year </t>
    </r>
    <r>
      <rPr>
        <b/>
        <u/>
        <sz val="10"/>
        <rFont val="Arial"/>
        <family val="2"/>
      </rPr>
      <t xml:space="preserve"> (applies only to powertrain suppliers).</t>
    </r>
  </si>
  <si>
    <r>
      <t>Section 2 allows calculation of targets adhering to APSS-C3 for powertrains used in non light-duty vehicles. Users must enter base year scope 3 category 11 emissions intensity (gCO2e/vkm) of powertrains used in non light-duty vehicles on a Well-to-Wheel basis to calculate intenstiy targets in the selected target year  (</t>
    </r>
    <r>
      <rPr>
        <b/>
        <u/>
        <sz val="10"/>
        <rFont val="Arial"/>
        <family val="2"/>
      </rPr>
      <t>applies only to powertrain suppliers</t>
    </r>
    <r>
      <rPr>
        <sz val="10"/>
        <rFont val="Arial"/>
        <family val="2"/>
      </rPr>
      <t>).</t>
    </r>
  </si>
  <si>
    <t>Step 1: For LDVs per each selected region, after modelling targets in the Automaker's tab, results will populate in Table 1. Copy target results from Table 1 into Table 2. Add projected target year activity values as required in column G. Targets will be aggregated using a weighted average over relative share of target year activity.</t>
  </si>
  <si>
    <t>Step 1: For any vehicle type after modelling targets in the Automaker's tab, results will populate in Table 1 and/or 2. Copy target results from Tables 1 and 2 into Table 3. LDVs and non-LDVs are entered separately in the Automaker's tab, and are shown separately here, in Tables 1 and 2 respectively. Add projected target year activity values as required in column G. Targets will be aggregated using a weighted average over relative share of target year activity.</t>
  </si>
  <si>
    <t>Step 1: For powertrains used in LDVs per each selected region, after modelling targets in the Autoparts tab, results will populate in Table 1. Copy target results from Table 1 into Table 2. Add projected target year activity values as required in column G. Targets will be aggregated using a weighted average over relative share of target year activity.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</si>
</sst>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00"/>
    <numFmt numFmtId="167" formatCode="mmm\-yyyy"/>
  </numFmts>
  <fonts count="72" x14ac:knownFonts="1">
    <font>
      <sz val="10"/>
      <color theme="1"/>
      <name val="Arial"/>
      <family val="2"/>
    </font>
    <font>
      <sz val="11"/>
      <color theme="1"/>
      <name val="Calibri"/>
      <family val="2"/>
      <scheme val="minor"/>
    </font>
    <font>
      <b/>
      <sz val="10"/>
      <color theme="1"/>
      <name val="Arial"/>
      <family val="2"/>
    </font>
    <font>
      <sz val="18"/>
      <color theme="1"/>
      <name val="Arial"/>
      <family val="2"/>
    </font>
    <font>
      <sz val="11"/>
      <color theme="1"/>
      <name val="Calibri"/>
      <family val="2"/>
      <scheme val="minor"/>
    </font>
    <font>
      <sz val="10"/>
      <color theme="1"/>
      <name val="Arial"/>
      <family val="2"/>
    </font>
    <font>
      <sz val="9"/>
      <color theme="1"/>
      <name val="Arial"/>
      <family val="2"/>
    </font>
    <font>
      <i/>
      <sz val="10"/>
      <color theme="1"/>
      <name val="Arial"/>
      <family val="2"/>
    </font>
    <font>
      <b/>
      <sz val="11"/>
      <color theme="1"/>
      <name val="Calibri"/>
      <family val="2"/>
      <scheme val="minor"/>
    </font>
    <font>
      <b/>
      <sz val="14"/>
      <color theme="1"/>
      <name val="Arial"/>
      <family val="2"/>
    </font>
    <font>
      <sz val="12"/>
      <color theme="1"/>
      <name val="Arial"/>
      <family val="2"/>
    </font>
    <font>
      <sz val="11"/>
      <color theme="1"/>
      <name val="Arial"/>
      <family val="2"/>
    </font>
    <font>
      <b/>
      <sz val="12"/>
      <color theme="1"/>
      <name val="Arial"/>
      <family val="2"/>
    </font>
    <font>
      <b/>
      <sz val="24"/>
      <name val="Arial"/>
      <family val="2"/>
    </font>
    <font>
      <sz val="12"/>
      <color theme="1"/>
      <name val="Calibri"/>
      <family val="2"/>
      <scheme val="minor"/>
    </font>
    <font>
      <b/>
      <sz val="16"/>
      <color theme="5" tint="-0.499984740745262"/>
      <name val="Arial"/>
      <family val="2"/>
    </font>
    <font>
      <b/>
      <sz val="20"/>
      <color rgb="FF00546E"/>
      <name val="Arial"/>
      <family val="2"/>
    </font>
    <font>
      <u/>
      <sz val="12"/>
      <color theme="10"/>
      <name val="Calibri"/>
      <family val="2"/>
      <scheme val="minor"/>
    </font>
    <font>
      <u/>
      <sz val="10"/>
      <color theme="10"/>
      <name val="Arial"/>
      <family val="2"/>
    </font>
    <font>
      <sz val="10"/>
      <color rgb="FF00546E"/>
      <name val="Arial"/>
      <family val="2"/>
    </font>
    <font>
      <b/>
      <sz val="16"/>
      <color rgb="FF00546E"/>
      <name val="Arial"/>
      <family val="2"/>
    </font>
    <font>
      <sz val="10"/>
      <color theme="0"/>
      <name val="Arial"/>
      <family val="2"/>
    </font>
    <font>
      <sz val="11"/>
      <color theme="0"/>
      <name val="Arial"/>
      <family val="2"/>
    </font>
    <font>
      <b/>
      <sz val="22"/>
      <name val="Arial"/>
      <family val="2"/>
    </font>
    <font>
      <b/>
      <sz val="10"/>
      <color theme="0"/>
      <name val="Arial"/>
      <family val="2"/>
    </font>
    <font>
      <sz val="10"/>
      <color rgb="FFC00000"/>
      <name val="Arial"/>
      <family val="2"/>
    </font>
    <font>
      <b/>
      <sz val="12"/>
      <color theme="0"/>
      <name val="Arial"/>
      <family val="2"/>
    </font>
    <font>
      <sz val="11"/>
      <color rgb="FF44546A"/>
      <name val="Calibri"/>
      <family val="2"/>
    </font>
    <font>
      <u/>
      <sz val="12"/>
      <color theme="0"/>
      <name val="Arial"/>
      <family val="2"/>
    </font>
    <font>
      <b/>
      <u/>
      <sz val="11"/>
      <color theme="0"/>
      <name val="Arial"/>
      <family val="2"/>
    </font>
    <font>
      <sz val="14"/>
      <color theme="0"/>
      <name val="Arial"/>
      <family val="2"/>
    </font>
    <font>
      <sz val="10"/>
      <name val="Arial"/>
      <family val="2"/>
    </font>
    <font>
      <b/>
      <sz val="20"/>
      <color theme="0"/>
      <name val="Arial"/>
      <family val="2"/>
    </font>
    <font>
      <b/>
      <sz val="9"/>
      <color theme="1"/>
      <name val="Arial"/>
      <family val="2"/>
    </font>
    <font>
      <b/>
      <sz val="18"/>
      <color rgb="FFFF0000"/>
      <name val="Arial"/>
      <family val="2"/>
    </font>
    <font>
      <b/>
      <u/>
      <sz val="10"/>
      <color rgb="FFFF0000"/>
      <name val="Arial"/>
      <family val="2"/>
    </font>
    <font>
      <b/>
      <sz val="11"/>
      <color theme="1"/>
      <name val="Arial"/>
      <family val="2"/>
    </font>
    <font>
      <sz val="10"/>
      <color rgb="FFFF0000"/>
      <name val="Arial"/>
      <family val="2"/>
    </font>
    <font>
      <u/>
      <sz val="10"/>
      <color indexed="12"/>
      <name val="Arial"/>
      <family val="2"/>
    </font>
    <font>
      <sz val="10"/>
      <color rgb="FF7030A0"/>
      <name val="Arial"/>
      <family val="2"/>
    </font>
    <font>
      <b/>
      <sz val="10"/>
      <name val="Arial"/>
      <family val="2"/>
    </font>
    <font>
      <b/>
      <sz val="18"/>
      <color theme="1"/>
      <name val="Arial"/>
      <family val="2"/>
    </font>
    <font>
      <b/>
      <sz val="10"/>
      <color rgb="FFFF0000"/>
      <name val="Arial"/>
      <family val="2"/>
    </font>
    <font>
      <sz val="14"/>
      <color rgb="FFC00000"/>
      <name val="Arial"/>
      <family val="2"/>
    </font>
    <font>
      <b/>
      <sz val="14"/>
      <color rgb="FFC00000"/>
      <name val="Arial"/>
      <family val="2"/>
    </font>
    <font>
      <sz val="8"/>
      <name val="Arial"/>
      <family val="2"/>
    </font>
    <font>
      <b/>
      <sz val="20"/>
      <color rgb="FFFF0000"/>
      <name val="Arial"/>
      <family val="2"/>
    </font>
    <font>
      <b/>
      <sz val="22"/>
      <color rgb="FFFF0000"/>
      <name val="Arial"/>
      <family val="2"/>
    </font>
    <font>
      <sz val="8"/>
      <color rgb="FFFF0000"/>
      <name val="Arial"/>
      <family val="2"/>
    </font>
    <font>
      <b/>
      <sz val="11"/>
      <color rgb="FF000000"/>
      <name val="Calibri"/>
      <family val="2"/>
      <scheme val="minor"/>
    </font>
    <font>
      <b/>
      <sz val="16"/>
      <color theme="1"/>
      <name val="Arial"/>
      <family val="2"/>
    </font>
    <font>
      <sz val="11"/>
      <color rgb="FF000000"/>
      <name val="Arial"/>
      <family val="2"/>
    </font>
    <font>
      <b/>
      <u/>
      <sz val="10"/>
      <name val="Arial"/>
      <family val="2"/>
    </font>
    <font>
      <sz val="11"/>
      <name val="Arial"/>
      <family val="2"/>
    </font>
    <font>
      <sz val="10"/>
      <color theme="7"/>
      <name val="Arial"/>
      <family val="2"/>
    </font>
    <font>
      <sz val="11"/>
      <name val="Calibri"/>
      <family val="2"/>
    </font>
    <font>
      <b/>
      <sz val="24"/>
      <color rgb="FF3F3F3F"/>
      <name val="Arial"/>
      <family val="2"/>
    </font>
    <font>
      <b/>
      <sz val="36"/>
      <color rgb="FF3F3F3F"/>
      <name val="Arial"/>
      <family val="2"/>
    </font>
    <font>
      <b/>
      <u/>
      <sz val="12"/>
      <name val="Arial"/>
      <family val="2"/>
    </font>
    <font>
      <b/>
      <sz val="14"/>
      <color theme="0"/>
      <name val="Arial"/>
      <family val="2"/>
    </font>
    <font>
      <sz val="10"/>
      <name val="Calibri"/>
      <family val="2"/>
    </font>
    <font>
      <b/>
      <sz val="10"/>
      <color rgb="FFC00000"/>
      <name val="Arial"/>
      <family val="2"/>
    </font>
    <font>
      <b/>
      <sz val="12"/>
      <color rgb="FF00546E"/>
      <name val="Arial"/>
      <family val="2"/>
    </font>
    <font>
      <b/>
      <sz val="11"/>
      <name val="Arial"/>
      <family val="2"/>
    </font>
    <font>
      <i/>
      <u/>
      <sz val="10"/>
      <color theme="10"/>
      <name val="Arial"/>
      <family val="2"/>
    </font>
    <font>
      <b/>
      <sz val="14"/>
      <name val="Arial"/>
      <family val="2"/>
    </font>
    <font>
      <b/>
      <sz val="14"/>
      <color rgb="FF7030A0"/>
      <name val="Arial"/>
      <family val="2"/>
    </font>
    <font>
      <sz val="9"/>
      <color rgb="FFFF0000"/>
      <name val="Arial"/>
      <family val="2"/>
    </font>
    <font>
      <b/>
      <sz val="9"/>
      <color rgb="FFFF0000"/>
      <name val="Arial"/>
      <family val="2"/>
    </font>
    <font>
      <sz val="8"/>
      <color theme="1"/>
      <name val="Arial"/>
      <family val="2"/>
    </font>
    <font>
      <b/>
      <sz val="11"/>
      <color theme="0"/>
      <name val="Arial"/>
      <family val="2"/>
    </font>
    <font>
      <sz val="9"/>
      <color theme="0" tint="-0.14999847407452621"/>
      <name val="Arial"/>
      <family val="2"/>
    </font>
  </fonts>
  <fills count="25">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7D379"/>
        <bgColor indexed="64"/>
      </patternFill>
    </fill>
    <fill>
      <patternFill patternType="solid">
        <fgColor rgb="FF00546E"/>
        <bgColor indexed="64"/>
      </patternFill>
    </fill>
    <fill>
      <patternFill patternType="solid">
        <fgColor rgb="FFF5A81C"/>
        <bgColor indexed="64"/>
      </patternFill>
    </fill>
    <fill>
      <patternFill patternType="solid">
        <fgColor rgb="FF00759A"/>
        <bgColor indexed="64"/>
      </patternFill>
    </fill>
    <fill>
      <patternFill patternType="solid">
        <fgColor rgb="FFC00000"/>
        <bgColor indexed="64"/>
      </patternFill>
    </fill>
    <fill>
      <patternFill patternType="solid">
        <fgColor rgb="FFFFFF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rgb="FFFFE598"/>
        <bgColor rgb="FFFFE598"/>
      </patternFill>
    </fill>
    <fill>
      <patternFill patternType="solid">
        <fgColor rgb="FF00546E"/>
        <bgColor rgb="FF00546E"/>
      </patternFill>
    </fill>
    <fill>
      <patternFill patternType="solid">
        <fgColor rgb="FFA5A5A5"/>
        <bgColor rgb="FFA5A5A5"/>
      </patternFill>
    </fill>
    <fill>
      <patternFill patternType="solid">
        <fgColor theme="0" tint="-0.499984740745262"/>
        <bgColor rgb="FF00546E"/>
      </patternFill>
    </fill>
    <fill>
      <patternFill patternType="solid">
        <fgColor rgb="FFF7D379"/>
        <bgColor rgb="FFFFCC66"/>
      </patternFill>
    </fill>
    <fill>
      <patternFill patternType="solid">
        <fgColor theme="9"/>
        <bgColor indexed="64"/>
      </patternFill>
    </fill>
    <fill>
      <patternFill patternType="solid">
        <fgColor rgb="FF7030A0"/>
        <bgColor indexed="64"/>
      </patternFill>
    </fill>
    <fill>
      <patternFill patternType="solid">
        <fgColor theme="8" tint="0.79998168889431442"/>
        <bgColor theme="8" tint="0.79998168889431442"/>
      </patternFill>
    </fill>
    <fill>
      <patternFill patternType="solid">
        <fgColor rgb="FFF7D379"/>
        <bgColor rgb="FFFFE598"/>
      </patternFill>
    </fill>
    <fill>
      <patternFill patternType="solid">
        <fgColor theme="8" tint="0.79998168889431442"/>
        <bgColor indexed="64"/>
      </patternFill>
    </fill>
  </fills>
  <borders count="32">
    <border>
      <left/>
      <right/>
      <top/>
      <bottom/>
      <diagonal/>
    </border>
    <border>
      <left/>
      <right/>
      <top/>
      <bottom style="thin">
        <color rgb="FF00546E"/>
      </bottom>
      <diagonal/>
    </border>
    <border>
      <left/>
      <right/>
      <top style="thin">
        <color rgb="FF00546E"/>
      </top>
      <bottom/>
      <diagonal/>
    </border>
    <border>
      <left/>
      <right/>
      <top style="thick">
        <color theme="0"/>
      </top>
      <bottom/>
      <diagonal/>
    </border>
    <border>
      <left/>
      <right/>
      <top/>
      <bottom style="thick">
        <color theme="0"/>
      </bottom>
      <diagonal/>
    </border>
    <border>
      <left/>
      <right/>
      <top style="thick">
        <color theme="0"/>
      </top>
      <bottom style="thick">
        <color theme="0"/>
      </bottom>
      <diagonal/>
    </border>
    <border>
      <left/>
      <right style="thick">
        <color theme="0"/>
      </right>
      <top/>
      <bottom style="thick">
        <color theme="0"/>
      </bottom>
      <diagonal/>
    </border>
    <border>
      <left style="thick">
        <color theme="0"/>
      </left>
      <right/>
      <top/>
      <bottom style="thick">
        <color theme="0"/>
      </bottom>
      <diagonal/>
    </border>
    <border>
      <left/>
      <right style="thick">
        <color theme="0"/>
      </right>
      <top style="thick">
        <color theme="0"/>
      </top>
      <bottom/>
      <diagonal/>
    </border>
    <border>
      <left style="thick">
        <color theme="0"/>
      </left>
      <right/>
      <top style="thick">
        <color theme="0"/>
      </top>
      <bottom/>
      <diagonal/>
    </border>
    <border>
      <left/>
      <right/>
      <top style="thin">
        <color rgb="FF00546E"/>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bottom style="medium">
        <color rgb="FF000000"/>
      </bottom>
      <diagonal/>
    </border>
    <border>
      <left style="thick">
        <color theme="0"/>
      </left>
      <right/>
      <top/>
      <bottom/>
      <diagonal/>
    </border>
    <border>
      <left style="thick">
        <color theme="0"/>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ck">
        <color theme="0"/>
      </right>
      <top style="thin">
        <color theme="0"/>
      </top>
      <bottom style="thin">
        <color theme="0"/>
      </bottom>
      <diagonal/>
    </border>
    <border>
      <left style="thick">
        <color theme="0"/>
      </left>
      <right/>
      <top style="thin">
        <color theme="0"/>
      </top>
      <bottom style="thin">
        <color theme="0"/>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
      <left style="thick">
        <color theme="0"/>
      </left>
      <right/>
      <top/>
      <bottom style="thin">
        <color theme="0"/>
      </bottom>
      <diagonal/>
    </border>
    <border>
      <left style="thick">
        <color theme="0"/>
      </left>
      <right style="thick">
        <color theme="0"/>
      </right>
      <top style="medium">
        <color theme="0"/>
      </top>
      <bottom style="thick">
        <color theme="0"/>
      </bottom>
      <diagonal/>
    </border>
    <border>
      <left style="thick">
        <color theme="0"/>
      </left>
      <right/>
      <top style="medium">
        <color theme="0"/>
      </top>
      <bottom style="thick">
        <color theme="0"/>
      </bottom>
      <diagonal/>
    </border>
    <border>
      <left style="medium">
        <color theme="0"/>
      </left>
      <right style="medium">
        <color theme="0"/>
      </right>
      <top style="medium">
        <color theme="0"/>
      </top>
      <bottom style="medium">
        <color theme="0"/>
      </bottom>
      <diagonal/>
    </border>
    <border>
      <left style="thick">
        <color theme="0"/>
      </left>
      <right/>
      <top style="medium">
        <color theme="0"/>
      </top>
      <bottom/>
      <diagonal/>
    </border>
    <border>
      <left style="thick">
        <color theme="0"/>
      </left>
      <right style="medium">
        <color theme="0"/>
      </right>
      <top style="medium">
        <color theme="0"/>
      </top>
      <bottom style="thick">
        <color theme="0"/>
      </bottom>
      <diagonal/>
    </border>
    <border>
      <left/>
      <right style="medium">
        <color theme="0"/>
      </right>
      <top style="thick">
        <color theme="0"/>
      </top>
      <bottom/>
      <diagonal/>
    </border>
    <border>
      <left/>
      <right/>
      <top style="thick">
        <color theme="0"/>
      </top>
      <bottom style="medium">
        <color theme="0"/>
      </bottom>
      <diagonal/>
    </border>
    <border>
      <left style="thick">
        <color theme="0"/>
      </left>
      <right/>
      <top style="thick">
        <color theme="0"/>
      </top>
      <bottom style="medium">
        <color theme="0"/>
      </bottom>
      <diagonal/>
    </border>
  </borders>
  <cellStyleXfs count="10">
    <xf numFmtId="0" fontId="0" fillId="0" borderId="0"/>
    <xf numFmtId="0" fontId="4" fillId="0" borderId="0"/>
    <xf numFmtId="9" fontId="5" fillId="0" borderId="0" applyFont="0" applyFill="0" applyBorder="0" applyAlignment="0" applyProtection="0"/>
    <xf numFmtId="0" fontId="1" fillId="0" borderId="0"/>
    <xf numFmtId="0" fontId="14" fillId="0" borderId="0"/>
    <xf numFmtId="9" fontId="14" fillId="0" borderId="0" applyFont="0" applyFill="0" applyBorder="0" applyAlignment="0" applyProtection="0"/>
    <xf numFmtId="0" fontId="17" fillId="0" borderId="0" applyNumberFormat="0" applyFill="0" applyBorder="0" applyAlignment="0" applyProtection="0"/>
    <xf numFmtId="0" fontId="31" fillId="0" borderId="0"/>
    <xf numFmtId="0" fontId="38" fillId="0" borderId="0" applyNumberFormat="0" applyFill="0" applyBorder="0" applyAlignment="0" applyProtection="0">
      <alignment vertical="top"/>
      <protection locked="0"/>
    </xf>
    <xf numFmtId="9" fontId="31" fillId="0" borderId="0" applyFont="0" applyFill="0" applyBorder="0" applyAlignment="0" applyProtection="0"/>
  </cellStyleXfs>
  <cellXfs count="357">
    <xf numFmtId="0" fontId="0" fillId="0" borderId="0" xfId="0"/>
    <xf numFmtId="0" fontId="2" fillId="0" borderId="0" xfId="0" applyFont="1"/>
    <xf numFmtId="3" fontId="0" fillId="0" borderId="0" xfId="0" applyNumberFormat="1"/>
    <xf numFmtId="0" fontId="5" fillId="0" borderId="0" xfId="0" applyFont="1"/>
    <xf numFmtId="2" fontId="5" fillId="0" borderId="0" xfId="0" applyNumberFormat="1" applyFont="1"/>
    <xf numFmtId="0" fontId="6" fillId="0" borderId="0" xfId="0" applyFont="1"/>
    <xf numFmtId="0" fontId="0" fillId="2" borderId="0" xfId="0" applyFill="1"/>
    <xf numFmtId="0" fontId="9" fillId="0" borderId="0" xfId="0" applyFont="1"/>
    <xf numFmtId="0" fontId="12" fillId="0" borderId="0" xfId="0" applyFont="1"/>
    <xf numFmtId="0" fontId="11" fillId="2" borderId="0" xfId="0" applyFont="1" applyFill="1" applyAlignment="1">
      <alignment horizontal="left" vertical="top" wrapText="1"/>
    </xf>
    <xf numFmtId="0" fontId="15" fillId="2" borderId="1" xfId="0" applyFont="1" applyFill="1" applyBorder="1" applyAlignment="1" applyProtection="1">
      <alignment vertical="center"/>
      <protection hidden="1"/>
    </xf>
    <xf numFmtId="0" fontId="16" fillId="2" borderId="1" xfId="0" applyFont="1" applyFill="1" applyBorder="1" applyAlignment="1" applyProtection="1">
      <alignment vertical="center"/>
      <protection hidden="1"/>
    </xf>
    <xf numFmtId="0" fontId="20" fillId="2" borderId="1" xfId="0" applyFont="1" applyFill="1" applyBorder="1" applyAlignment="1" applyProtection="1">
      <alignment vertical="center"/>
      <protection hidden="1"/>
    </xf>
    <xf numFmtId="0" fontId="2" fillId="2" borderId="0" xfId="0" applyFont="1" applyFill="1" applyAlignment="1" applyProtection="1">
      <alignment horizontal="right" vertical="center"/>
      <protection hidden="1"/>
    </xf>
    <xf numFmtId="0" fontId="0" fillId="2" borderId="0" xfId="0" applyFill="1" applyAlignment="1" applyProtection="1">
      <alignment vertical="center"/>
      <protection hidden="1"/>
    </xf>
    <xf numFmtId="0" fontId="18" fillId="2" borderId="0" xfId="6" applyFont="1" applyFill="1" applyBorder="1" applyAlignment="1" applyProtection="1">
      <alignment vertical="center"/>
      <protection hidden="1"/>
    </xf>
    <xf numFmtId="0" fontId="13" fillId="2" borderId="0" xfId="0" applyFont="1" applyFill="1" applyAlignment="1" applyProtection="1">
      <alignment vertical="center"/>
      <protection hidden="1"/>
    </xf>
    <xf numFmtId="0" fontId="16" fillId="2" borderId="0" xfId="0" applyFont="1" applyFill="1" applyAlignment="1" applyProtection="1">
      <alignment vertical="center"/>
      <protection hidden="1"/>
    </xf>
    <xf numFmtId="0" fontId="22" fillId="2" borderId="0" xfId="0" applyFont="1" applyFill="1" applyAlignment="1">
      <alignment vertical="center" wrapText="1"/>
    </xf>
    <xf numFmtId="0" fontId="26" fillId="2" borderId="0" xfId="0" applyFont="1" applyFill="1" applyAlignment="1">
      <alignment vertical="center" wrapText="1"/>
    </xf>
    <xf numFmtId="0" fontId="20" fillId="2" borderId="0" xfId="0" applyFont="1" applyFill="1" applyAlignment="1" applyProtection="1">
      <alignment vertical="center"/>
      <protection hidden="1"/>
    </xf>
    <xf numFmtId="0" fontId="15" fillId="2" borderId="0" xfId="0" applyFont="1" applyFill="1" applyAlignment="1" applyProtection="1">
      <alignment vertical="center"/>
      <protection hidden="1"/>
    </xf>
    <xf numFmtId="0" fontId="32" fillId="7" borderId="0" xfId="0" applyFont="1" applyFill="1" applyAlignment="1" applyProtection="1">
      <alignment vertical="center"/>
      <protection hidden="1"/>
    </xf>
    <xf numFmtId="0" fontId="0" fillId="2" borderId="0" xfId="0" applyFill="1" applyAlignment="1">
      <alignment vertical="center"/>
    </xf>
    <xf numFmtId="0" fontId="14" fillId="2" borderId="1" xfId="4" applyFill="1" applyBorder="1"/>
    <xf numFmtId="0" fontId="14" fillId="2" borderId="0" xfId="4" applyFill="1" applyAlignment="1">
      <alignment vertical="top" wrapText="1"/>
    </xf>
    <xf numFmtId="0" fontId="19" fillId="2" borderId="0" xfId="4" applyFont="1" applyFill="1" applyAlignment="1">
      <alignment horizontal="left" vertical="top" wrapText="1"/>
    </xf>
    <xf numFmtId="0" fontId="5" fillId="2" borderId="0" xfId="0" applyFont="1" applyFill="1"/>
    <xf numFmtId="0" fontId="30" fillId="7" borderId="0" xfId="4" applyFont="1" applyFill="1" applyAlignment="1">
      <alignment vertical="top" wrapText="1"/>
    </xf>
    <xf numFmtId="0" fontId="10" fillId="2" borderId="0" xfId="0" applyFont="1" applyFill="1" applyAlignment="1">
      <alignment vertical="center"/>
    </xf>
    <xf numFmtId="0" fontId="11" fillId="2" borderId="0" xfId="0" applyFont="1" applyFill="1" applyAlignment="1">
      <alignment vertical="center"/>
    </xf>
    <xf numFmtId="0" fontId="11" fillId="2" borderId="0" xfId="0" applyFont="1" applyFill="1"/>
    <xf numFmtId="0" fontId="27" fillId="0" borderId="0" xfId="0" applyFont="1"/>
    <xf numFmtId="0" fontId="3" fillId="0" borderId="0" xfId="0" applyFont="1"/>
    <xf numFmtId="0" fontId="0" fillId="0" borderId="0" xfId="0" applyAlignment="1">
      <alignment vertical="center"/>
    </xf>
    <xf numFmtId="0" fontId="2" fillId="0" borderId="0" xfId="0" applyFont="1" applyAlignment="1">
      <alignment horizontal="right" vertical="center"/>
    </xf>
    <xf numFmtId="0" fontId="18" fillId="0" borderId="0" xfId="6" applyFont="1" applyFill="1" applyBorder="1" applyAlignment="1" applyProtection="1">
      <alignment vertical="center"/>
    </xf>
    <xf numFmtId="0" fontId="10" fillId="9" borderId="0" xfId="4" applyFont="1" applyFill="1"/>
    <xf numFmtId="0" fontId="21" fillId="7" borderId="4" xfId="4" applyFont="1" applyFill="1" applyBorder="1" applyAlignment="1">
      <alignment horizontal="left" vertical="center" indent="2"/>
    </xf>
    <xf numFmtId="0" fontId="7" fillId="0" borderId="0" xfId="0" applyFont="1" applyAlignment="1">
      <alignment vertical="center"/>
    </xf>
    <xf numFmtId="0" fontId="21" fillId="7" borderId="5" xfId="4" applyFont="1" applyFill="1" applyBorder="1" applyAlignment="1">
      <alignment horizontal="left" vertical="center" indent="2"/>
    </xf>
    <xf numFmtId="0" fontId="0" fillId="0" borderId="0" xfId="0" applyAlignment="1">
      <alignment vertical="top" wrapText="1"/>
    </xf>
    <xf numFmtId="3" fontId="0" fillId="0" borderId="0" xfId="0" applyNumberFormat="1" applyAlignment="1">
      <alignment horizont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left" vertical="top" indent="2"/>
    </xf>
    <xf numFmtId="164" fontId="0" fillId="0" borderId="0" xfId="2" applyNumberFormat="1" applyFont="1" applyProtection="1"/>
    <xf numFmtId="3" fontId="0" fillId="0" borderId="0" xfId="0" applyNumberFormat="1" applyAlignment="1">
      <alignment vertical="center"/>
    </xf>
    <xf numFmtId="165" fontId="6" fillId="0" borderId="0" xfId="0" applyNumberFormat="1" applyFont="1"/>
    <xf numFmtId="0" fontId="5" fillId="6" borderId="3" xfId="4" applyFont="1" applyFill="1" applyBorder="1" applyAlignment="1" applyProtection="1">
      <alignment horizontal="center" vertical="center"/>
      <protection locked="0"/>
    </xf>
    <xf numFmtId="3" fontId="5" fillId="6" borderId="3" xfId="4" applyNumberFormat="1" applyFont="1" applyFill="1" applyBorder="1" applyAlignment="1" applyProtection="1">
      <alignment horizontal="center" vertical="center"/>
      <protection locked="0"/>
    </xf>
    <xf numFmtId="0" fontId="2" fillId="0" borderId="0" xfId="0" applyFont="1" applyProtection="1">
      <protection locked="0"/>
    </xf>
    <xf numFmtId="0" fontId="0" fillId="0" borderId="0" xfId="0" applyProtection="1">
      <protection locked="0"/>
    </xf>
    <xf numFmtId="165" fontId="2" fillId="0" borderId="0" xfId="0" applyNumberFormat="1" applyFont="1" applyProtection="1">
      <protection locked="0"/>
    </xf>
    <xf numFmtId="0" fontId="34" fillId="0" borderId="0" xfId="0" applyFont="1"/>
    <xf numFmtId="0" fontId="35" fillId="0" borderId="0" xfId="0" applyFont="1"/>
    <xf numFmtId="3" fontId="5" fillId="5" borderId="4" xfId="4" applyNumberFormat="1" applyFont="1" applyFill="1" applyBorder="1" applyAlignment="1">
      <alignment horizontal="center" vertical="center"/>
    </xf>
    <xf numFmtId="3" fontId="5" fillId="5" borderId="5" xfId="4" applyNumberFormat="1" applyFont="1" applyFill="1" applyBorder="1" applyAlignment="1">
      <alignment horizontal="center" vertical="center"/>
    </xf>
    <xf numFmtId="3" fontId="5" fillId="5" borderId="3" xfId="4" applyNumberFormat="1" applyFont="1" applyFill="1" applyBorder="1" applyAlignment="1">
      <alignment horizontal="center" vertical="center"/>
    </xf>
    <xf numFmtId="4" fontId="5" fillId="5" borderId="4" xfId="4" applyNumberFormat="1" applyFont="1" applyFill="1" applyBorder="1" applyAlignment="1">
      <alignment horizontal="center" vertical="center"/>
    </xf>
    <xf numFmtId="166" fontId="2" fillId="0" borderId="0" xfId="0" applyNumberFormat="1" applyFont="1" applyProtection="1">
      <protection locked="0"/>
    </xf>
    <xf numFmtId="0" fontId="2" fillId="0" borderId="0" xfId="0" applyFont="1" applyAlignment="1">
      <alignment wrapText="1"/>
    </xf>
    <xf numFmtId="0" fontId="0" fillId="0" borderId="0" xfId="0" applyAlignment="1">
      <alignment horizontal="left" indent="1"/>
    </xf>
    <xf numFmtId="0" fontId="0" fillId="0" borderId="0" xfId="0" applyAlignment="1">
      <alignment horizontal="center"/>
    </xf>
    <xf numFmtId="0" fontId="39" fillId="0" borderId="0" xfId="0" applyFont="1"/>
    <xf numFmtId="0" fontId="0" fillId="11" borderId="0" xfId="0" applyFill="1"/>
    <xf numFmtId="0" fontId="37" fillId="0" borderId="0" xfId="0" applyFont="1"/>
    <xf numFmtId="0" fontId="0" fillId="0" borderId="0" xfId="0" applyAlignment="1">
      <alignment wrapText="1"/>
    </xf>
    <xf numFmtId="0" fontId="21" fillId="9" borderId="5" xfId="4" applyFont="1" applyFill="1" applyBorder="1" applyAlignment="1">
      <alignment horizontal="left" vertical="center" indent="5"/>
    </xf>
    <xf numFmtId="0" fontId="21" fillId="9" borderId="3" xfId="4" applyFont="1" applyFill="1" applyBorder="1" applyAlignment="1">
      <alignment horizontal="left" vertical="center" indent="5"/>
    </xf>
    <xf numFmtId="0" fontId="2" fillId="0" borderId="0" xfId="0" applyFont="1" applyAlignment="1">
      <alignment horizontal="center" vertical="center" wrapText="1"/>
    </xf>
    <xf numFmtId="0" fontId="2" fillId="0" borderId="0" xfId="0" applyFont="1" applyAlignment="1">
      <alignment vertical="center" wrapText="1"/>
    </xf>
    <xf numFmtId="0" fontId="37" fillId="0" borderId="0" xfId="0" applyFont="1" applyAlignment="1">
      <alignment vertical="top" wrapText="1"/>
    </xf>
    <xf numFmtId="0" fontId="42" fillId="0" borderId="0" xfId="0" applyFont="1"/>
    <xf numFmtId="0" fontId="0" fillId="12" borderId="0" xfId="0" applyFill="1"/>
    <xf numFmtId="0" fontId="0" fillId="13" borderId="0" xfId="0" applyFill="1"/>
    <xf numFmtId="0" fontId="0" fillId="10" borderId="0" xfId="0" applyFill="1"/>
    <xf numFmtId="0" fontId="41" fillId="0" borderId="0" xfId="0" applyFont="1" applyAlignment="1">
      <alignment wrapText="1"/>
    </xf>
    <xf numFmtId="0" fontId="8" fillId="0" borderId="0" xfId="0" applyFont="1" applyAlignment="1">
      <alignment wrapText="1"/>
    </xf>
    <xf numFmtId="0" fontId="12" fillId="14" borderId="0" xfId="0" applyFont="1" applyFill="1"/>
    <xf numFmtId="0" fontId="37" fillId="0" borderId="0" xfId="0" applyFont="1" applyAlignment="1">
      <alignment wrapText="1"/>
    </xf>
    <xf numFmtId="165" fontId="6" fillId="0" borderId="0" xfId="0" applyNumberFormat="1" applyFont="1" applyAlignment="1">
      <alignment horizontal="center"/>
    </xf>
    <xf numFmtId="10" fontId="5" fillId="5" borderId="4" xfId="2" applyNumberFormat="1" applyFont="1" applyFill="1" applyBorder="1" applyAlignment="1" applyProtection="1">
      <alignment horizontal="center" vertical="center"/>
    </xf>
    <xf numFmtId="4" fontId="6" fillId="5" borderId="4" xfId="4" applyNumberFormat="1" applyFont="1" applyFill="1" applyBorder="1" applyAlignment="1">
      <alignment horizontal="center" vertical="center"/>
    </xf>
    <xf numFmtId="0" fontId="28" fillId="7" borderId="5" xfId="6" applyFont="1" applyFill="1" applyBorder="1" applyAlignment="1" applyProtection="1">
      <alignment horizontal="left" vertical="center" indent="9"/>
    </xf>
    <xf numFmtId="0" fontId="48" fillId="0" borderId="0" xfId="0" applyFont="1" applyAlignment="1">
      <alignment wrapText="1"/>
    </xf>
    <xf numFmtId="0" fontId="49" fillId="0" borderId="0" xfId="0" applyFont="1" applyAlignment="1">
      <alignment horizontal="center"/>
    </xf>
    <xf numFmtId="9" fontId="0" fillId="0" borderId="0" xfId="2" applyFont="1"/>
    <xf numFmtId="0" fontId="49" fillId="11" borderId="0" xfId="0" applyFont="1" applyFill="1" applyAlignment="1">
      <alignment horizontal="center"/>
    </xf>
    <xf numFmtId="9" fontId="0" fillId="11" borderId="0" xfId="2" applyFont="1" applyFill="1"/>
    <xf numFmtId="0" fontId="50" fillId="0" borderId="0" xfId="0" applyFont="1"/>
    <xf numFmtId="9" fontId="0" fillId="0" borderId="0" xfId="2" applyFont="1" applyFill="1"/>
    <xf numFmtId="0" fontId="0" fillId="0" borderId="0" xfId="0" applyAlignment="1">
      <alignment horizontal="left"/>
    </xf>
    <xf numFmtId="0" fontId="31" fillId="0" borderId="0" xfId="0" applyFont="1" applyAlignment="1">
      <alignment horizontal="left" vertical="top" wrapText="1"/>
    </xf>
    <xf numFmtId="0" fontId="21" fillId="7" borderId="0" xfId="4" applyFont="1" applyFill="1" applyAlignment="1">
      <alignment horizontal="left" vertical="center" indent="2"/>
    </xf>
    <xf numFmtId="2" fontId="5" fillId="6" borderId="3" xfId="4" applyNumberFormat="1" applyFont="1" applyFill="1" applyBorder="1" applyAlignment="1" applyProtection="1">
      <alignment horizontal="center" vertical="center"/>
      <protection locked="0"/>
    </xf>
    <xf numFmtId="10" fontId="5" fillId="6" borderId="3" xfId="2" applyNumberFormat="1" applyFont="1" applyFill="1" applyBorder="1" applyAlignment="1" applyProtection="1">
      <alignment horizontal="center" vertical="center"/>
      <protection locked="0"/>
    </xf>
    <xf numFmtId="0" fontId="0" fillId="0" borderId="0" xfId="0" quotePrefix="1"/>
    <xf numFmtId="10" fontId="5" fillId="5" borderId="5" xfId="2" applyNumberFormat="1" applyFont="1" applyFill="1" applyBorder="1" applyAlignment="1">
      <alignment horizontal="center" vertical="center"/>
    </xf>
    <xf numFmtId="0" fontId="51" fillId="0" borderId="0" xfId="0" applyFont="1"/>
    <xf numFmtId="0" fontId="12" fillId="0" borderId="0" xfId="0" applyFont="1" applyAlignment="1">
      <alignment horizontal="left" indent="2"/>
    </xf>
    <xf numFmtId="0" fontId="5" fillId="5" borderId="3" xfId="4" applyFont="1" applyFill="1" applyBorder="1" applyAlignment="1">
      <alignment horizontal="center" vertical="center"/>
    </xf>
    <xf numFmtId="0" fontId="2" fillId="0" borderId="0" xfId="0" applyFont="1" applyAlignment="1">
      <alignment horizontal="left" vertical="center" wrapText="1" indent="1"/>
    </xf>
    <xf numFmtId="10" fontId="6" fillId="5" borderId="4" xfId="2" applyNumberFormat="1" applyFont="1" applyFill="1" applyBorder="1" applyAlignment="1">
      <alignment horizontal="center" vertical="center"/>
    </xf>
    <xf numFmtId="164" fontId="5" fillId="5" borderId="5" xfId="2" applyNumberFormat="1" applyFont="1" applyFill="1" applyBorder="1" applyAlignment="1" applyProtection="1">
      <alignment horizontal="center" vertical="center"/>
    </xf>
    <xf numFmtId="164" fontId="5" fillId="5" borderId="4" xfId="2" applyNumberFormat="1" applyFont="1" applyFill="1" applyBorder="1" applyAlignment="1" applyProtection="1">
      <alignment horizontal="center" vertical="center"/>
    </xf>
    <xf numFmtId="0" fontId="31" fillId="0" borderId="0" xfId="0" applyFont="1" applyAlignment="1">
      <alignment vertical="top" wrapText="1"/>
    </xf>
    <xf numFmtId="0" fontId="40" fillId="0" borderId="0" xfId="0" applyFont="1" applyAlignment="1">
      <alignment horizontal="right" vertical="top" wrapText="1"/>
    </xf>
    <xf numFmtId="0" fontId="2" fillId="0" borderId="0" xfId="0" applyFont="1" applyAlignment="1">
      <alignment horizontal="left" vertical="center" wrapText="1" indent="2"/>
    </xf>
    <xf numFmtId="0" fontId="20" fillId="0" borderId="13" xfId="0" applyFont="1" applyBorder="1" applyAlignment="1">
      <alignment vertical="center"/>
    </xf>
    <xf numFmtId="0" fontId="5" fillId="0" borderId="0" xfId="0" applyFont="1" applyProtection="1">
      <protection locked="0"/>
    </xf>
    <xf numFmtId="0" fontId="5" fillId="0" borderId="0" xfId="0" applyFont="1" applyAlignment="1" applyProtection="1">
      <alignment horizontal="left" vertical="center"/>
      <protection locked="0"/>
    </xf>
    <xf numFmtId="0" fontId="24" fillId="16" borderId="11" xfId="0" applyFont="1" applyFill="1" applyBorder="1" applyAlignment="1" applyProtection="1">
      <alignment horizontal="center" vertical="center"/>
      <protection locked="0"/>
    </xf>
    <xf numFmtId="3" fontId="5" fillId="0" borderId="0" xfId="0" applyNumberFormat="1" applyFont="1" applyProtection="1">
      <protection locked="0"/>
    </xf>
    <xf numFmtId="3" fontId="36" fillId="17" borderId="15" xfId="0" applyNumberFormat="1" applyFont="1" applyFill="1" applyBorder="1" applyAlignment="1" applyProtection="1">
      <alignment horizontal="center" vertical="center" wrapText="1"/>
      <protection locked="0"/>
    </xf>
    <xf numFmtId="4" fontId="36" fillId="17" borderId="15" xfId="0" applyNumberFormat="1" applyFont="1" applyFill="1" applyBorder="1" applyAlignment="1" applyProtection="1">
      <alignment horizontal="center" vertical="center" wrapText="1"/>
      <protection locked="0"/>
    </xf>
    <xf numFmtId="0" fontId="23" fillId="2" borderId="0" xfId="0" applyFont="1" applyFill="1" applyAlignment="1" applyProtection="1">
      <alignment vertical="center"/>
      <protection hidden="1"/>
    </xf>
    <xf numFmtId="0" fontId="12" fillId="0" borderId="0" xfId="0" applyFont="1" applyAlignment="1" applyProtection="1">
      <alignment horizontal="right" vertical="center"/>
      <protection locked="0"/>
    </xf>
    <xf numFmtId="0" fontId="24" fillId="18" borderId="6" xfId="0" applyFont="1" applyFill="1" applyBorder="1" applyAlignment="1" applyProtection="1">
      <alignment horizontal="center" vertical="center" wrapText="1"/>
      <protection locked="0"/>
    </xf>
    <xf numFmtId="0" fontId="24" fillId="18" borderId="7" xfId="0" applyFont="1" applyFill="1" applyBorder="1" applyAlignment="1" applyProtection="1">
      <alignment horizontal="center" vertical="center" wrapText="1"/>
      <protection locked="0"/>
    </xf>
    <xf numFmtId="4" fontId="5" fillId="0" borderId="0" xfId="0" applyNumberFormat="1" applyFont="1" applyProtection="1">
      <protection locked="0"/>
    </xf>
    <xf numFmtId="10" fontId="36" fillId="17" borderId="15" xfId="2" applyNumberFormat="1" applyFont="1" applyFill="1" applyBorder="1" applyAlignment="1" applyProtection="1">
      <alignment horizontal="center" vertical="center" wrapText="1"/>
      <protection locked="0"/>
    </xf>
    <xf numFmtId="0" fontId="24" fillId="16" borderId="7" xfId="0" applyFont="1" applyFill="1" applyBorder="1" applyAlignment="1" applyProtection="1">
      <alignment horizontal="center" vertical="center" wrapText="1"/>
      <protection locked="0"/>
    </xf>
    <xf numFmtId="4" fontId="5" fillId="6" borderId="3" xfId="4" applyNumberFormat="1" applyFont="1" applyFill="1" applyBorder="1" applyAlignment="1" applyProtection="1">
      <alignment horizontal="center" vertical="center"/>
      <protection locked="0"/>
    </xf>
    <xf numFmtId="0" fontId="5" fillId="19" borderId="15" xfId="0" applyFont="1" applyFill="1" applyBorder="1" applyAlignment="1" applyProtection="1">
      <alignment horizontal="left" vertical="center" wrapText="1"/>
      <protection locked="0"/>
    </xf>
    <xf numFmtId="3" fontId="5" fillId="19" borderId="16" xfId="0" applyNumberFormat="1" applyFont="1" applyFill="1" applyBorder="1" applyAlignment="1" applyProtection="1">
      <alignment horizontal="center" vertical="center" wrapText="1"/>
      <protection locked="0"/>
    </xf>
    <xf numFmtId="4" fontId="5" fillId="19" borderId="16" xfId="0" applyNumberFormat="1" applyFont="1" applyFill="1" applyBorder="1" applyAlignment="1" applyProtection="1">
      <alignment horizontal="center" vertical="center" wrapText="1"/>
      <protection locked="0"/>
    </xf>
    <xf numFmtId="10" fontId="5" fillId="19" borderId="16" xfId="2" applyNumberFormat="1" applyFont="1" applyFill="1" applyBorder="1" applyAlignment="1" applyProtection="1">
      <alignment horizontal="center" vertical="center" wrapText="1"/>
      <protection locked="0"/>
    </xf>
    <xf numFmtId="3" fontId="5" fillId="19" borderId="15" xfId="0" applyNumberFormat="1" applyFont="1" applyFill="1" applyBorder="1" applyAlignment="1" applyProtection="1">
      <alignment horizontal="center" vertical="center" wrapText="1"/>
      <protection locked="0"/>
    </xf>
    <xf numFmtId="4" fontId="5" fillId="19" borderId="15" xfId="0" applyNumberFormat="1" applyFont="1" applyFill="1" applyBorder="1" applyAlignment="1" applyProtection="1">
      <alignment horizontal="center" vertical="center" wrapText="1"/>
      <protection locked="0"/>
    </xf>
    <xf numFmtId="164" fontId="5" fillId="19" borderId="16" xfId="0" applyNumberFormat="1" applyFont="1" applyFill="1" applyBorder="1" applyAlignment="1" applyProtection="1">
      <alignment horizontal="center" vertical="center" wrapText="1"/>
      <protection locked="0"/>
    </xf>
    <xf numFmtId="10" fontId="5" fillId="19" borderId="15" xfId="2" applyNumberFormat="1" applyFont="1" applyFill="1" applyBorder="1" applyAlignment="1" applyProtection="1">
      <alignment horizontal="center" vertical="center" wrapText="1"/>
      <protection locked="0"/>
    </xf>
    <xf numFmtId="164" fontId="5" fillId="19" borderId="15" xfId="0" applyNumberFormat="1" applyFont="1" applyFill="1" applyBorder="1" applyAlignment="1" applyProtection="1">
      <alignment horizontal="center" vertical="center" wrapText="1"/>
      <protection locked="0"/>
    </xf>
    <xf numFmtId="0" fontId="62" fillId="0" borderId="13" xfId="0" applyFont="1" applyBorder="1" applyAlignment="1">
      <alignment vertical="center"/>
    </xf>
    <xf numFmtId="3" fontId="53" fillId="5" borderId="0" xfId="4" applyNumberFormat="1" applyFont="1" applyFill="1" applyAlignment="1" applyProtection="1">
      <alignment horizontal="center" vertical="center"/>
      <protection locked="0"/>
    </xf>
    <xf numFmtId="3" fontId="11" fillId="15" borderId="0" xfId="0" applyNumberFormat="1" applyFont="1" applyFill="1" applyAlignment="1">
      <alignment horizontal="center" vertical="center"/>
    </xf>
    <xf numFmtId="0" fontId="53" fillId="12" borderId="0" xfId="0" applyFont="1" applyFill="1" applyAlignment="1">
      <alignment horizontal="center" vertical="top" wrapText="1"/>
    </xf>
    <xf numFmtId="0" fontId="64" fillId="0" borderId="0" xfId="6" applyFont="1" applyAlignment="1">
      <alignment vertical="center"/>
    </xf>
    <xf numFmtId="0" fontId="64" fillId="0" borderId="0" xfId="6" applyFont="1" applyAlignment="1">
      <alignment horizontal="left" vertical="center" indent="2"/>
    </xf>
    <xf numFmtId="0" fontId="0" fillId="22" borderId="21" xfId="0" applyFill="1" applyBorder="1" applyAlignment="1">
      <alignment horizontal="center"/>
    </xf>
    <xf numFmtId="0" fontId="0" fillId="22" borderId="22" xfId="0" applyFill="1" applyBorder="1" applyAlignment="1">
      <alignment horizontal="center"/>
    </xf>
    <xf numFmtId="0" fontId="0" fillId="22" borderId="22" xfId="0" applyFill="1" applyBorder="1"/>
    <xf numFmtId="0" fontId="0" fillId="22" borderId="22" xfId="0" applyFill="1" applyBorder="1" applyAlignment="1">
      <alignment wrapText="1"/>
    </xf>
    <xf numFmtId="0" fontId="0" fillId="22" borderId="22" xfId="0" applyFill="1" applyBorder="1" applyAlignment="1">
      <alignment horizontal="left"/>
    </xf>
    <xf numFmtId="0" fontId="0" fillId="0" borderId="21" xfId="0" applyBorder="1" applyAlignment="1">
      <alignment horizontal="center"/>
    </xf>
    <xf numFmtId="0" fontId="0" fillId="0" borderId="22" xfId="0" applyBorder="1" applyAlignment="1">
      <alignment horizontal="center"/>
    </xf>
    <xf numFmtId="0" fontId="0" fillId="0" borderId="22" xfId="0" applyBorder="1"/>
    <xf numFmtId="0" fontId="0" fillId="0" borderId="22" xfId="0" applyBorder="1" applyAlignment="1">
      <alignment wrapText="1"/>
    </xf>
    <xf numFmtId="0" fontId="0" fillId="0" borderId="22" xfId="0" applyBorder="1" applyAlignment="1">
      <alignment horizontal="left"/>
    </xf>
    <xf numFmtId="0" fontId="2" fillId="0" borderId="0" xfId="0" applyFont="1" applyAlignment="1">
      <alignment horizontal="left"/>
    </xf>
    <xf numFmtId="0" fontId="6" fillId="0" borderId="0" xfId="0" applyFont="1" applyAlignment="1">
      <alignment horizontal="center"/>
    </xf>
    <xf numFmtId="0" fontId="0" fillId="2" borderId="0" xfId="0" applyFill="1" applyAlignment="1">
      <alignment horizontal="left" vertical="top" wrapText="1"/>
    </xf>
    <xf numFmtId="0" fontId="24" fillId="7" borderId="6" xfId="0" applyFont="1" applyFill="1" applyBorder="1" applyAlignment="1">
      <alignment horizontal="center" vertical="center"/>
    </xf>
    <xf numFmtId="0" fontId="21" fillId="7" borderId="8" xfId="0" quotePrefix="1" applyFont="1" applyFill="1" applyBorder="1" applyAlignment="1">
      <alignment horizontal="center" vertical="center"/>
    </xf>
    <xf numFmtId="0" fontId="24" fillId="7" borderId="8" xfId="0" quotePrefix="1" applyFont="1" applyFill="1" applyBorder="1" applyAlignment="1">
      <alignment horizontal="center" vertical="center"/>
    </xf>
    <xf numFmtId="3" fontId="11" fillId="23" borderId="0" xfId="0" applyNumberFormat="1" applyFont="1" applyFill="1" applyAlignment="1">
      <alignment horizontal="center" vertical="center"/>
    </xf>
    <xf numFmtId="0" fontId="31" fillId="0" borderId="0" xfId="0" applyFont="1" applyAlignment="1">
      <alignment horizontal="left" vertical="center" wrapText="1"/>
    </xf>
    <xf numFmtId="3" fontId="53" fillId="5" borderId="0" xfId="4" applyNumberFormat="1" applyFont="1" applyFill="1" applyAlignment="1">
      <alignment horizontal="center" vertical="center"/>
    </xf>
    <xf numFmtId="0" fontId="22" fillId="21" borderId="0" xfId="0" applyFont="1" applyFill="1" applyAlignment="1">
      <alignment horizontal="center" vertical="center" wrapText="1"/>
    </xf>
    <xf numFmtId="3" fontId="0" fillId="6" borderId="3" xfId="4" applyNumberFormat="1" applyFont="1" applyFill="1" applyBorder="1" applyAlignment="1">
      <alignment horizontal="center" vertical="center"/>
    </xf>
    <xf numFmtId="0" fontId="5" fillId="6" borderId="3" xfId="4" applyFont="1" applyFill="1" applyBorder="1" applyAlignment="1">
      <alignment horizontal="center" vertical="center"/>
    </xf>
    <xf numFmtId="3" fontId="5" fillId="6" borderId="3" xfId="4" applyNumberFormat="1" applyFont="1" applyFill="1" applyBorder="1" applyAlignment="1">
      <alignment horizontal="center" vertical="center"/>
    </xf>
    <xf numFmtId="0" fontId="64" fillId="0" borderId="0" xfId="6" applyFont="1" applyAlignment="1" applyProtection="1">
      <alignment horizontal="left" vertical="center" indent="2"/>
    </xf>
    <xf numFmtId="0" fontId="65" fillId="0" borderId="0" xfId="0" applyFont="1" applyAlignment="1">
      <alignment horizontal="left" vertical="center"/>
    </xf>
    <xf numFmtId="0" fontId="22" fillId="21" borderId="0" xfId="0" applyFont="1" applyFill="1" applyAlignment="1">
      <alignment horizontal="left" vertical="center" wrapText="1" indent="1"/>
    </xf>
    <xf numFmtId="0" fontId="21" fillId="7" borderId="4" xfId="4" applyFont="1" applyFill="1" applyBorder="1" applyAlignment="1">
      <alignment horizontal="left" vertical="center" wrapText="1" indent="2"/>
    </xf>
    <xf numFmtId="165" fontId="2" fillId="0" borderId="0" xfId="0" applyNumberFormat="1" applyFont="1"/>
    <xf numFmtId="10" fontId="5" fillId="5" borderId="5" xfId="2" applyNumberFormat="1" applyFont="1" applyFill="1" applyBorder="1" applyAlignment="1" applyProtection="1">
      <alignment horizontal="center" vertical="center"/>
    </xf>
    <xf numFmtId="166" fontId="2" fillId="0" borderId="0" xfId="0" applyNumberFormat="1" applyFont="1"/>
    <xf numFmtId="0" fontId="21" fillId="7" borderId="5" xfId="4" applyFont="1" applyFill="1" applyBorder="1" applyAlignment="1">
      <alignment horizontal="left" vertical="center" wrapText="1" indent="2"/>
    </xf>
    <xf numFmtId="10" fontId="6" fillId="5" borderId="4" xfId="2" applyNumberFormat="1" applyFont="1" applyFill="1" applyBorder="1" applyAlignment="1" applyProtection="1">
      <alignment horizontal="center" vertical="center"/>
    </xf>
    <xf numFmtId="0" fontId="3" fillId="4" borderId="0" xfId="0" applyFont="1" applyFill="1"/>
    <xf numFmtId="0" fontId="0" fillId="4" borderId="0" xfId="0" applyFill="1"/>
    <xf numFmtId="3" fontId="0" fillId="4" borderId="0" xfId="0" applyNumberFormat="1" applyFill="1"/>
    <xf numFmtId="10" fontId="31" fillId="5" borderId="0" xfId="2" applyNumberFormat="1" applyFont="1" applyFill="1" applyProtection="1"/>
    <xf numFmtId="3" fontId="0" fillId="5" borderId="0" xfId="0" applyNumberFormat="1" applyFill="1"/>
    <xf numFmtId="9" fontId="0" fillId="0" borderId="0" xfId="2" applyFont="1" applyProtection="1"/>
    <xf numFmtId="4" fontId="31" fillId="5" borderId="0" xfId="0" applyNumberFormat="1" applyFont="1" applyFill="1"/>
    <xf numFmtId="10" fontId="0" fillId="0" borderId="0" xfId="2" applyNumberFormat="1" applyFont="1" applyProtection="1"/>
    <xf numFmtId="4" fontId="0" fillId="0" borderId="0" xfId="0" applyNumberFormat="1"/>
    <xf numFmtId="4" fontId="54" fillId="0" borderId="0" xfId="0" applyNumberFormat="1" applyFont="1" applyAlignment="1">
      <alignment horizontal="right"/>
    </xf>
    <xf numFmtId="4" fontId="0" fillId="5" borderId="0" xfId="0" applyNumberFormat="1" applyFill="1"/>
    <xf numFmtId="4" fontId="0" fillId="5" borderId="0" xfId="2" applyNumberFormat="1" applyFont="1" applyFill="1" applyProtection="1"/>
    <xf numFmtId="0" fontId="2" fillId="4" borderId="0" xfId="0" applyFont="1" applyFill="1"/>
    <xf numFmtId="1" fontId="2" fillId="0" borderId="0" xfId="0" applyNumberFormat="1" applyFont="1"/>
    <xf numFmtId="2" fontId="0" fillId="0" borderId="0" xfId="0" applyNumberFormat="1"/>
    <xf numFmtId="0" fontId="0" fillId="0" borderId="0" xfId="0" applyAlignment="1">
      <alignment horizontal="right"/>
    </xf>
    <xf numFmtId="0" fontId="6" fillId="0" borderId="0" xfId="0" applyFont="1" applyAlignment="1">
      <alignment horizontal="left"/>
    </xf>
    <xf numFmtId="9" fontId="6" fillId="0" borderId="0" xfId="2" applyFont="1"/>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left" vertical="center"/>
    </xf>
    <xf numFmtId="2" fontId="6" fillId="0" borderId="0" xfId="0" applyNumberFormat="1"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wrapText="1"/>
    </xf>
    <xf numFmtId="0" fontId="65" fillId="0" borderId="0" xfId="0" applyFont="1"/>
    <xf numFmtId="0" fontId="22" fillId="21" borderId="0" xfId="0" applyFont="1" applyFill="1" applyAlignment="1">
      <alignment horizontal="left" vertical="center" indent="1"/>
    </xf>
    <xf numFmtId="4" fontId="6" fillId="5" borderId="0" xfId="4" applyNumberFormat="1" applyFont="1" applyFill="1" applyAlignment="1">
      <alignment horizontal="center" vertical="center"/>
    </xf>
    <xf numFmtId="0" fontId="24" fillId="7" borderId="5" xfId="0" applyFont="1" applyFill="1" applyBorder="1" applyAlignment="1">
      <alignment horizontal="left" vertical="center" wrapText="1" indent="1"/>
    </xf>
    <xf numFmtId="0" fontId="69" fillId="0" borderId="0" xfId="0" applyFont="1" applyAlignment="1">
      <alignment vertical="center"/>
    </xf>
    <xf numFmtId="0" fontId="69" fillId="0" borderId="0" xfId="0" applyFont="1" applyProtection="1">
      <protection locked="0"/>
    </xf>
    <xf numFmtId="0" fontId="22" fillId="0" borderId="0" xfId="0" applyFont="1" applyAlignment="1" applyProtection="1">
      <alignment vertical="center"/>
      <protection locked="0"/>
    </xf>
    <xf numFmtId="0" fontId="55" fillId="0" borderId="0" xfId="0" applyFont="1" applyProtection="1">
      <protection locked="0"/>
    </xf>
    <xf numFmtId="0" fontId="22"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56" fillId="0" borderId="0" xfId="0" applyFont="1" applyAlignment="1" applyProtection="1">
      <alignment vertical="center"/>
      <protection locked="0"/>
    </xf>
    <xf numFmtId="0" fontId="56" fillId="0" borderId="0" xfId="0" applyFont="1" applyAlignment="1" applyProtection="1">
      <alignment vertical="top"/>
      <protection locked="0"/>
    </xf>
    <xf numFmtId="0" fontId="2" fillId="0" borderId="0" xfId="0" applyFont="1" applyAlignment="1" applyProtection="1">
      <alignment horizontal="right" vertical="center"/>
      <protection locked="0"/>
    </xf>
    <xf numFmtId="0" fontId="57" fillId="0" borderId="0" xfId="0" applyFont="1" applyAlignment="1" applyProtection="1">
      <alignment horizontal="center" vertical="center"/>
      <protection locked="0"/>
    </xf>
    <xf numFmtId="0" fontId="0" fillId="0" borderId="0" xfId="0" applyAlignment="1" applyProtection="1">
      <alignment horizontal="left" vertical="center"/>
      <protection locked="0"/>
    </xf>
    <xf numFmtId="0" fontId="18" fillId="0" borderId="0" xfId="6" applyFont="1" applyFill="1" applyBorder="1" applyAlignment="1" applyProtection="1">
      <alignment vertical="center"/>
      <protection locked="0"/>
    </xf>
    <xf numFmtId="167" fontId="33" fillId="0" borderId="0" xfId="0" applyNumberFormat="1" applyFont="1" applyAlignment="1" applyProtection="1">
      <alignment horizontal="left" vertical="center"/>
      <protection locked="0"/>
    </xf>
    <xf numFmtId="0" fontId="36" fillId="0" borderId="0" xfId="0" applyFont="1" applyAlignment="1" applyProtection="1">
      <alignment horizontal="right" vertical="top"/>
      <protection locked="0"/>
    </xf>
    <xf numFmtId="0" fontId="18" fillId="0" borderId="0" xfId="0" applyFont="1" applyAlignment="1" applyProtection="1">
      <alignment horizontal="left" vertical="center" wrapText="1"/>
      <protection locked="0"/>
    </xf>
    <xf numFmtId="0" fontId="14" fillId="2" borderId="1" xfId="4" applyFill="1" applyBorder="1" applyProtection="1">
      <protection locked="0"/>
    </xf>
    <xf numFmtId="0" fontId="62" fillId="0" borderId="13" xfId="0" applyFont="1" applyBorder="1" applyAlignment="1" applyProtection="1">
      <alignment vertical="center"/>
      <protection locked="0"/>
    </xf>
    <xf numFmtId="0" fontId="20" fillId="0" borderId="13" xfId="0" applyFont="1" applyBorder="1" applyAlignment="1" applyProtection="1">
      <alignment vertical="center"/>
      <protection locked="0"/>
    </xf>
    <xf numFmtId="0" fontId="61" fillId="0" borderId="0" xfId="0" applyFont="1" applyProtection="1">
      <protection locked="0"/>
    </xf>
    <xf numFmtId="0" fontId="5" fillId="5" borderId="17" xfId="0" applyFont="1" applyFill="1" applyBorder="1" applyProtection="1">
      <protection locked="0"/>
    </xf>
    <xf numFmtId="3" fontId="5" fillId="5" borderId="17" xfId="0" applyNumberFormat="1" applyFont="1" applyFill="1" applyBorder="1" applyProtection="1">
      <protection locked="0"/>
    </xf>
    <xf numFmtId="0" fontId="61" fillId="0" borderId="0" xfId="0" applyFont="1" applyAlignment="1" applyProtection="1">
      <alignment horizontal="center"/>
      <protection locked="0"/>
    </xf>
    <xf numFmtId="0" fontId="21" fillId="7" borderId="4" xfId="4" applyFont="1" applyFill="1" applyBorder="1" applyAlignment="1" applyProtection="1">
      <alignment horizontal="left" vertical="center" indent="2"/>
      <protection locked="0"/>
    </xf>
    <xf numFmtId="0" fontId="21" fillId="7" borderId="4" xfId="4" applyFont="1" applyFill="1" applyBorder="1" applyAlignment="1" applyProtection="1">
      <alignment horizontal="right" vertical="center" indent="1"/>
      <protection locked="0"/>
    </xf>
    <xf numFmtId="0" fontId="21" fillId="7" borderId="5" xfId="4" applyFont="1" applyFill="1" applyBorder="1" applyAlignment="1" applyProtection="1">
      <alignment horizontal="left" vertical="center" indent="2"/>
      <protection locked="0"/>
    </xf>
    <xf numFmtId="0" fontId="21" fillId="7" borderId="5" xfId="4" applyFont="1" applyFill="1" applyBorder="1" applyAlignment="1" applyProtection="1">
      <alignment horizontal="right" vertical="center" indent="1"/>
      <protection locked="0"/>
    </xf>
    <xf numFmtId="0" fontId="21" fillId="7" borderId="11" xfId="4" applyFont="1" applyFill="1" applyBorder="1" applyAlignment="1" applyProtection="1">
      <alignment horizontal="left" vertical="center" indent="2"/>
      <protection locked="0"/>
    </xf>
    <xf numFmtId="164" fontId="6" fillId="0" borderId="0" xfId="2" applyNumberFormat="1" applyFont="1" applyAlignment="1">
      <alignment vertical="center"/>
    </xf>
    <xf numFmtId="3" fontId="36" fillId="17" borderId="15" xfId="0" quotePrefix="1" applyNumberFormat="1" applyFont="1" applyFill="1" applyBorder="1" applyAlignment="1" applyProtection="1">
      <alignment horizontal="center" vertical="center" wrapText="1"/>
      <protection locked="0"/>
    </xf>
    <xf numFmtId="3" fontId="59" fillId="18" borderId="7" xfId="0" applyNumberFormat="1" applyFont="1" applyFill="1" applyBorder="1" applyAlignment="1" applyProtection="1">
      <alignment vertical="center"/>
      <protection locked="0"/>
    </xf>
    <xf numFmtId="3" fontId="59" fillId="18" borderId="4" xfId="0" applyNumberFormat="1" applyFont="1" applyFill="1" applyBorder="1" applyAlignment="1" applyProtection="1">
      <alignment vertical="center"/>
      <protection locked="0"/>
    </xf>
    <xf numFmtId="3" fontId="59" fillId="16" borderId="7" xfId="0" applyNumberFormat="1" applyFont="1" applyFill="1" applyBorder="1" applyAlignment="1" applyProtection="1">
      <alignment vertical="center"/>
      <protection locked="0"/>
    </xf>
    <xf numFmtId="3" fontId="59" fillId="16" borderId="4" xfId="0" applyNumberFormat="1" applyFont="1" applyFill="1" applyBorder="1" applyAlignment="1" applyProtection="1">
      <alignment vertical="center"/>
      <protection locked="0"/>
    </xf>
    <xf numFmtId="3" fontId="59" fillId="16" borderId="6" xfId="0" applyNumberFormat="1" applyFont="1" applyFill="1" applyBorder="1" applyAlignment="1" applyProtection="1">
      <alignment vertical="center"/>
      <protection locked="0"/>
    </xf>
    <xf numFmtId="0" fontId="24" fillId="18" borderId="9" xfId="0" applyFont="1" applyFill="1" applyBorder="1" applyAlignment="1" applyProtection="1">
      <alignment horizontal="center" vertical="center" wrapText="1"/>
      <protection locked="0"/>
    </xf>
    <xf numFmtId="2" fontId="5" fillId="5" borderId="17" xfId="0" applyNumberFormat="1" applyFont="1" applyFill="1" applyBorder="1" applyAlignment="1" applyProtection="1">
      <alignment horizontal="center"/>
      <protection locked="0"/>
    </xf>
    <xf numFmtId="10" fontId="5" fillId="5" borderId="17" xfId="0" applyNumberFormat="1" applyFont="1" applyFill="1" applyBorder="1" applyAlignment="1" applyProtection="1">
      <alignment horizontal="center"/>
      <protection locked="0"/>
    </xf>
    <xf numFmtId="4" fontId="5" fillId="5" borderId="17" xfId="0" applyNumberFormat="1" applyFont="1" applyFill="1" applyBorder="1" applyAlignment="1" applyProtection="1">
      <alignment horizontal="center"/>
      <protection locked="0"/>
    </xf>
    <xf numFmtId="0" fontId="58" fillId="0" borderId="0" xfId="0" applyFont="1" applyAlignment="1" applyProtection="1">
      <alignment vertical="top" wrapText="1"/>
      <protection locked="0"/>
    </xf>
    <xf numFmtId="3" fontId="59" fillId="0" borderId="4" xfId="0" applyNumberFormat="1" applyFont="1" applyBorder="1" applyAlignment="1" applyProtection="1">
      <alignment vertical="center"/>
      <protection locked="0"/>
    </xf>
    <xf numFmtId="0" fontId="24" fillId="16" borderId="25" xfId="0" applyFont="1" applyFill="1" applyBorder="1" applyAlignment="1" applyProtection="1">
      <alignment horizontal="center" vertical="center" wrapText="1"/>
      <protection locked="0"/>
    </xf>
    <xf numFmtId="0" fontId="24" fillId="16" borderId="24" xfId="0" applyFont="1" applyFill="1" applyBorder="1" applyAlignment="1" applyProtection="1">
      <alignment horizontal="center" vertical="center" wrapText="1"/>
      <protection locked="0"/>
    </xf>
    <xf numFmtId="0" fontId="24" fillId="16" borderId="26" xfId="0" applyFont="1" applyFill="1" applyBorder="1" applyAlignment="1" applyProtection="1">
      <alignment horizontal="center" vertical="center" wrapText="1"/>
      <protection locked="0"/>
    </xf>
    <xf numFmtId="0" fontId="24" fillId="16" borderId="28" xfId="0" applyFont="1" applyFill="1" applyBorder="1" applyAlignment="1" applyProtection="1">
      <alignment horizontal="center" vertical="center" wrapText="1"/>
      <protection locked="0"/>
    </xf>
    <xf numFmtId="0" fontId="24" fillId="18" borderId="31" xfId="0" applyFont="1" applyFill="1" applyBorder="1" applyAlignment="1" applyProtection="1">
      <alignment horizontal="center" vertical="center" wrapText="1"/>
      <protection locked="0"/>
    </xf>
    <xf numFmtId="0" fontId="24" fillId="16" borderId="31" xfId="0" applyFont="1" applyFill="1" applyBorder="1" applyAlignment="1" applyProtection="1">
      <alignment horizontal="center" vertical="center" wrapText="1"/>
      <protection locked="0"/>
    </xf>
    <xf numFmtId="10" fontId="36" fillId="17" borderId="15" xfId="2" quotePrefix="1" applyNumberFormat="1" applyFont="1" applyFill="1" applyBorder="1" applyAlignment="1" applyProtection="1">
      <alignment horizontal="center" vertical="center" wrapText="1"/>
      <protection locked="0"/>
    </xf>
    <xf numFmtId="3" fontId="5" fillId="6" borderId="3" xfId="4" applyNumberFormat="1" applyFont="1" applyFill="1" applyBorder="1" applyAlignment="1" applyProtection="1">
      <alignment horizontal="center" vertical="center" wrapText="1"/>
      <protection locked="0"/>
    </xf>
    <xf numFmtId="0" fontId="22" fillId="0" borderId="0" xfId="0" applyFont="1" applyAlignment="1">
      <alignment horizontal="left" vertical="center" wrapText="1" indent="1"/>
    </xf>
    <xf numFmtId="0" fontId="71" fillId="0" borderId="0" xfId="0" applyFont="1" applyAlignment="1">
      <alignment horizontal="center" vertical="center"/>
    </xf>
    <xf numFmtId="0" fontId="71" fillId="0" borderId="0" xfId="0" applyFont="1" applyAlignment="1">
      <alignment horizontal="left" vertical="center"/>
    </xf>
    <xf numFmtId="0" fontId="71" fillId="0" borderId="0" xfId="0" applyFont="1" applyAlignment="1">
      <alignment vertical="center"/>
    </xf>
    <xf numFmtId="2" fontId="71" fillId="0" borderId="0" xfId="0" applyNumberFormat="1" applyFont="1" applyAlignment="1">
      <alignment vertical="center"/>
    </xf>
    <xf numFmtId="164" fontId="0" fillId="0" borderId="0" xfId="2" applyNumberFormat="1" applyFont="1"/>
    <xf numFmtId="164" fontId="0" fillId="22" borderId="22" xfId="2" applyNumberFormat="1" applyFont="1" applyFill="1" applyBorder="1"/>
    <xf numFmtId="0" fontId="6" fillId="24" borderId="0" xfId="0" applyFont="1" applyFill="1" applyAlignment="1">
      <alignment horizontal="center" vertical="center"/>
    </xf>
    <xf numFmtId="0" fontId="6" fillId="24" borderId="0" xfId="0" applyFont="1" applyFill="1" applyAlignment="1">
      <alignment horizontal="left" vertical="center"/>
    </xf>
    <xf numFmtId="0" fontId="6" fillId="24" borderId="0" xfId="0" applyFont="1" applyFill="1" applyAlignment="1">
      <alignment vertical="center"/>
    </xf>
    <xf numFmtId="2" fontId="6" fillId="24" borderId="0" xfId="2" applyNumberFormat="1" applyFont="1" applyFill="1" applyAlignment="1">
      <alignment vertical="center"/>
    </xf>
    <xf numFmtId="2" fontId="6" fillId="24" borderId="0" xfId="0" applyNumberFormat="1" applyFont="1" applyFill="1" applyAlignment="1">
      <alignment vertical="center"/>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2" borderId="0" xfId="0" applyFont="1" applyFill="1" applyAlignment="1">
      <alignment vertical="center"/>
    </xf>
    <xf numFmtId="2" fontId="6" fillId="2" borderId="0" xfId="2" applyNumberFormat="1" applyFont="1" applyFill="1" applyAlignment="1">
      <alignment vertical="center"/>
    </xf>
    <xf numFmtId="2" fontId="6" fillId="2" borderId="0" xfId="0" applyNumberFormat="1" applyFont="1" applyFill="1" applyAlignment="1">
      <alignment vertical="center"/>
    </xf>
    <xf numFmtId="164" fontId="0" fillId="0" borderId="0" xfId="0" applyNumberFormat="1"/>
    <xf numFmtId="0" fontId="0" fillId="0" borderId="0" xfId="0" applyAlignment="1">
      <alignment horizontal="left" vertical="center"/>
    </xf>
    <xf numFmtId="0" fontId="0" fillId="2" borderId="0" xfId="0" applyFill="1" applyAlignment="1">
      <alignment horizontal="left" vertical="center"/>
    </xf>
    <xf numFmtId="0" fontId="24" fillId="2" borderId="0" xfId="0" applyFont="1" applyFill="1" applyAlignment="1">
      <alignment horizontal="left" vertical="center" wrapText="1" indent="1"/>
    </xf>
    <xf numFmtId="0" fontId="21" fillId="2" borderId="4" xfId="4" applyFont="1" applyFill="1" applyBorder="1" applyAlignment="1">
      <alignment horizontal="left" vertical="center" wrapText="1" indent="1"/>
    </xf>
    <xf numFmtId="0" fontId="2" fillId="2" borderId="0" xfId="0" applyFont="1" applyFill="1" applyAlignment="1">
      <alignment horizontal="left" vertical="top" indent="2"/>
    </xf>
    <xf numFmtId="10" fontId="6" fillId="2" borderId="4" xfId="2" applyNumberFormat="1" applyFont="1" applyFill="1" applyBorder="1" applyAlignment="1" applyProtection="1">
      <alignment horizontal="center" vertical="center"/>
    </xf>
    <xf numFmtId="165" fontId="6" fillId="2" borderId="0" xfId="0" applyNumberFormat="1" applyFont="1" applyFill="1" applyAlignment="1">
      <alignment horizontal="center"/>
    </xf>
    <xf numFmtId="0" fontId="24" fillId="2" borderId="5" xfId="0" applyFont="1" applyFill="1" applyBorder="1" applyAlignment="1">
      <alignment horizontal="left" vertical="center" wrapText="1" indent="1"/>
    </xf>
    <xf numFmtId="4" fontId="6" fillId="2" borderId="0" xfId="4" applyNumberFormat="1" applyFont="1" applyFill="1" applyAlignment="1">
      <alignment horizontal="center" vertical="center"/>
    </xf>
    <xf numFmtId="0" fontId="23" fillId="2" borderId="0" xfId="0" applyFont="1" applyFill="1" applyAlignment="1" applyProtection="1">
      <alignment horizontal="left" vertical="center"/>
      <protection hidden="1"/>
    </xf>
    <xf numFmtId="0" fontId="24" fillId="7" borderId="7" xfId="0" applyFont="1" applyFill="1" applyBorder="1" applyAlignment="1">
      <alignment horizontal="center" vertical="center"/>
    </xf>
    <xf numFmtId="0" fontId="24" fillId="7" borderId="4" xfId="0" applyFont="1" applyFill="1" applyBorder="1" applyAlignment="1">
      <alignment horizontal="center" vertical="center"/>
    </xf>
    <xf numFmtId="0" fontId="21" fillId="7" borderId="11" xfId="0" quotePrefix="1" applyFont="1" applyFill="1" applyBorder="1" applyAlignment="1">
      <alignment horizontal="center" vertical="center"/>
    </xf>
    <xf numFmtId="0" fontId="21" fillId="7" borderId="12" xfId="0" quotePrefix="1" applyFont="1" applyFill="1" applyBorder="1" applyAlignment="1">
      <alignment horizontal="center" vertical="center"/>
    </xf>
    <xf numFmtId="0" fontId="24" fillId="7" borderId="6" xfId="0" applyFont="1" applyFill="1" applyBorder="1" applyAlignment="1">
      <alignment horizontal="center" vertical="center"/>
    </xf>
    <xf numFmtId="0" fontId="21" fillId="7" borderId="2" xfId="0" applyFont="1" applyFill="1" applyBorder="1" applyAlignment="1">
      <alignment horizontal="left" vertical="center" wrapText="1" indent="1"/>
    </xf>
    <xf numFmtId="0" fontId="21" fillId="7" borderId="0" xfId="0" applyFont="1" applyFill="1" applyAlignment="1">
      <alignment horizontal="left" vertical="center" wrapText="1" indent="1"/>
    </xf>
    <xf numFmtId="0" fontId="43" fillId="2" borderId="0" xfId="4" applyFont="1" applyFill="1" applyAlignment="1">
      <alignment horizontal="left" vertical="top" wrapText="1"/>
    </xf>
    <xf numFmtId="0" fontId="21" fillId="7" borderId="11" xfId="0" applyFont="1" applyFill="1" applyBorder="1" applyAlignment="1">
      <alignment horizontal="left" vertical="center" indent="2"/>
    </xf>
    <xf numFmtId="0" fontId="21" fillId="7" borderId="5" xfId="0" applyFont="1" applyFill="1" applyBorder="1" applyAlignment="1">
      <alignment horizontal="left" vertical="center" indent="2"/>
    </xf>
    <xf numFmtId="0" fontId="21" fillId="7" borderId="0" xfId="0" applyFont="1" applyFill="1" applyAlignment="1" applyProtection="1">
      <alignment horizontal="left" vertical="center" wrapText="1" indent="2"/>
      <protection hidden="1"/>
    </xf>
    <xf numFmtId="0" fontId="68" fillId="0" borderId="2" xfId="0" applyFont="1" applyBorder="1" applyAlignment="1">
      <alignment horizontal="center" vertical="center" wrapText="1"/>
    </xf>
    <xf numFmtId="0" fontId="21" fillId="7" borderId="7" xfId="0" applyFont="1" applyFill="1" applyBorder="1" applyAlignment="1">
      <alignment horizontal="left" vertical="center" indent="2"/>
    </xf>
    <xf numFmtId="0" fontId="21" fillId="7" borderId="4" xfId="0" applyFont="1" applyFill="1" applyBorder="1" applyAlignment="1">
      <alignment horizontal="left" vertical="center" indent="2"/>
    </xf>
    <xf numFmtId="0" fontId="21" fillId="7" borderId="9" xfId="0" quotePrefix="1" applyFont="1" applyFill="1" applyBorder="1" applyAlignment="1">
      <alignment horizontal="center" vertical="center"/>
    </xf>
    <xf numFmtId="0" fontId="21" fillId="7" borderId="8" xfId="0" quotePrefix="1" applyFont="1" applyFill="1" applyBorder="1" applyAlignment="1">
      <alignment horizontal="center" vertical="center"/>
    </xf>
    <xf numFmtId="0" fontId="21" fillId="7" borderId="9" xfId="0" applyFont="1" applyFill="1" applyBorder="1" applyAlignment="1">
      <alignment horizontal="left" vertical="center" indent="2"/>
    </xf>
    <xf numFmtId="0" fontId="21" fillId="7" borderId="3" xfId="0" applyFont="1" applyFill="1" applyBorder="1" applyAlignment="1">
      <alignment horizontal="left" vertical="center" indent="2"/>
    </xf>
    <xf numFmtId="0" fontId="21" fillId="7" borderId="9" xfId="0" applyFont="1" applyFill="1" applyBorder="1" applyAlignment="1">
      <alignment horizontal="left" vertical="center" wrapText="1" indent="2"/>
    </xf>
    <xf numFmtId="0" fontId="21" fillId="7" borderId="3" xfId="0" applyFont="1" applyFill="1" applyBorder="1" applyAlignment="1">
      <alignment horizontal="left" vertical="center" wrapText="1" indent="2"/>
    </xf>
    <xf numFmtId="0" fontId="28" fillId="7" borderId="10" xfId="6" applyFont="1" applyFill="1" applyBorder="1" applyAlignment="1" applyProtection="1">
      <alignment horizontal="left" vertical="center" indent="9"/>
    </xf>
    <xf numFmtId="0" fontId="22" fillId="3" borderId="0" xfId="0" applyFont="1" applyFill="1" applyAlignment="1">
      <alignment horizontal="center" vertical="center" wrapText="1"/>
    </xf>
    <xf numFmtId="0" fontId="29" fillId="3" borderId="0" xfId="6" applyFont="1" applyFill="1" applyBorder="1" applyAlignment="1" applyProtection="1">
      <alignment horizontal="center" vertical="center" wrapText="1"/>
    </xf>
    <xf numFmtId="0" fontId="26" fillId="8" borderId="0" xfId="0" applyFont="1" applyFill="1" applyAlignment="1">
      <alignment horizontal="center" vertical="center" wrapText="1"/>
    </xf>
    <xf numFmtId="0" fontId="22" fillId="8" borderId="0" xfId="0" applyFont="1" applyFill="1" applyAlignment="1">
      <alignment horizontal="center" vertical="center" wrapText="1"/>
    </xf>
    <xf numFmtId="0" fontId="26" fillId="7" borderId="0" xfId="0" applyFont="1" applyFill="1" applyAlignment="1">
      <alignment horizontal="center" vertical="center" wrapText="1"/>
    </xf>
    <xf numFmtId="0" fontId="22" fillId="7" borderId="0" xfId="0" applyFont="1" applyFill="1" applyAlignment="1">
      <alignment horizontal="center" vertical="center" wrapText="1"/>
    </xf>
    <xf numFmtId="0" fontId="26" fillId="20" borderId="0" xfId="0" applyFont="1" applyFill="1" applyAlignment="1">
      <alignment horizontal="center" vertical="center" wrapText="1"/>
    </xf>
    <xf numFmtId="0" fontId="22" fillId="20" borderId="0" xfId="0" applyFont="1" applyFill="1" applyAlignment="1">
      <alignment horizontal="center" vertical="center" wrapText="1"/>
    </xf>
    <xf numFmtId="0" fontId="26" fillId="3" borderId="0" xfId="0" applyFont="1" applyFill="1" applyAlignment="1">
      <alignment horizontal="center" vertical="center" wrapText="1"/>
    </xf>
    <xf numFmtId="0" fontId="67" fillId="0" borderId="2" xfId="0" applyFont="1" applyBorder="1" applyAlignment="1">
      <alignment horizontal="center" vertical="center" wrapText="1"/>
    </xf>
    <xf numFmtId="0" fontId="21" fillId="7" borderId="4" xfId="4" applyFont="1" applyFill="1" applyBorder="1" applyAlignment="1">
      <alignment horizontal="left" vertical="center" wrapText="1" indent="1"/>
    </xf>
    <xf numFmtId="0" fontId="24" fillId="7" borderId="0" xfId="0" applyFont="1" applyFill="1" applyAlignment="1">
      <alignment horizontal="left" vertical="center" wrapText="1" indent="1"/>
    </xf>
    <xf numFmtId="0" fontId="31" fillId="0" borderId="0" xfId="0" applyFont="1" applyAlignment="1">
      <alignment horizontal="left" vertical="top" wrapText="1"/>
    </xf>
    <xf numFmtId="0" fontId="31" fillId="0" borderId="0" xfId="0" applyFont="1" applyAlignment="1">
      <alignment horizontal="left" vertical="center" wrapText="1"/>
    </xf>
    <xf numFmtId="164" fontId="5" fillId="5" borderId="5" xfId="2" applyNumberFormat="1" applyFont="1" applyFill="1" applyBorder="1" applyAlignment="1" applyProtection="1">
      <alignment horizontal="left" vertical="center" wrapText="1" indent="1"/>
    </xf>
    <xf numFmtId="0" fontId="63" fillId="12" borderId="0" xfId="0" applyFont="1" applyFill="1" applyAlignment="1">
      <alignment horizontal="left" vertical="center" wrapText="1"/>
    </xf>
    <xf numFmtId="0" fontId="22" fillId="21" borderId="0" xfId="0" applyFont="1" applyFill="1" applyAlignment="1">
      <alignment horizontal="left" vertical="center" wrapText="1" indent="1"/>
    </xf>
    <xf numFmtId="3" fontId="5" fillId="5" borderId="3" xfId="4" applyNumberFormat="1" applyFont="1" applyFill="1" applyBorder="1" applyAlignment="1">
      <alignment horizontal="left" vertical="center" indent="1"/>
    </xf>
    <xf numFmtId="0" fontId="0" fillId="0" borderId="0" xfId="0" applyAlignment="1">
      <alignment horizontal="left" vertical="top" wrapText="1"/>
    </xf>
    <xf numFmtId="3" fontId="5" fillId="5" borderId="5" xfId="4" applyNumberFormat="1" applyFont="1" applyFill="1" applyBorder="1" applyAlignment="1">
      <alignment horizontal="left" vertical="center" indent="1"/>
    </xf>
    <xf numFmtId="3" fontId="25" fillId="5" borderId="0" xfId="4" applyNumberFormat="1" applyFont="1" applyFill="1" applyAlignment="1">
      <alignment horizontal="left" vertical="center" indent="1"/>
    </xf>
    <xf numFmtId="0" fontId="24" fillId="7" borderId="3" xfId="0" applyFont="1" applyFill="1" applyBorder="1" applyAlignment="1">
      <alignment horizontal="left" vertical="center" wrapText="1" indent="1"/>
    </xf>
    <xf numFmtId="0" fontId="24" fillId="7" borderId="4" xfId="0" applyFont="1" applyFill="1" applyBorder="1" applyAlignment="1">
      <alignment horizontal="left" vertical="center" wrapText="1" indent="1"/>
    </xf>
    <xf numFmtId="164" fontId="5" fillId="5" borderId="0" xfId="2" applyNumberFormat="1" applyFont="1" applyFill="1" applyBorder="1" applyAlignment="1" applyProtection="1">
      <alignment horizontal="left" vertical="center" indent="1"/>
    </xf>
    <xf numFmtId="0" fontId="67" fillId="0" borderId="2" xfId="0" applyFont="1" applyBorder="1" applyAlignment="1" applyProtection="1">
      <alignment horizontal="center" vertical="center" wrapText="1"/>
      <protection locked="0"/>
    </xf>
    <xf numFmtId="0" fontId="5" fillId="5" borderId="2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24" fillId="18" borderId="9" xfId="0" applyFont="1" applyFill="1" applyBorder="1" applyAlignment="1" applyProtection="1">
      <alignment horizontal="center" vertical="center" wrapText="1"/>
      <protection locked="0"/>
    </xf>
    <xf numFmtId="0" fontId="24" fillId="18" borderId="23" xfId="0" applyFont="1" applyFill="1" applyBorder="1" applyAlignment="1" applyProtection="1">
      <alignment horizontal="center" vertical="center" wrapText="1"/>
      <protection locked="0"/>
    </xf>
    <xf numFmtId="0" fontId="60" fillId="3" borderId="8" xfId="0" applyFont="1" applyFill="1" applyBorder="1" applyAlignment="1" applyProtection="1">
      <alignment vertical="center"/>
      <protection locked="0"/>
    </xf>
    <xf numFmtId="0" fontId="70" fillId="21" borderId="14" xfId="0" applyFont="1" applyFill="1" applyBorder="1" applyAlignment="1" applyProtection="1">
      <alignment horizontal="left" vertical="center" wrapText="1"/>
      <protection locked="0"/>
    </xf>
    <xf numFmtId="0" fontId="70" fillId="21" borderId="0" xfId="0" applyFont="1" applyFill="1" applyAlignment="1" applyProtection="1">
      <alignment horizontal="left" vertical="center" wrapText="1"/>
      <protection locked="0"/>
    </xf>
    <xf numFmtId="3" fontId="59" fillId="16" borderId="7" xfId="0" applyNumberFormat="1" applyFont="1" applyFill="1" applyBorder="1" applyAlignment="1" applyProtection="1">
      <alignment horizontal="left" vertical="center" wrapText="1"/>
      <protection locked="0"/>
    </xf>
    <xf numFmtId="3" fontId="59" fillId="16" borderId="0" xfId="0" applyNumberFormat="1" applyFont="1" applyFill="1" applyAlignment="1" applyProtection="1">
      <alignment horizontal="left" vertical="center" wrapText="1"/>
      <protection locked="0"/>
    </xf>
    <xf numFmtId="3" fontId="59" fillId="16" borderId="4" xfId="0" applyNumberFormat="1" applyFont="1" applyFill="1" applyBorder="1" applyAlignment="1" applyProtection="1">
      <alignment horizontal="left" vertical="center" wrapText="1"/>
      <protection locked="0"/>
    </xf>
    <xf numFmtId="0" fontId="24" fillId="18" borderId="8" xfId="0" applyFont="1" applyFill="1" applyBorder="1" applyAlignment="1" applyProtection="1">
      <alignment horizontal="center" vertical="center" wrapText="1"/>
      <protection locked="0"/>
    </xf>
    <xf numFmtId="0" fontId="24" fillId="18" borderId="6" xfId="0" applyFont="1" applyFill="1" applyBorder="1" applyAlignment="1" applyProtection="1">
      <alignment horizontal="center" vertical="center" wrapText="1"/>
      <protection locked="0"/>
    </xf>
    <xf numFmtId="0" fontId="24" fillId="18" borderId="14" xfId="0" applyFont="1" applyFill="1" applyBorder="1" applyAlignment="1" applyProtection="1">
      <alignment horizontal="center" vertical="center" wrapText="1"/>
      <protection locked="0"/>
    </xf>
    <xf numFmtId="0" fontId="60" fillId="3" borderId="14" xfId="0" applyFont="1" applyFill="1" applyBorder="1" applyAlignment="1" applyProtection="1">
      <alignment horizontal="center" vertical="center"/>
      <protection locked="0"/>
    </xf>
    <xf numFmtId="0" fontId="24" fillId="16" borderId="8" xfId="0" applyFont="1" applyFill="1" applyBorder="1" applyAlignment="1" applyProtection="1">
      <alignment horizontal="center" vertical="center" wrapText="1"/>
      <protection locked="0"/>
    </xf>
    <xf numFmtId="0" fontId="24" fillId="16" borderId="6" xfId="0" applyFont="1" applyFill="1" applyBorder="1" applyAlignment="1" applyProtection="1">
      <alignment horizontal="center" vertical="center" wrapText="1"/>
      <protection locked="0"/>
    </xf>
    <xf numFmtId="0" fontId="24" fillId="16" borderId="27" xfId="0" applyFont="1" applyFill="1" applyBorder="1" applyAlignment="1" applyProtection="1">
      <alignment horizontal="center" vertical="center" wrapText="1"/>
      <protection locked="0"/>
    </xf>
    <xf numFmtId="0" fontId="60" fillId="7" borderId="14" xfId="0" applyFont="1" applyFill="1" applyBorder="1" applyAlignment="1" applyProtection="1">
      <alignment horizontal="center"/>
      <protection locked="0"/>
    </xf>
    <xf numFmtId="3" fontId="59" fillId="18" borderId="4" xfId="0" applyNumberFormat="1" applyFont="1" applyFill="1" applyBorder="1" applyAlignment="1" applyProtection="1">
      <alignment horizontal="center" vertical="center"/>
      <protection locked="0"/>
    </xf>
    <xf numFmtId="0" fontId="24" fillId="16" borderId="3" xfId="0" applyFont="1" applyFill="1" applyBorder="1" applyAlignment="1" applyProtection="1">
      <alignment horizontal="center" wrapText="1"/>
      <protection locked="0"/>
    </xf>
    <xf numFmtId="0" fontId="24" fillId="16" borderId="29" xfId="0" applyFont="1" applyFill="1" applyBorder="1" applyAlignment="1" applyProtection="1">
      <alignment horizontal="center" wrapText="1"/>
      <protection locked="0"/>
    </xf>
    <xf numFmtId="3" fontId="59" fillId="16" borderId="4" xfId="0" applyNumberFormat="1" applyFont="1" applyFill="1" applyBorder="1" applyAlignment="1" applyProtection="1">
      <alignment horizontal="center" vertical="center"/>
      <protection locked="0"/>
    </xf>
    <xf numFmtId="0" fontId="24" fillId="21" borderId="14" xfId="0" applyFont="1" applyFill="1" applyBorder="1" applyAlignment="1" applyProtection="1">
      <alignment horizontal="left" vertical="center" wrapText="1"/>
      <protection locked="0"/>
    </xf>
    <xf numFmtId="0" fontId="24" fillId="21" borderId="0" xfId="0" applyFont="1" applyFill="1" applyAlignment="1" applyProtection="1">
      <alignment horizontal="left" vertical="center" wrapText="1"/>
      <protection locked="0"/>
    </xf>
    <xf numFmtId="0" fontId="24" fillId="16" borderId="14" xfId="0" applyFont="1" applyFill="1" applyBorder="1" applyAlignment="1" applyProtection="1">
      <alignment horizontal="center" vertical="center" wrapText="1"/>
      <protection locked="0"/>
    </xf>
    <xf numFmtId="0" fontId="24" fillId="18" borderId="30" xfId="0" applyFont="1" applyFill="1" applyBorder="1" applyAlignment="1" applyProtection="1">
      <alignment horizontal="center" vertical="center" wrapText="1"/>
      <protection locked="0"/>
    </xf>
    <xf numFmtId="3" fontId="59" fillId="18" borderId="7" xfId="0" applyNumberFormat="1" applyFont="1" applyFill="1" applyBorder="1" applyAlignment="1" applyProtection="1">
      <alignment horizontal="left" vertical="center" wrapText="1"/>
      <protection locked="0"/>
    </xf>
    <xf numFmtId="3" fontId="59" fillId="18" borderId="4" xfId="0" applyNumberFormat="1" applyFont="1" applyFill="1" applyBorder="1" applyAlignment="1" applyProtection="1">
      <alignment horizontal="left" vertical="center" wrapText="1"/>
      <protection locked="0"/>
    </xf>
    <xf numFmtId="0" fontId="24" fillId="16" borderId="31" xfId="0" applyFont="1" applyFill="1" applyBorder="1" applyAlignment="1" applyProtection="1">
      <alignment horizontal="center" vertical="center" wrapText="1"/>
      <protection locked="0"/>
    </xf>
    <xf numFmtId="0" fontId="24" fillId="16" borderId="30" xfId="0" applyFont="1" applyFill="1" applyBorder="1" applyAlignment="1" applyProtection="1">
      <alignment horizontal="center" vertical="center" wrapText="1"/>
      <protection locked="0"/>
    </xf>
    <xf numFmtId="3" fontId="59" fillId="18" borderId="4" xfId="0" applyNumberFormat="1" applyFont="1" applyFill="1" applyBorder="1" applyAlignment="1" applyProtection="1">
      <alignment horizontal="center" vertical="center" wrapText="1"/>
      <protection locked="0"/>
    </xf>
    <xf numFmtId="0" fontId="12" fillId="14" borderId="0" xfId="0" applyFont="1" applyFill="1" applyAlignment="1">
      <alignment horizontal="center"/>
    </xf>
    <xf numFmtId="164" fontId="5" fillId="5" borderId="5" xfId="2" applyNumberFormat="1" applyFont="1" applyFill="1" applyBorder="1" applyAlignment="1">
      <alignment horizontal="left" vertical="center" indent="1"/>
    </xf>
    <xf numFmtId="0" fontId="24" fillId="7" borderId="0" xfId="0" applyFont="1" applyFill="1" applyAlignment="1">
      <alignment horizontal="center" vertical="center" wrapText="1"/>
    </xf>
    <xf numFmtId="0" fontId="21" fillId="7" borderId="4" xfId="4" applyFont="1" applyFill="1" applyBorder="1" applyAlignment="1">
      <alignment horizontal="left" vertical="center" indent="2"/>
    </xf>
  </cellXfs>
  <cellStyles count="10">
    <cellStyle name="Hyperlink" xfId="6" builtinId="8"/>
    <cellStyle name="Hyperlink 2" xfId="8" xr:uid="{00000000-0005-0000-0000-000000000000}"/>
    <cellStyle name="Normal" xfId="0" builtinId="0"/>
    <cellStyle name="Normal 10 2" xfId="3" xr:uid="{00000000-0005-0000-0000-000003000000}"/>
    <cellStyle name="Normal 13" xfId="4" xr:uid="{00000000-0005-0000-0000-000004000000}"/>
    <cellStyle name="Normal 2" xfId="1" xr:uid="{00000000-0005-0000-0000-000005000000}"/>
    <cellStyle name="Normal 2 2" xfId="7" xr:uid="{00000000-0005-0000-0000-000006000000}"/>
    <cellStyle name="Percent" xfId="2" builtinId="5"/>
    <cellStyle name="Percent 2" xfId="9" xr:uid="{00000000-0005-0000-0000-000007000000}"/>
    <cellStyle name="Porcentaje 2" xfId="5" xr:uid="{00000000-0005-0000-0000-000008000000}"/>
  </cellStyles>
  <dxfs count="233">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dxf>
    <dxf>
      <numFmt numFmtId="168" formatCode="0.0"/>
    </dxf>
    <dxf>
      <numFmt numFmtId="2" formatCode="0.00"/>
    </dxf>
    <dxf>
      <numFmt numFmtId="168" formatCode="0.0"/>
    </dxf>
    <dxf>
      <numFmt numFmtId="2" formatCode="0.00"/>
    </dxf>
    <dxf>
      <numFmt numFmtId="2" formatCode="0.00"/>
    </dxf>
    <dxf>
      <numFmt numFmtId="168" formatCode="0.0"/>
    </dxf>
    <dxf>
      <numFmt numFmtId="2" formatCode="0.00"/>
    </dxf>
    <dxf>
      <numFmt numFmtId="168" formatCode="0.0"/>
    </dxf>
    <dxf>
      <font>
        <color theme="0"/>
      </font>
      <fill>
        <patternFill>
          <bgColor theme="0"/>
        </patternFill>
      </fill>
    </dxf>
    <dxf>
      <numFmt numFmtId="168" formatCode="0.0"/>
    </dxf>
    <dxf>
      <numFmt numFmtId="2" formatCode="0.00"/>
    </dxf>
    <dxf>
      <numFmt numFmtId="2" formatCode="0.00"/>
    </dxf>
    <dxf>
      <numFmt numFmtId="168" formatCode="0.0"/>
    </dxf>
    <dxf>
      <numFmt numFmtId="168" formatCode="0.0"/>
    </dxf>
    <dxf>
      <numFmt numFmtId="2" formatCode="0.00"/>
    </dxf>
    <dxf>
      <font>
        <b val="0"/>
        <i/>
      </font>
    </dxf>
    <dxf>
      <font>
        <b val="0"/>
        <i/>
      </font>
    </dxf>
    <dxf>
      <font>
        <b val="0"/>
        <i/>
      </font>
      <border>
        <left/>
        <right/>
        <top/>
        <bottom/>
      </border>
    </dxf>
    <dxf>
      <font>
        <color theme="0" tint="-0.14996795556505021"/>
      </font>
      <fill>
        <patternFill>
          <bgColor theme="0" tint="-0.14996795556505021"/>
        </patternFill>
      </fill>
    </dxf>
    <dxf>
      <numFmt numFmtId="168" formatCode="0.0"/>
    </dxf>
    <dxf>
      <numFmt numFmtId="2" formatCode="0.00"/>
    </dxf>
    <dxf>
      <font>
        <color theme="0"/>
      </font>
      <numFmt numFmtId="169" formatCode=";;;"/>
      <fill>
        <patternFill patternType="none">
          <bgColor auto="1"/>
        </patternFill>
      </fill>
      <border>
        <left/>
        <right/>
        <top/>
        <bottom/>
        <vertical/>
        <horizontal/>
      </border>
    </dxf>
    <dxf>
      <numFmt numFmtId="2" formatCode="0.00"/>
    </dxf>
    <dxf>
      <numFmt numFmtId="0" formatCode="General"/>
    </dxf>
    <dxf>
      <font>
        <color theme="0" tint="-0.14996795556505021"/>
      </font>
    </dxf>
    <dxf>
      <numFmt numFmtId="3" formatCode="#,##0"/>
    </dxf>
    <dxf>
      <numFmt numFmtId="0" formatCode="General"/>
    </dxf>
    <dxf>
      <fill>
        <patternFill>
          <bgColor rgb="FFFFC000"/>
        </patternFill>
      </fill>
    </dxf>
    <dxf>
      <fill>
        <patternFill>
          <bgColor rgb="FFFFC000"/>
        </patternFill>
      </fill>
    </dxf>
    <dxf>
      <fill>
        <patternFill>
          <bgColor rgb="FFFFC000"/>
        </patternFill>
      </fill>
    </dxf>
    <dxf>
      <font>
        <color theme="0" tint="-0.14996795556505021"/>
      </font>
    </dxf>
    <dxf>
      <font>
        <color theme="0" tint="-0.14996795556505021"/>
      </font>
    </dxf>
    <dxf>
      <numFmt numFmtId="0" formatCode="General"/>
    </dxf>
    <dxf>
      <numFmt numFmtId="170" formatCode="0.000"/>
    </dxf>
    <dxf>
      <numFmt numFmtId="170" formatCode="0.000"/>
    </dxf>
    <dxf>
      <font>
        <color theme="0" tint="-0.14996795556505021"/>
      </font>
    </dxf>
    <dxf>
      <numFmt numFmtId="2" formatCode="0.00"/>
    </dxf>
    <dxf>
      <numFmt numFmtId="0" formatCode="General"/>
    </dxf>
    <dxf>
      <numFmt numFmtId="0" formatCode="General"/>
    </dxf>
    <dxf>
      <numFmt numFmtId="2" formatCode="0.00"/>
    </dxf>
    <dxf>
      <font>
        <color theme="0" tint="-0.14996795556505021"/>
      </font>
    </dxf>
    <dxf>
      <numFmt numFmtId="2" formatCode="0.00"/>
    </dxf>
    <dxf>
      <numFmt numFmtId="170" formatCode="0.000"/>
    </dxf>
    <dxf>
      <numFmt numFmtId="0" formatCode="General"/>
    </dxf>
    <dxf>
      <numFmt numFmtId="0" formatCode="General"/>
    </dxf>
    <dxf>
      <numFmt numFmtId="2" formatCode="0.00"/>
    </dxf>
    <dxf>
      <numFmt numFmtId="0" formatCode="General"/>
    </dxf>
    <dxf>
      <numFmt numFmtId="2" formatCode="0.00"/>
    </dxf>
    <dxf>
      <numFmt numFmtId="0" formatCode="General"/>
    </dxf>
    <dxf>
      <numFmt numFmtId="0" formatCode="General"/>
    </dxf>
    <dxf>
      <numFmt numFmtId="0" formatCode="General"/>
    </dxf>
    <dxf>
      <numFmt numFmtId="2" formatCode="0.00"/>
    </dxf>
    <dxf>
      <numFmt numFmtId="0" formatCode="General"/>
    </dxf>
    <dxf>
      <numFmt numFmtId="170" formatCode="0.000"/>
    </dxf>
    <dxf>
      <numFmt numFmtId="2" formatCode="0.00"/>
    </dxf>
    <dxf>
      <numFmt numFmtId="0" formatCode="General"/>
    </dxf>
    <dxf>
      <numFmt numFmtId="2" formatCode="0.00"/>
    </dxf>
    <dxf>
      <numFmt numFmtId="0" formatCode="General"/>
    </dxf>
    <dxf>
      <numFmt numFmtId="0" formatCode="General"/>
    </dxf>
    <dxf>
      <numFmt numFmtId="2" formatCode="0.00"/>
    </dxf>
    <dxf>
      <numFmt numFmtId="0" formatCode="General"/>
    </dxf>
    <dxf>
      <numFmt numFmtId="2" formatCode="0.00"/>
    </dxf>
    <dxf>
      <numFmt numFmtId="2" formatCode="0.00"/>
    </dxf>
    <dxf>
      <numFmt numFmtId="0" formatCode="General"/>
    </dxf>
    <dxf>
      <numFmt numFmtId="170" formatCode="0.000"/>
    </dxf>
    <dxf>
      <numFmt numFmtId="0" formatCode="General"/>
    </dxf>
    <dxf>
      <numFmt numFmtId="2" formatCode="0.00"/>
    </dxf>
    <dxf>
      <numFmt numFmtId="0" formatCode="General"/>
    </dxf>
    <dxf>
      <numFmt numFmtId="170" formatCode="0.000"/>
    </dxf>
    <dxf>
      <numFmt numFmtId="2" formatCode="0.00"/>
    </dxf>
    <dxf>
      <numFmt numFmtId="0" formatCode="General"/>
    </dxf>
    <dxf>
      <numFmt numFmtId="2" formatCode="0.00"/>
    </dxf>
    <dxf>
      <numFmt numFmtId="0" formatCode="General"/>
    </dxf>
    <dxf>
      <numFmt numFmtId="170" formatCode="0.000"/>
    </dxf>
    <dxf>
      <numFmt numFmtId="0" formatCode="General"/>
    </dxf>
    <dxf>
      <numFmt numFmtId="2" formatCode="0.00"/>
    </dxf>
    <dxf>
      <numFmt numFmtId="0" formatCode="General"/>
    </dxf>
    <dxf>
      <numFmt numFmtId="0" formatCode="General"/>
    </dxf>
    <dxf>
      <numFmt numFmtId="2" formatCode="0.00"/>
    </dxf>
    <dxf>
      <numFmt numFmtId="0" formatCode="General"/>
    </dxf>
    <dxf>
      <numFmt numFmtId="2" formatCode="0.00"/>
    </dxf>
    <dxf>
      <numFmt numFmtId="2" formatCode="0.00"/>
    </dxf>
    <dxf>
      <numFmt numFmtId="0" formatCode="General"/>
    </dxf>
    <dxf>
      <numFmt numFmtId="2" formatCode="0.00"/>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2" formatCode="0.00"/>
    </dxf>
    <dxf>
      <font>
        <color rgb="FFC00000"/>
      </font>
      <numFmt numFmtId="14" formatCode="0.00%"/>
      <fill>
        <patternFill>
          <bgColor theme="0" tint="-0.14996795556505021"/>
        </patternFill>
      </fill>
    </dxf>
    <dxf>
      <font>
        <b/>
        <i val="0"/>
        <color theme="0" tint="-0.14993743705557422"/>
      </font>
      <numFmt numFmtId="0" formatCode="General"/>
      <fill>
        <patternFill patternType="none">
          <bgColor auto="1"/>
        </patternFill>
      </fill>
    </dxf>
    <dxf>
      <numFmt numFmtId="0" formatCode="Genera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numFmt numFmtId="2" formatCode="0.00"/>
    </dxf>
    <dxf>
      <numFmt numFmtId="168" formatCode="0.0"/>
    </dxf>
    <dxf>
      <font>
        <b val="0"/>
        <i/>
      </font>
    </dxf>
    <dxf>
      <font>
        <b val="0"/>
        <i/>
      </font>
    </dxf>
    <dxf>
      <font>
        <color theme="0"/>
      </font>
      <fill>
        <patternFill>
          <bgColor theme="0"/>
        </patternFill>
      </fill>
    </dxf>
    <dxf>
      <font>
        <color theme="0"/>
      </font>
      <fill>
        <patternFill>
          <bgColor theme="0"/>
        </patternFill>
      </fill>
    </dxf>
    <dxf>
      <font>
        <color theme="0"/>
      </font>
      <fill>
        <patternFill>
          <bgColor theme="0"/>
        </patternFill>
      </fill>
    </dxf>
    <dxf>
      <font>
        <b val="0"/>
        <i/>
      </font>
    </dxf>
    <dxf>
      <font>
        <color theme="0"/>
      </font>
    </dxf>
    <dxf>
      <font>
        <color theme="0"/>
      </font>
    </dxf>
    <dxf>
      <numFmt numFmtId="168" formatCode="0.0"/>
    </dxf>
    <dxf>
      <numFmt numFmtId="2" formatCode="0.00"/>
    </dxf>
    <dxf>
      <numFmt numFmtId="168" formatCode="0.0"/>
    </dxf>
    <dxf>
      <numFmt numFmtId="2" formatCode="0.00"/>
    </dxf>
    <dxf>
      <numFmt numFmtId="168" formatCode="0.0"/>
    </dxf>
    <dxf>
      <numFmt numFmtId="2" formatCode="0.00"/>
    </dxf>
    <dxf>
      <numFmt numFmtId="2" formatCode="0.00"/>
    </dxf>
    <dxf>
      <numFmt numFmtId="168" formatCode="0.0"/>
    </dxf>
    <dxf>
      <numFmt numFmtId="2" formatCode="0.00"/>
    </dxf>
    <dxf>
      <numFmt numFmtId="168" formatCode="0.0"/>
    </dxf>
    <dxf>
      <font>
        <color theme="0"/>
      </font>
      <fill>
        <patternFill>
          <bgColor theme="0"/>
        </patternFill>
      </fill>
    </dxf>
    <dxf>
      <numFmt numFmtId="168" formatCode="0.0"/>
    </dxf>
    <dxf>
      <numFmt numFmtId="2" formatCode="0.00"/>
    </dxf>
    <dxf>
      <numFmt numFmtId="2" formatCode="0.00"/>
    </dxf>
    <dxf>
      <numFmt numFmtId="168" formatCode="0.0"/>
    </dxf>
    <dxf>
      <font>
        <b val="0"/>
        <i/>
      </font>
    </dxf>
    <dxf>
      <font>
        <b val="0"/>
        <i/>
      </font>
      <border>
        <left/>
        <right/>
        <top/>
        <bottom/>
      </border>
    </dxf>
    <dxf>
      <font>
        <color theme="0" tint="-0.14996795556505021"/>
      </font>
      <fill>
        <patternFill>
          <bgColor theme="0" tint="-0.14996795556505021"/>
        </patternFill>
      </fill>
    </dxf>
    <dxf>
      <numFmt numFmtId="168" formatCode="0.0"/>
    </dxf>
    <dxf>
      <numFmt numFmtId="2" formatCode="0.00"/>
    </dxf>
    <dxf>
      <font>
        <color theme="0"/>
      </font>
      <numFmt numFmtId="169" formatCode=";;;"/>
      <fill>
        <patternFill patternType="none">
          <bgColor auto="1"/>
        </patternFill>
      </fill>
      <border>
        <left/>
        <right/>
        <top/>
        <bottom/>
        <vertical/>
        <horizontal/>
      </border>
    </dxf>
    <dxf>
      <numFmt numFmtId="0" formatCode="General"/>
    </dxf>
    <dxf>
      <numFmt numFmtId="164" formatCode="0.0%"/>
    </dxf>
    <dxf>
      <alignment horizontal="left"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numFmt numFmtId="2" formatCode="0.00"/>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horizontal="center" vertical="center" textRotation="0" wrapText="0" indent="0" justifyLastLine="0" shrinkToFit="0" readingOrder="0"/>
    </dxf>
    <dxf>
      <font>
        <strike val="0"/>
        <outline val="0"/>
        <shadow val="0"/>
        <u val="none"/>
        <vertAlign val="baseline"/>
        <sz val="9"/>
        <color theme="1"/>
        <name val="Arial"/>
        <family val="2"/>
        <scheme val="none"/>
      </font>
      <alignment horizontal="center" vertical="center" textRotation="0" indent="0" justifyLastLine="0" shrinkToFit="0" readingOrder="0"/>
    </dxf>
    <dxf>
      <font>
        <strike val="0"/>
        <outline val="0"/>
        <shadow val="0"/>
        <u val="none"/>
        <vertAlign val="baseline"/>
        <sz val="9"/>
        <color theme="1"/>
        <name val="Arial"/>
        <family val="2"/>
        <scheme val="none"/>
      </font>
      <alignment horizontal="center" vertical="center" textRotation="0" indent="0" justifyLastLine="0" shrinkToFit="0" readingOrder="0"/>
    </dxf>
    <dxf>
      <font>
        <strike val="0"/>
        <outline val="0"/>
        <shadow val="0"/>
        <u val="none"/>
        <vertAlign val="baseline"/>
        <sz val="9"/>
        <color theme="1"/>
        <name val="Arial"/>
        <family val="2"/>
        <scheme val="none"/>
      </font>
      <alignment horizontal="center"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horizontal="left" vertical="center" textRotation="0" wrapText="0" indent="0" justifyLastLine="0" shrinkToFit="0" readingOrder="0"/>
    </dxf>
    <dxf>
      <font>
        <strike val="0"/>
        <outline val="0"/>
        <shadow val="0"/>
        <u val="none"/>
        <vertAlign val="baseline"/>
        <sz val="9"/>
        <color theme="1"/>
        <name val="Arial"/>
        <family val="2"/>
        <scheme val="none"/>
      </font>
      <alignment horizontal="center" vertical="center" textRotation="0" wrapText="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
      <font>
        <strike val="0"/>
        <outline val="0"/>
        <shadow val="0"/>
        <u val="none"/>
        <vertAlign val="baseline"/>
        <sz val="9"/>
        <color theme="1"/>
        <name val="Arial"/>
        <family val="2"/>
        <scheme val="none"/>
      </font>
      <alignment vertical="center" textRotation="0" indent="0" justifyLastLine="0" shrinkToFit="0" readingOrder="0"/>
    </dxf>
  </dxfs>
  <tableStyles count="0" defaultTableStyle="TableStyleMedium2" defaultPivotStyle="PivotStyleLight16"/>
  <colors>
    <mruColors>
      <color rgb="FF00546E"/>
      <color rgb="FFFF40FF"/>
      <color rgb="FFFFA4F8"/>
      <color rgb="FFF7D379"/>
      <color rgb="FFF6B540"/>
      <color rgb="FFF5A81C"/>
      <color rgb="FFF7D315"/>
      <color rgb="FF000000"/>
      <color rgb="FF00759A"/>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3.xml"/><Relationship Id="rId1" Type="http://schemas.microsoft.com/office/2011/relationships/chartStyle" Target="style13.xml"/><Relationship Id="rId4" Type="http://schemas.openxmlformats.org/officeDocument/2006/relationships/chartUserShapes" Target="../drawings/drawing18.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8.6140098451548977E-2"/>
          <c:w val="0.68395562055618953"/>
          <c:h val="0.66692676216677738"/>
        </c:manualLayout>
      </c:layout>
      <c:scatterChart>
        <c:scatterStyle val="smoothMarker"/>
        <c:varyColors val="0"/>
        <c:ser>
          <c:idx val="0"/>
          <c:order val="0"/>
          <c:tx>
            <c:strRef>
              <c:f>Calculations!$B$109</c:f>
              <c:strCache>
                <c:ptCount val="1"/>
                <c:pt idx="0">
                  <c:v>select a LDV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Calculations!$E$109:$AI$109</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3-D0A5-40C9-A551-E595A2F775E6}"/>
            </c:ext>
          </c:extLst>
        </c:ser>
        <c:ser>
          <c:idx val="1"/>
          <c:order val="1"/>
          <c:tx>
            <c:strRef>
              <c:f>Calculations!$B$110</c:f>
              <c:strCache>
                <c:ptCount val="1"/>
                <c:pt idx="0">
                  <c:v>select a LDV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Calculations!$E$110:$AI$110</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7860-4468-9D47-147623ECE803}"/>
            </c:ext>
          </c:extLst>
        </c:ser>
        <c:ser>
          <c:idx val="2"/>
          <c:order val="2"/>
          <c:tx>
            <c:strRef>
              <c:f>Calculations!$B$111</c:f>
              <c:strCache>
                <c:ptCount val="1"/>
                <c:pt idx="0">
                  <c:v>select a LDV category</c:v>
                </c:pt>
              </c:strCache>
            </c:strRef>
          </c:tx>
          <c:spPr>
            <a:ln w="28575" cap="rnd">
              <a:noFill/>
              <a:round/>
            </a:ln>
            <a:effectLst/>
          </c:spPr>
          <c:marker>
            <c:symbol val="circle"/>
            <c:size val="5"/>
            <c:spPr>
              <a:solidFill>
                <a:srgbClr val="7030A0"/>
              </a:solidFill>
              <a:ln w="15875">
                <a:noFill/>
              </a:ln>
              <a:effectLst/>
            </c:spPr>
          </c:marker>
          <c:dLbls>
            <c:dLbl>
              <c:idx val="0"/>
              <c:layout>
                <c:manualLayout>
                  <c:x val="1.6106640953873781E-2"/>
                  <c:y val="-8.975208833862359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02F8-4FFA-A253-19F0F5138F59}"/>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Automakers!$D$75</c:f>
              <c:numCache>
                <c:formatCode>General</c:formatCode>
                <c:ptCount val="1"/>
              </c:numCache>
            </c:numRef>
          </c:xVal>
          <c:yVal>
            <c:numRef>
              <c:f>Calculations!$D$111</c:f>
              <c:numCache>
                <c:formatCode>#,##0.00</c:formatCode>
                <c:ptCount val="1"/>
                <c:pt idx="0">
                  <c:v>#N/A</c:v>
                </c:pt>
              </c:numCache>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49570272"/>
        <c:axId val="949571904"/>
      </c:scatterChart>
      <c:valAx>
        <c:axId val="949570272"/>
        <c:scaling>
          <c:orientation val="minMax"/>
          <c:max val="2050"/>
          <c:min val="2022"/>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Automakers!$F$76</c:f>
              <c:strCache>
                <c:ptCount val="1"/>
                <c:pt idx="0">
                  <c:v>gCO2e/vkm</c:v>
                </c:pt>
              </c:strCache>
            </c:strRef>
          </c:tx>
          <c:layout>
            <c:manualLayout>
              <c:xMode val="edge"/>
              <c:yMode val="edge"/>
              <c:x val="5.0079195816565301E-2"/>
              <c:y val="0.339290758835868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Comparison!$B$6</c:f>
          <c:strCache>
            <c:ptCount val="1"/>
            <c:pt idx="0">
              <c:v>WTW emissions intensity LDV</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Comparison!$B$7</c:f>
              <c:strCache>
                <c:ptCount val="1"/>
                <c:pt idx="0">
                  <c:v>Advanced</c:v>
                </c:pt>
              </c:strCache>
            </c:strRef>
          </c:tx>
          <c:spPr>
            <a:ln w="28575" cap="rnd">
              <a:solidFill>
                <a:schemeClr val="accent2"/>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Comparison!$C$7:$AQ$7</c:f>
              <c:numCache>
                <c:formatCode>General</c:formatCode>
                <c:ptCount val="41"/>
                <c:pt idx="0">
                  <c:v>340.30075256954802</c:v>
                </c:pt>
                <c:pt idx="1">
                  <c:v>335.37497123501601</c:v>
                </c:pt>
                <c:pt idx="2">
                  <c:v>343.63343525830197</c:v>
                </c:pt>
                <c:pt idx="3">
                  <c:v>348.16283241518101</c:v>
                </c:pt>
                <c:pt idx="4">
                  <c:v>326.72583100087098</c:v>
                </c:pt>
                <c:pt idx="5">
                  <c:v>316.20581249728002</c:v>
                </c:pt>
                <c:pt idx="6">
                  <c:v>310.81146132921799</c:v>
                </c:pt>
                <c:pt idx="7">
                  <c:v>316.89668143311098</c:v>
                </c:pt>
                <c:pt idx="8">
                  <c:v>289.60928509321502</c:v>
                </c:pt>
                <c:pt idx="9">
                  <c:v>287.18794343757003</c:v>
                </c:pt>
                <c:pt idx="10">
                  <c:v>287.73256143562003</c:v>
                </c:pt>
                <c:pt idx="11">
                  <c:v>289.04919651703801</c:v>
                </c:pt>
                <c:pt idx="12">
                  <c:v>275.10654315324001</c:v>
                </c:pt>
                <c:pt idx="13">
                  <c:v>271.48373718553802</c:v>
                </c:pt>
                <c:pt idx="14">
                  <c:v>272.552121229043</c:v>
                </c:pt>
                <c:pt idx="15">
                  <c:v>217.36878332154001</c:v>
                </c:pt>
                <c:pt idx="16">
                  <c:v>191.927654746961</c:v>
                </c:pt>
                <c:pt idx="17">
                  <c:v>165.59616070912</c:v>
                </c:pt>
                <c:pt idx="18">
                  <c:v>132.21622316924899</c:v>
                </c:pt>
                <c:pt idx="19">
                  <c:v>104.613947281604</c:v>
                </c:pt>
                <c:pt idx="20">
                  <c:v>81.754819378508799</c:v>
                </c:pt>
                <c:pt idx="21">
                  <c:v>58.24682815757</c:v>
                </c:pt>
                <c:pt idx="22">
                  <c:v>36.229757807218398</c:v>
                </c:pt>
                <c:pt idx="23">
                  <c:v>26.690551567513801</c:v>
                </c:pt>
                <c:pt idx="24">
                  <c:v>17.877985219193</c:v>
                </c:pt>
                <c:pt idx="25">
                  <c:v>15.952021455648399</c:v>
                </c:pt>
                <c:pt idx="26">
                  <c:v>13.751851233476801</c:v>
                </c:pt>
                <c:pt idx="27">
                  <c:v>12.137853074393201</c:v>
                </c:pt>
                <c:pt idx="28">
                  <c:v>10.661707512978801</c:v>
                </c:pt>
                <c:pt idx="29">
                  <c:v>9.3339374344665007</c:v>
                </c:pt>
                <c:pt idx="30">
                  <c:v>8.1030105306981302</c:v>
                </c:pt>
                <c:pt idx="31">
                  <c:v>7.2910062630343599</c:v>
                </c:pt>
                <c:pt idx="32">
                  <c:v>6.2318155037137801</c:v>
                </c:pt>
                <c:pt idx="33">
                  <c:v>5.5738195553430803</c:v>
                </c:pt>
                <c:pt idx="34">
                  <c:v>4.6666213140707899</c:v>
                </c:pt>
                <c:pt idx="35">
                  <c:v>4.1218259732884697</c:v>
                </c:pt>
                <c:pt idx="36">
                  <c:v>3.6114017418548499</c:v>
                </c:pt>
                <c:pt idx="37">
                  <c:v>3.1835135116688802</c:v>
                </c:pt>
                <c:pt idx="38">
                  <c:v>2.7528223208160201</c:v>
                </c:pt>
                <c:pt idx="39">
                  <c:v>2.5870085112394698</c:v>
                </c:pt>
                <c:pt idx="40">
                  <c:v>2.24146618824778</c:v>
                </c:pt>
              </c:numCache>
            </c:numRef>
          </c:val>
          <c:smooth val="0"/>
          <c:extLst>
            <c:ext xmlns:c16="http://schemas.microsoft.com/office/drawing/2014/chart" uri="{C3380CC4-5D6E-409C-BE32-E72D297353CC}">
              <c16:uniqueId val="{00000001-8121-4E95-91BF-D981B7AC4239}"/>
            </c:ext>
          </c:extLst>
        </c:ser>
        <c:ser>
          <c:idx val="2"/>
          <c:order val="1"/>
          <c:tx>
            <c:strRef>
              <c:f>Comparison!$B$8</c:f>
              <c:strCache>
                <c:ptCount val="1"/>
                <c:pt idx="0">
                  <c:v>China</c:v>
                </c:pt>
              </c:strCache>
            </c:strRef>
          </c:tx>
          <c:spPr>
            <a:ln w="28575" cap="rnd">
              <a:solidFill>
                <a:schemeClr val="accent3"/>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Comparison!$C$8:$AQ$8</c:f>
              <c:numCache>
                <c:formatCode>General</c:formatCode>
                <c:ptCount val="41"/>
                <c:pt idx="0">
                  <c:v>279.71071118901102</c:v>
                </c:pt>
                <c:pt idx="1">
                  <c:v>270.690849053786</c:v>
                </c:pt>
                <c:pt idx="2">
                  <c:v>258.65906757035799</c:v>
                </c:pt>
                <c:pt idx="3">
                  <c:v>259.20695447402699</c:v>
                </c:pt>
                <c:pt idx="4">
                  <c:v>255.591118429777</c:v>
                </c:pt>
                <c:pt idx="5">
                  <c:v>253.807955376873</c:v>
                </c:pt>
                <c:pt idx="6">
                  <c:v>248.39016572365699</c:v>
                </c:pt>
                <c:pt idx="7">
                  <c:v>237.48843913906299</c:v>
                </c:pt>
                <c:pt idx="8">
                  <c:v>224.25216231674199</c:v>
                </c:pt>
                <c:pt idx="9">
                  <c:v>221.84776188751101</c:v>
                </c:pt>
                <c:pt idx="10">
                  <c:v>218.85526937020899</c:v>
                </c:pt>
                <c:pt idx="11">
                  <c:v>215.60416456457401</c:v>
                </c:pt>
                <c:pt idx="12">
                  <c:v>211.12072817692399</c:v>
                </c:pt>
                <c:pt idx="13">
                  <c:v>208.449458129546</c:v>
                </c:pt>
                <c:pt idx="14">
                  <c:v>205.85695683715801</c:v>
                </c:pt>
                <c:pt idx="15">
                  <c:v>190.405187777778</c:v>
                </c:pt>
                <c:pt idx="16">
                  <c:v>173.43706235294101</c:v>
                </c:pt>
                <c:pt idx="17">
                  <c:v>155.90169131560901</c:v>
                </c:pt>
                <c:pt idx="18">
                  <c:v>132.70891217778501</c:v>
                </c:pt>
                <c:pt idx="19">
                  <c:v>112.006838891134</c:v>
                </c:pt>
                <c:pt idx="20">
                  <c:v>93.4606080586357</c:v>
                </c:pt>
                <c:pt idx="21">
                  <c:v>74.597139288292396</c:v>
                </c:pt>
                <c:pt idx="22">
                  <c:v>57.051329583805199</c:v>
                </c:pt>
                <c:pt idx="23">
                  <c:v>45.612352784440397</c:v>
                </c:pt>
                <c:pt idx="24">
                  <c:v>34.902000000000001</c:v>
                </c:pt>
                <c:pt idx="25">
                  <c:v>30.565999999999999</c:v>
                </c:pt>
                <c:pt idx="26">
                  <c:v>27.108000000000001</c:v>
                </c:pt>
                <c:pt idx="27">
                  <c:v>23.422000000000001</c:v>
                </c:pt>
                <c:pt idx="28">
                  <c:v>20.52</c:v>
                </c:pt>
                <c:pt idx="29">
                  <c:v>18.228000000000002</c:v>
                </c:pt>
                <c:pt idx="30">
                  <c:v>15.694000000000001</c:v>
                </c:pt>
                <c:pt idx="31">
                  <c:v>13.79</c:v>
                </c:pt>
                <c:pt idx="32">
                  <c:v>12</c:v>
                </c:pt>
                <c:pt idx="33">
                  <c:v>10.71</c:v>
                </c:pt>
                <c:pt idx="34">
                  <c:v>9.52</c:v>
                </c:pt>
                <c:pt idx="35">
                  <c:v>8.1</c:v>
                </c:pt>
                <c:pt idx="36">
                  <c:v>7.0839999999999996</c:v>
                </c:pt>
                <c:pt idx="37">
                  <c:v>6.1740000000000004</c:v>
                </c:pt>
                <c:pt idx="38">
                  <c:v>5.6</c:v>
                </c:pt>
                <c:pt idx="39">
                  <c:v>4.7880000000000003</c:v>
                </c:pt>
                <c:pt idx="40">
                  <c:v>4.3179999999999996</c:v>
                </c:pt>
              </c:numCache>
            </c:numRef>
          </c:val>
          <c:smooth val="0"/>
          <c:extLst>
            <c:ext xmlns:c16="http://schemas.microsoft.com/office/drawing/2014/chart" uri="{C3380CC4-5D6E-409C-BE32-E72D297353CC}">
              <c16:uniqueId val="{00000002-8121-4E95-91BF-D981B7AC4239}"/>
            </c:ext>
          </c:extLst>
        </c:ser>
        <c:ser>
          <c:idx val="3"/>
          <c:order val="2"/>
          <c:tx>
            <c:strRef>
              <c:f>Comparison!$B$9</c:f>
              <c:strCache>
                <c:ptCount val="1"/>
                <c:pt idx="0">
                  <c:v>EMDE</c:v>
                </c:pt>
              </c:strCache>
            </c:strRef>
          </c:tx>
          <c:spPr>
            <a:ln w="28575" cap="rnd">
              <a:solidFill>
                <a:schemeClr val="accent4"/>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Comparison!$C$9:$AQ$9</c:f>
              <c:numCache>
                <c:formatCode>General</c:formatCode>
                <c:ptCount val="41"/>
                <c:pt idx="0">
                  <c:v>232.55034620154299</c:v>
                </c:pt>
                <c:pt idx="1">
                  <c:v>233.881231011789</c:v>
                </c:pt>
                <c:pt idx="2">
                  <c:v>227.04902694891001</c:v>
                </c:pt>
                <c:pt idx="3">
                  <c:v>224.03679930621701</c:v>
                </c:pt>
                <c:pt idx="4">
                  <c:v>235.11290209153401</c:v>
                </c:pt>
                <c:pt idx="5">
                  <c:v>229.33356779492601</c:v>
                </c:pt>
                <c:pt idx="6">
                  <c:v>216.508369821646</c:v>
                </c:pt>
                <c:pt idx="7">
                  <c:v>213.59076625620301</c:v>
                </c:pt>
                <c:pt idx="8">
                  <c:v>239.43156326405401</c:v>
                </c:pt>
                <c:pt idx="9">
                  <c:v>237.83052712298399</c:v>
                </c:pt>
                <c:pt idx="10">
                  <c:v>234.01740814231101</c:v>
                </c:pt>
                <c:pt idx="11">
                  <c:v>231.66398529401499</c:v>
                </c:pt>
                <c:pt idx="12">
                  <c:v>230.67485174981999</c:v>
                </c:pt>
                <c:pt idx="13">
                  <c:v>228.83711957713101</c:v>
                </c:pt>
                <c:pt idx="14">
                  <c:v>229.31889841096299</c:v>
                </c:pt>
                <c:pt idx="15">
                  <c:v>196.66144857414301</c:v>
                </c:pt>
                <c:pt idx="16">
                  <c:v>183.75232296700401</c:v>
                </c:pt>
                <c:pt idx="17">
                  <c:v>167.45273824658801</c:v>
                </c:pt>
                <c:pt idx="18">
                  <c:v>147.80120052752801</c:v>
                </c:pt>
                <c:pt idx="19">
                  <c:v>129.97383319564099</c:v>
                </c:pt>
                <c:pt idx="20">
                  <c:v>113.757152565564</c:v>
                </c:pt>
                <c:pt idx="21">
                  <c:v>98.882406970798201</c:v>
                </c:pt>
                <c:pt idx="22">
                  <c:v>84.199787741482396</c:v>
                </c:pt>
                <c:pt idx="23">
                  <c:v>72.648958138113301</c:v>
                </c:pt>
                <c:pt idx="24">
                  <c:v>61.852271824987199</c:v>
                </c:pt>
                <c:pt idx="25">
                  <c:v>50.900247109480901</c:v>
                </c:pt>
                <c:pt idx="26">
                  <c:v>40.809848733947597</c:v>
                </c:pt>
                <c:pt idx="27">
                  <c:v>31.136482638039599</c:v>
                </c:pt>
                <c:pt idx="28">
                  <c:v>22.380672947654698</c:v>
                </c:pt>
                <c:pt idx="29">
                  <c:v>16.853170695442302</c:v>
                </c:pt>
                <c:pt idx="30">
                  <c:v>11.7861195884706</c:v>
                </c:pt>
                <c:pt idx="31">
                  <c:v>10.4797101805199</c:v>
                </c:pt>
                <c:pt idx="32">
                  <c:v>9.2056111992744505</c:v>
                </c:pt>
                <c:pt idx="33">
                  <c:v>7.9898496883312999</c:v>
                </c:pt>
                <c:pt idx="34">
                  <c:v>7.0262481417144498</c:v>
                </c:pt>
                <c:pt idx="35">
                  <c:v>6.1518380416241598</c:v>
                </c:pt>
                <c:pt idx="36">
                  <c:v>5.3630382139753801</c:v>
                </c:pt>
                <c:pt idx="37">
                  <c:v>4.80208384942883</c:v>
                </c:pt>
                <c:pt idx="38">
                  <c:v>4.2034708252154402</c:v>
                </c:pt>
                <c:pt idx="39">
                  <c:v>3.61768192448839</c:v>
                </c:pt>
                <c:pt idx="40">
                  <c:v>3.1551110598868699</c:v>
                </c:pt>
              </c:numCache>
            </c:numRef>
          </c:val>
          <c:smooth val="0"/>
          <c:extLst>
            <c:ext xmlns:c16="http://schemas.microsoft.com/office/drawing/2014/chart" uri="{C3380CC4-5D6E-409C-BE32-E72D297353CC}">
              <c16:uniqueId val="{00000003-8121-4E95-91BF-D981B7AC4239}"/>
            </c:ext>
          </c:extLst>
        </c:ser>
        <c:ser>
          <c:idx val="4"/>
          <c:order val="3"/>
          <c:tx>
            <c:strRef>
              <c:f>Comparison!$B$10</c:f>
              <c:strCache>
                <c:ptCount val="1"/>
                <c:pt idx="0">
                  <c:v>Global</c:v>
                </c:pt>
              </c:strCache>
            </c:strRef>
          </c:tx>
          <c:spPr>
            <a:ln w="28575" cap="rnd">
              <a:solidFill>
                <a:schemeClr val="accent5"/>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Comparison!$C$10:$AQ$10</c:f>
              <c:numCache>
                <c:formatCode>General</c:formatCode>
                <c:ptCount val="41"/>
                <c:pt idx="0">
                  <c:v>302.843358405054</c:v>
                </c:pt>
                <c:pt idx="1">
                  <c:v>299.342689311171</c:v>
                </c:pt>
                <c:pt idx="2">
                  <c:v>298.93173774982699</c:v>
                </c:pt>
                <c:pt idx="3">
                  <c:v>304.14121107782501</c:v>
                </c:pt>
                <c:pt idx="4">
                  <c:v>294.10490701978699</c:v>
                </c:pt>
                <c:pt idx="5">
                  <c:v>287.71343541769801</c:v>
                </c:pt>
                <c:pt idx="6">
                  <c:v>282.25174166420402</c:v>
                </c:pt>
                <c:pt idx="7">
                  <c:v>283.21265588833103</c:v>
                </c:pt>
                <c:pt idx="8">
                  <c:v>268.88118009632097</c:v>
                </c:pt>
                <c:pt idx="9">
                  <c:v>266.06524544219099</c:v>
                </c:pt>
                <c:pt idx="10">
                  <c:v>263.930296613672</c:v>
                </c:pt>
                <c:pt idx="11">
                  <c:v>277.04526903134598</c:v>
                </c:pt>
                <c:pt idx="12">
                  <c:v>260.95961323490201</c:v>
                </c:pt>
                <c:pt idx="13">
                  <c:v>257.493178828721</c:v>
                </c:pt>
                <c:pt idx="14">
                  <c:v>258.289079672095</c:v>
                </c:pt>
                <c:pt idx="15">
                  <c:v>211.37712554481899</c:v>
                </c:pt>
                <c:pt idx="16">
                  <c:v>187.96679971389901</c:v>
                </c:pt>
                <c:pt idx="17">
                  <c:v>164.17564720061301</c:v>
                </c:pt>
                <c:pt idx="18">
                  <c:v>134.426607373563</c:v>
                </c:pt>
                <c:pt idx="19">
                  <c:v>109.497711448091</c:v>
                </c:pt>
                <c:pt idx="20">
                  <c:v>88.125862880659497</c:v>
                </c:pt>
                <c:pt idx="21">
                  <c:v>66.917173778236503</c:v>
                </c:pt>
                <c:pt idx="22">
                  <c:v>46.930251840469303</c:v>
                </c:pt>
                <c:pt idx="23">
                  <c:v>36.952784637224298</c:v>
                </c:pt>
                <c:pt idx="24">
                  <c:v>27.586559567610699</c:v>
                </c:pt>
                <c:pt idx="25">
                  <c:v>23.843453734008801</c:v>
                </c:pt>
                <c:pt idx="26">
                  <c:v>20.215585198349899</c:v>
                </c:pt>
                <c:pt idx="27">
                  <c:v>17.031719408237699</c:v>
                </c:pt>
                <c:pt idx="28">
                  <c:v>14.1928727493219</c:v>
                </c:pt>
                <c:pt idx="29">
                  <c:v>12.0405194920294</c:v>
                </c:pt>
                <c:pt idx="30">
                  <c:v>9.9776488394367</c:v>
                </c:pt>
                <c:pt idx="31">
                  <c:v>8.8441383818707209</c:v>
                </c:pt>
                <c:pt idx="32">
                  <c:v>7.6264548417738602</c:v>
                </c:pt>
                <c:pt idx="33">
                  <c:v>6.7779652737811897</c:v>
                </c:pt>
                <c:pt idx="34">
                  <c:v>5.8150368114845099</c:v>
                </c:pt>
                <c:pt idx="35">
                  <c:v>5.0767665524380101</c:v>
                </c:pt>
                <c:pt idx="36">
                  <c:v>4.4425175570198903</c:v>
                </c:pt>
                <c:pt idx="37">
                  <c:v>3.9146745080329102</c:v>
                </c:pt>
                <c:pt idx="38">
                  <c:v>3.43473035452288</c:v>
                </c:pt>
                <c:pt idx="39">
                  <c:v>3.0999615877960398</c:v>
                </c:pt>
                <c:pt idx="40">
                  <c:v>2.7152177589126798</c:v>
                </c:pt>
              </c:numCache>
            </c:numRef>
          </c:val>
          <c:smooth val="0"/>
          <c:extLst>
            <c:ext xmlns:c16="http://schemas.microsoft.com/office/drawing/2014/chart" uri="{C3380CC4-5D6E-409C-BE32-E72D297353CC}">
              <c16:uniqueId val="{00000004-8121-4E95-91BF-D981B7AC4239}"/>
            </c:ext>
          </c:extLst>
        </c:ser>
        <c:ser>
          <c:idx val="5"/>
          <c:order val="4"/>
          <c:tx>
            <c:strRef>
              <c:f>Comparison!$B$11</c:f>
              <c:strCache>
                <c:ptCount val="1"/>
                <c:pt idx="0">
                  <c:v>Legacy WTW (B2DS)</c:v>
                </c:pt>
              </c:strCache>
            </c:strRef>
          </c:tx>
          <c:spPr>
            <a:ln w="28575" cap="rnd">
              <a:solidFill>
                <a:srgbClr val="FF0000"/>
              </a:solidFill>
              <a:prstDash val="sysDash"/>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Comparison!$C$11:$AQ$11</c:f>
              <c:numCache>
                <c:formatCode>General</c:formatCode>
                <c:ptCount val="41"/>
                <c:pt idx="0">
                  <c:v>221.78746307046302</c:v>
                </c:pt>
                <c:pt idx="1">
                  <c:v>219.48117848393764</c:v>
                </c:pt>
                <c:pt idx="2">
                  <c:v>217.17489389741226</c:v>
                </c:pt>
                <c:pt idx="3">
                  <c:v>214.86860931088688</c:v>
                </c:pt>
                <c:pt idx="4">
                  <c:v>212.5623247243615</c:v>
                </c:pt>
                <c:pt idx="5">
                  <c:v>210.25604013783612</c:v>
                </c:pt>
                <c:pt idx="6">
                  <c:v>198.27239179276123</c:v>
                </c:pt>
                <c:pt idx="7">
                  <c:v>186.28874344768633</c:v>
                </c:pt>
                <c:pt idx="8">
                  <c:v>174.30509510261146</c:v>
                </c:pt>
                <c:pt idx="9">
                  <c:v>162.32144675753656</c:v>
                </c:pt>
                <c:pt idx="10">
                  <c:v>150.33779841246167</c:v>
                </c:pt>
                <c:pt idx="11">
                  <c:v>147.13312548786433</c:v>
                </c:pt>
                <c:pt idx="12">
                  <c:v>143.92845256326703</c:v>
                </c:pt>
                <c:pt idx="13">
                  <c:v>140.7237796386697</c:v>
                </c:pt>
                <c:pt idx="14">
                  <c:v>137.51910671407239</c:v>
                </c:pt>
                <c:pt idx="15">
                  <c:v>134.31443378947506</c:v>
                </c:pt>
                <c:pt idx="16">
                  <c:v>131.09462859952592</c:v>
                </c:pt>
                <c:pt idx="17">
                  <c:v>127.87482340957679</c:v>
                </c:pt>
                <c:pt idx="18">
                  <c:v>124.65501821962766</c:v>
                </c:pt>
                <c:pt idx="19">
                  <c:v>121.43521302967852</c:v>
                </c:pt>
                <c:pt idx="20">
                  <c:v>118.21540783972939</c:v>
                </c:pt>
                <c:pt idx="21">
                  <c:v>112.80705098087475</c:v>
                </c:pt>
                <c:pt idx="22">
                  <c:v>107.3986941220201</c:v>
                </c:pt>
                <c:pt idx="23">
                  <c:v>101.99033726316546</c:v>
                </c:pt>
                <c:pt idx="24">
                  <c:v>96.581980404310798</c:v>
                </c:pt>
                <c:pt idx="25">
                  <c:v>91.173623545456152</c:v>
                </c:pt>
                <c:pt idx="26">
                  <c:v>85.740560474128117</c:v>
                </c:pt>
                <c:pt idx="27">
                  <c:v>80.307497402800081</c:v>
                </c:pt>
                <c:pt idx="28">
                  <c:v>74.874434331472045</c:v>
                </c:pt>
                <c:pt idx="29">
                  <c:v>69.44137126014401</c:v>
                </c:pt>
                <c:pt idx="30">
                  <c:v>64.008308188815974</c:v>
                </c:pt>
                <c:pt idx="31">
                  <c:v>59.550485485533969</c:v>
                </c:pt>
                <c:pt idx="32">
                  <c:v>55.092662782251956</c:v>
                </c:pt>
                <c:pt idx="33">
                  <c:v>50.634840078969951</c:v>
                </c:pt>
                <c:pt idx="34">
                  <c:v>46.177017375687939</c:v>
                </c:pt>
                <c:pt idx="35">
                  <c:v>41.719194672405933</c:v>
                </c:pt>
                <c:pt idx="36">
                  <c:v>38.955824766841815</c:v>
                </c:pt>
                <c:pt idx="37">
                  <c:v>36.192454861277696</c:v>
                </c:pt>
                <c:pt idx="38">
                  <c:v>33.429084955713577</c:v>
                </c:pt>
                <c:pt idx="39">
                  <c:v>30.665715050149458</c:v>
                </c:pt>
                <c:pt idx="40">
                  <c:v>27.90234514458534</c:v>
                </c:pt>
              </c:numCache>
            </c:numRef>
          </c:val>
          <c:smooth val="0"/>
          <c:extLst>
            <c:ext xmlns:c16="http://schemas.microsoft.com/office/drawing/2014/chart" uri="{C3380CC4-5D6E-409C-BE32-E72D297353CC}">
              <c16:uniqueId val="{00000005-8121-4E95-91BF-D981B7AC4239}"/>
            </c:ext>
          </c:extLst>
        </c:ser>
        <c:ser>
          <c:idx val="0"/>
          <c:order val="5"/>
          <c:tx>
            <c:strRef>
              <c:f>Comparison!$B$12</c:f>
              <c:strCache>
                <c:ptCount val="1"/>
                <c:pt idx="0">
                  <c:v>Test case 1</c:v>
                </c:pt>
              </c:strCache>
            </c:strRef>
          </c:tx>
          <c:spPr>
            <a:ln w="19050" cap="rnd">
              <a:solidFill>
                <a:srgbClr val="7030A0"/>
              </a:solidFill>
              <a:prstDash val="sysDot"/>
              <a:round/>
            </a:ln>
            <a:effectLst/>
          </c:spPr>
          <c:marker>
            <c:symbol val="circle"/>
            <c:size val="5"/>
            <c:spPr>
              <a:solidFill>
                <a:schemeClr val="accent1"/>
              </a:solidFill>
              <a:ln w="25400">
                <a:solidFill>
                  <a:schemeClr val="accent1"/>
                </a:solidFill>
              </a:ln>
              <a:effectLst/>
            </c:spPr>
          </c:marker>
          <c:dPt>
            <c:idx val="15"/>
            <c:marker>
              <c:symbol val="circle"/>
              <c:size val="5"/>
              <c:spPr>
                <a:solidFill>
                  <a:schemeClr val="accent1"/>
                </a:solidFill>
                <a:ln w="31750">
                  <a:solidFill>
                    <a:schemeClr val="accent1"/>
                  </a:solidFill>
                </a:ln>
                <a:effectLst/>
              </c:spPr>
            </c:marker>
            <c:bubble3D val="0"/>
            <c:spPr>
              <a:ln w="28575" cap="rnd">
                <a:solidFill>
                  <a:srgbClr val="7030A0"/>
                </a:solidFill>
                <a:prstDash val="sysDot"/>
                <a:round/>
              </a:ln>
              <a:effectLst/>
            </c:spPr>
            <c:extLst>
              <c:ext xmlns:c16="http://schemas.microsoft.com/office/drawing/2014/chart" uri="{C3380CC4-5D6E-409C-BE32-E72D297353CC}">
                <c16:uniqueId val="{0000000A-8121-4E95-91BF-D981B7AC4239}"/>
              </c:ext>
            </c:extLst>
          </c:dPt>
          <c:dLbls>
            <c:dLbl>
              <c:idx val="20"/>
              <c:layout>
                <c:manualLayout>
                  <c:x val="2.141014871700795E-2"/>
                  <c:y val="-9.9695389735125498E-2"/>
                </c:manualLayout>
              </c:layout>
              <c:numFmt formatCode="#,##0.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B-8121-4E95-91BF-D981B7AC4239}"/>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Comparison!$C$12:$AQ$12</c:f>
              <c:numCache>
                <c:formatCode>General</c:formatCode>
                <c:ptCount val="41"/>
                <c:pt idx="8">
                  <c:v>268.88118009632097</c:v>
                </c:pt>
                <c:pt idx="15">
                  <c:v>132.65</c:v>
                </c:pt>
                <c:pt idx="20">
                  <c:v>107.49326946410154</c:v>
                </c:pt>
                <c:pt idx="30">
                  <c:v>50.085527269979693</c:v>
                </c:pt>
                <c:pt idx="40">
                  <c:v>27.90234514458534</c:v>
                </c:pt>
              </c:numCache>
            </c:numRef>
          </c:val>
          <c:smooth val="0"/>
          <c:extLst>
            <c:ext xmlns:c16="http://schemas.microsoft.com/office/drawing/2014/chart" uri="{C3380CC4-5D6E-409C-BE32-E72D297353CC}">
              <c16:uniqueId val="{00000007-8121-4E95-91BF-D981B7AC4239}"/>
            </c:ext>
          </c:extLst>
        </c:ser>
        <c:dLbls>
          <c:showLegendKey val="0"/>
          <c:showVal val="0"/>
          <c:showCatName val="0"/>
          <c:showSerName val="0"/>
          <c:showPercent val="0"/>
          <c:showBubbleSize val="0"/>
        </c:dLbls>
        <c:smooth val="0"/>
        <c:axId val="347675535"/>
        <c:axId val="347658735"/>
      </c:lineChart>
      <c:catAx>
        <c:axId val="347675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7658735"/>
        <c:crosses val="autoZero"/>
        <c:auto val="1"/>
        <c:lblAlgn val="ctr"/>
        <c:lblOffset val="100"/>
        <c:tickLblSkip val="5"/>
        <c:noMultiLvlLbl val="0"/>
      </c:catAx>
      <c:valAx>
        <c:axId val="3476587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76755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Comparison!$B$6</c:f>
          <c:strCache>
            <c:ptCount val="1"/>
            <c:pt idx="0">
              <c:v>WTW emissions intensity LDV</c:v>
            </c:pt>
          </c:strCache>
        </c:strRef>
      </c:tx>
      <c:overlay val="0"/>
      <c:spPr>
        <a:noFill/>
        <a:ln>
          <a:noFill/>
        </a:ln>
        <a:effectLst/>
      </c:spPr>
      <c:txPr>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1"/>
          <c:order val="0"/>
          <c:tx>
            <c:strRef>
              <c:f>Comparison!$B$40</c:f>
              <c:strCache>
                <c:ptCount val="1"/>
                <c:pt idx="0">
                  <c:v>Advanced</c:v>
                </c:pt>
              </c:strCache>
            </c:strRef>
          </c:tx>
          <c:spPr>
            <a:ln w="28575" cap="rnd">
              <a:solidFill>
                <a:schemeClr val="accent2"/>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Comparison!$C$40:$AQ$40</c:f>
              <c:numCache>
                <c:formatCode>General</c:formatCode>
                <c:ptCount val="41"/>
                <c:pt idx="0">
                  <c:v>261.07568290944147</c:v>
                </c:pt>
                <c:pt idx="1">
                  <c:v>260.16535182239909</c:v>
                </c:pt>
                <c:pt idx="2">
                  <c:v>255.29151448592049</c:v>
                </c:pt>
                <c:pt idx="3">
                  <c:v>255.01145752690707</c:v>
                </c:pt>
                <c:pt idx="4">
                  <c:v>249.53040535484061</c:v>
                </c:pt>
                <c:pt idx="5">
                  <c:v>248.86306937555864</c:v>
                </c:pt>
                <c:pt idx="6">
                  <c:v>248.60716092272358</c:v>
                </c:pt>
                <c:pt idx="7">
                  <c:v>250.01979433186656</c:v>
                </c:pt>
                <c:pt idx="8">
                  <c:v>238.73058348078573</c:v>
                </c:pt>
                <c:pt idx="9">
                  <c:v>235.93468477095647</c:v>
                </c:pt>
                <c:pt idx="10">
                  <c:v>232.14998753297175</c:v>
                </c:pt>
                <c:pt idx="11">
                  <c:v>215.62348128573672</c:v>
                </c:pt>
                <c:pt idx="12">
                  <c:v>221.29898819996367</c:v>
                </c:pt>
                <c:pt idx="13">
                  <c:v>217.33601871485342</c:v>
                </c:pt>
                <c:pt idx="14">
                  <c:v>213.76394176787156</c:v>
                </c:pt>
                <c:pt idx="15">
                  <c:v>167.57476675842426</c:v>
                </c:pt>
                <c:pt idx="16">
                  <c:v>139.95352338331097</c:v>
                </c:pt>
                <c:pt idx="17">
                  <c:v>111.02840578537005</c:v>
                </c:pt>
                <c:pt idx="18">
                  <c:v>82.219394440830385</c:v>
                </c:pt>
                <c:pt idx="19">
                  <c:v>51.733234900405726</c:v>
                </c:pt>
                <c:pt idx="20">
                  <c:v>26.611125851299789</c:v>
                </c:pt>
                <c:pt idx="21">
                  <c:v>22.932413319214955</c:v>
                </c:pt>
                <c:pt idx="22">
                  <c:v>19.80485717711872</c:v>
                </c:pt>
                <c:pt idx="23">
                  <c:v>17.32107126833402</c:v>
                </c:pt>
                <c:pt idx="24">
                  <c:v>15.114270809549843</c:v>
                </c:pt>
                <c:pt idx="25">
                  <c:v>13.329420126049902</c:v>
                </c:pt>
                <c:pt idx="26">
                  <c:v>11.463697186043525</c:v>
                </c:pt>
                <c:pt idx="27">
                  <c:v>10.049531523435171</c:v>
                </c:pt>
                <c:pt idx="28">
                  <c:v>8.7171681124704374</c:v>
                </c:pt>
                <c:pt idx="29">
                  <c:v>7.6520309782847624</c:v>
                </c:pt>
                <c:pt idx="30">
                  <c:v>6.6407650236304141</c:v>
                </c:pt>
                <c:pt idx="31">
                  <c:v>5.7922618019932797</c:v>
                </c:pt>
                <c:pt idx="32">
                  <c:v>5.0072695241543856</c:v>
                </c:pt>
                <c:pt idx="33">
                  <c:v>4.4248765424397396</c:v>
                </c:pt>
                <c:pt idx="34">
                  <c:v>3.7581542388609939</c:v>
                </c:pt>
                <c:pt idx="35">
                  <c:v>3.2710660179735922</c:v>
                </c:pt>
                <c:pt idx="36">
                  <c:v>2.8481980576211545</c:v>
                </c:pt>
                <c:pt idx="37">
                  <c:v>2.52657474622404</c:v>
                </c:pt>
                <c:pt idx="38">
                  <c:v>2.1706066839001892</c:v>
                </c:pt>
                <c:pt idx="39">
                  <c:v>1.9601356445024503</c:v>
                </c:pt>
                <c:pt idx="40">
                  <c:v>1.7106363774012181</c:v>
                </c:pt>
              </c:numCache>
            </c:numRef>
          </c:val>
          <c:smooth val="0"/>
          <c:extLst>
            <c:ext xmlns:c16="http://schemas.microsoft.com/office/drawing/2014/chart" uri="{C3380CC4-5D6E-409C-BE32-E72D297353CC}">
              <c16:uniqueId val="{00000000-EB85-431B-8CE5-FD121F90E53E}"/>
            </c:ext>
          </c:extLst>
        </c:ser>
        <c:ser>
          <c:idx val="2"/>
          <c:order val="1"/>
          <c:tx>
            <c:strRef>
              <c:f>Comparison!$B$41</c:f>
              <c:strCache>
                <c:ptCount val="1"/>
                <c:pt idx="0">
                  <c:v>China</c:v>
                </c:pt>
              </c:strCache>
            </c:strRef>
          </c:tx>
          <c:spPr>
            <a:ln w="28575" cap="rnd">
              <a:solidFill>
                <a:schemeClr val="accent3"/>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Comparison!$C$41:$AQ$41</c:f>
              <c:numCache>
                <c:formatCode>General</c:formatCode>
                <c:ptCount val="41"/>
                <c:pt idx="0">
                  <c:v>293.71955438792793</c:v>
                </c:pt>
                <c:pt idx="1">
                  <c:v>294.83566821060805</c:v>
                </c:pt>
                <c:pt idx="2">
                  <c:v>292.06312863055479</c:v>
                </c:pt>
                <c:pt idx="3">
                  <c:v>289.54827607166635</c:v>
                </c:pt>
                <c:pt idx="4">
                  <c:v>281.88938367211824</c:v>
                </c:pt>
                <c:pt idx="5">
                  <c:v>278.37391203574856</c:v>
                </c:pt>
                <c:pt idx="6">
                  <c:v>271.14128773720796</c:v>
                </c:pt>
                <c:pt idx="7">
                  <c:v>271.25559556742309</c:v>
                </c:pt>
                <c:pt idx="8">
                  <c:v>214.22772364899902</c:v>
                </c:pt>
                <c:pt idx="9">
                  <c:v>212.53408294502432</c:v>
                </c:pt>
                <c:pt idx="10">
                  <c:v>210.17615130194369</c:v>
                </c:pt>
                <c:pt idx="11">
                  <c:v>203.03322245702532</c:v>
                </c:pt>
                <c:pt idx="12">
                  <c:v>194.85004787076807</c:v>
                </c:pt>
                <c:pt idx="13">
                  <c:v>190.3109528872333</c:v>
                </c:pt>
                <c:pt idx="14">
                  <c:v>186.62379567727038</c:v>
                </c:pt>
                <c:pt idx="15">
                  <c:v>149.55110183000923</c:v>
                </c:pt>
                <c:pt idx="16">
                  <c:v>127.96232736706588</c:v>
                </c:pt>
                <c:pt idx="17">
                  <c:v>106.63769366024253</c:v>
                </c:pt>
                <c:pt idx="18">
                  <c:v>85.812407706535538</c:v>
                </c:pt>
                <c:pt idx="19">
                  <c:v>61.945519137955387</c:v>
                </c:pt>
                <c:pt idx="20">
                  <c:v>46.045015011859583</c:v>
                </c:pt>
                <c:pt idx="21">
                  <c:v>40.308840368800716</c:v>
                </c:pt>
                <c:pt idx="22">
                  <c:v>35.498845040514183</c:v>
                </c:pt>
                <c:pt idx="23">
                  <c:v>30.988150258156637</c:v>
                </c:pt>
                <c:pt idx="24">
                  <c:v>26.884286666295292</c:v>
                </c:pt>
                <c:pt idx="25">
                  <c:v>23.463634486326349</c:v>
                </c:pt>
                <c:pt idx="26">
                  <c:v>20.780657464446534</c:v>
                </c:pt>
                <c:pt idx="27">
                  <c:v>17.897789671425908</c:v>
                </c:pt>
                <c:pt idx="28">
                  <c:v>15.614261444403988</c:v>
                </c:pt>
                <c:pt idx="29">
                  <c:v>13.811327030473045</c:v>
                </c:pt>
                <c:pt idx="30">
                  <c:v>11.854606259823051</c:v>
                </c:pt>
                <c:pt idx="31">
                  <c:v>10.37174482464239</c:v>
                </c:pt>
                <c:pt idx="32">
                  <c:v>9.0222038857372553</c:v>
                </c:pt>
                <c:pt idx="33">
                  <c:v>8.0295090438199868</c:v>
                </c:pt>
                <c:pt idx="34">
                  <c:v>7.1280415259743481</c:v>
                </c:pt>
                <c:pt idx="35">
                  <c:v>6.0395214968934781</c:v>
                </c:pt>
                <c:pt idx="36">
                  <c:v>5.2594370854456347</c:v>
                </c:pt>
                <c:pt idx="37">
                  <c:v>4.5793892826303013</c:v>
                </c:pt>
                <c:pt idx="38">
                  <c:v>4.1283364742711628</c:v>
                </c:pt>
                <c:pt idx="39">
                  <c:v>3.5269774211968357</c:v>
                </c:pt>
                <c:pt idx="40">
                  <c:v>3.1727920363531217</c:v>
                </c:pt>
              </c:numCache>
            </c:numRef>
          </c:val>
          <c:smooth val="0"/>
          <c:extLst>
            <c:ext xmlns:c16="http://schemas.microsoft.com/office/drawing/2014/chart" uri="{C3380CC4-5D6E-409C-BE32-E72D297353CC}">
              <c16:uniqueId val="{00000001-EB85-431B-8CE5-FD121F90E53E}"/>
            </c:ext>
          </c:extLst>
        </c:ser>
        <c:ser>
          <c:idx val="3"/>
          <c:order val="2"/>
          <c:tx>
            <c:strRef>
              <c:f>Comparison!$B$42</c:f>
              <c:strCache>
                <c:ptCount val="1"/>
                <c:pt idx="0">
                  <c:v>EMDE</c:v>
                </c:pt>
              </c:strCache>
            </c:strRef>
          </c:tx>
          <c:spPr>
            <a:ln w="28575" cap="rnd">
              <a:solidFill>
                <a:schemeClr val="accent4"/>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Comparison!$C$42:$AQ$42</c:f>
              <c:numCache>
                <c:formatCode>General</c:formatCode>
                <c:ptCount val="41"/>
                <c:pt idx="0">
                  <c:v>252.73450695128761</c:v>
                </c:pt>
                <c:pt idx="1">
                  <c:v>251.69086304076723</c:v>
                </c:pt>
                <c:pt idx="2">
                  <c:v>245.76427911319212</c:v>
                </c:pt>
                <c:pt idx="3">
                  <c:v>244.90293756987035</c:v>
                </c:pt>
                <c:pt idx="4">
                  <c:v>239.36650355882313</c:v>
                </c:pt>
                <c:pt idx="5">
                  <c:v>235.17833508921669</c:v>
                </c:pt>
                <c:pt idx="6">
                  <c:v>234.82070741551826</c:v>
                </c:pt>
                <c:pt idx="7">
                  <c:v>235.57599160885013</c:v>
                </c:pt>
                <c:pt idx="8">
                  <c:v>221.02018631403854</c:v>
                </c:pt>
                <c:pt idx="9">
                  <c:v>218.93391462698133</c:v>
                </c:pt>
                <c:pt idx="10">
                  <c:v>218.26333454110687</c:v>
                </c:pt>
                <c:pt idx="11">
                  <c:v>215.61336612318459</c:v>
                </c:pt>
                <c:pt idx="12">
                  <c:v>213.23000775040833</c:v>
                </c:pt>
                <c:pt idx="13">
                  <c:v>210.203956990872</c:v>
                </c:pt>
                <c:pt idx="14">
                  <c:v>207.38618626028517</c:v>
                </c:pt>
                <c:pt idx="15">
                  <c:v>195.1809162571368</c:v>
                </c:pt>
                <c:pt idx="16">
                  <c:v>157.03711685851232</c:v>
                </c:pt>
                <c:pt idx="17">
                  <c:v>115.83463262565672</c:v>
                </c:pt>
                <c:pt idx="18">
                  <c:v>101.83691693330015</c:v>
                </c:pt>
                <c:pt idx="19">
                  <c:v>78.800532160540499</c:v>
                </c:pt>
                <c:pt idx="20">
                  <c:v>67.848368750270694</c:v>
                </c:pt>
                <c:pt idx="21">
                  <c:v>58.880284012317894</c:v>
                </c:pt>
                <c:pt idx="22">
                  <c:v>50.287956710449627</c:v>
                </c:pt>
                <c:pt idx="23">
                  <c:v>42.057888741878962</c:v>
                </c:pt>
                <c:pt idx="24">
                  <c:v>34.577979006762035</c:v>
                </c:pt>
                <c:pt idx="25">
                  <c:v>27.427407321985086</c:v>
                </c:pt>
                <c:pt idx="26">
                  <c:v>22.616663957258716</c:v>
                </c:pt>
                <c:pt idx="27">
                  <c:v>18.837569626435123</c:v>
                </c:pt>
                <c:pt idx="28">
                  <c:v>15.696390510334382</c:v>
                </c:pt>
                <c:pt idx="29">
                  <c:v>12.612894627340445</c:v>
                </c:pt>
                <c:pt idx="30">
                  <c:v>9.9118266988721437</c:v>
                </c:pt>
                <c:pt idx="31">
                  <c:v>8.7016901155233306</c:v>
                </c:pt>
                <c:pt idx="32">
                  <c:v>7.6549186930992263</c:v>
                </c:pt>
                <c:pt idx="33">
                  <c:v>6.6272961585664136</c:v>
                </c:pt>
                <c:pt idx="34">
                  <c:v>5.7953138019731743</c:v>
                </c:pt>
                <c:pt idx="35">
                  <c:v>5.0508299471343259</c:v>
                </c:pt>
                <c:pt idx="36">
                  <c:v>4.4141092121304517</c:v>
                </c:pt>
                <c:pt idx="37">
                  <c:v>3.9473028461140531</c:v>
                </c:pt>
                <c:pt idx="38">
                  <c:v>3.3978577231240257</c:v>
                </c:pt>
                <c:pt idx="39">
                  <c:v>2.951253871186494</c:v>
                </c:pt>
                <c:pt idx="40">
                  <c:v>2.5533341274394914</c:v>
                </c:pt>
              </c:numCache>
            </c:numRef>
          </c:val>
          <c:smooth val="0"/>
          <c:extLst>
            <c:ext xmlns:c16="http://schemas.microsoft.com/office/drawing/2014/chart" uri="{C3380CC4-5D6E-409C-BE32-E72D297353CC}">
              <c16:uniqueId val="{00000002-EB85-431B-8CE5-FD121F90E53E}"/>
            </c:ext>
          </c:extLst>
        </c:ser>
        <c:ser>
          <c:idx val="4"/>
          <c:order val="3"/>
          <c:tx>
            <c:strRef>
              <c:f>Comparison!$B$43</c:f>
              <c:strCache>
                <c:ptCount val="1"/>
                <c:pt idx="0">
                  <c:v>Global</c:v>
                </c:pt>
              </c:strCache>
            </c:strRef>
          </c:tx>
          <c:spPr>
            <a:ln w="28575" cap="rnd">
              <a:solidFill>
                <a:schemeClr val="accent5"/>
              </a:solidFill>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Comparison!$C$43:$AQ$43</c:f>
              <c:numCache>
                <c:formatCode>General</c:formatCode>
                <c:ptCount val="41"/>
                <c:pt idx="0">
                  <c:v>259.74790695366477</c:v>
                </c:pt>
                <c:pt idx="1">
                  <c:v>258.82136630227137</c:v>
                </c:pt>
                <c:pt idx="2">
                  <c:v>253.86853870043194</c:v>
                </c:pt>
                <c:pt idx="3">
                  <c:v>253.59047329551967</c:v>
                </c:pt>
                <c:pt idx="4">
                  <c:v>248.36349713709598</c:v>
                </c:pt>
                <c:pt idx="5">
                  <c:v>246.93677743301953</c:v>
                </c:pt>
                <c:pt idx="6">
                  <c:v>246.57152082435294</c:v>
                </c:pt>
                <c:pt idx="7">
                  <c:v>247.62308103714534</c:v>
                </c:pt>
                <c:pt idx="8">
                  <c:v>230.95187602497427</c:v>
                </c:pt>
                <c:pt idx="9">
                  <c:v>228.63422094779008</c:v>
                </c:pt>
                <c:pt idx="10">
                  <c:v>225.13916747786843</c:v>
                </c:pt>
                <c:pt idx="11">
                  <c:v>215.48285417590279</c:v>
                </c:pt>
                <c:pt idx="12">
                  <c:v>218.08195888401897</c:v>
                </c:pt>
                <c:pt idx="13">
                  <c:v>214.03032596882377</c:v>
                </c:pt>
                <c:pt idx="14">
                  <c:v>210.72249561820811</c:v>
                </c:pt>
                <c:pt idx="15">
                  <c:v>174.49509079914841</c:v>
                </c:pt>
                <c:pt idx="16">
                  <c:v>144.8387244832758</c:v>
                </c:pt>
                <c:pt idx="17">
                  <c:v>111.49549562754237</c:v>
                </c:pt>
                <c:pt idx="18">
                  <c:v>89.032962329441517</c:v>
                </c:pt>
                <c:pt idx="19">
                  <c:v>62.400787240603606</c:v>
                </c:pt>
                <c:pt idx="20">
                  <c:v>44.292462574498913</c:v>
                </c:pt>
                <c:pt idx="21">
                  <c:v>36.987670858359515</c:v>
                </c:pt>
                <c:pt idx="22">
                  <c:v>31.850870447567068</c:v>
                </c:pt>
                <c:pt idx="23">
                  <c:v>27.255977956538317</c:v>
                </c:pt>
                <c:pt idx="24">
                  <c:v>23.14593943414647</c:v>
                </c:pt>
                <c:pt idx="25">
                  <c:v>19.356402562217351</c:v>
                </c:pt>
                <c:pt idx="26">
                  <c:v>16.21429459126939</c:v>
                </c:pt>
                <c:pt idx="27">
                  <c:v>13.866266740945347</c:v>
                </c:pt>
                <c:pt idx="28">
                  <c:v>11.810656179365555</c:v>
                </c:pt>
                <c:pt idx="29">
                  <c:v>9.9552991373072768</c:v>
                </c:pt>
                <c:pt idx="30">
                  <c:v>8.2498690456876496</c:v>
                </c:pt>
                <c:pt idx="31">
                  <c:v>7.4333997752360972</c:v>
                </c:pt>
                <c:pt idx="32">
                  <c:v>6.5053804296953111</c:v>
                </c:pt>
                <c:pt idx="33">
                  <c:v>5.7066171882095302</c:v>
                </c:pt>
                <c:pt idx="34">
                  <c:v>4.9581165976632624</c:v>
                </c:pt>
                <c:pt idx="35">
                  <c:v>4.3042218062738167</c:v>
                </c:pt>
                <c:pt idx="36">
                  <c:v>3.7772529538631692</c:v>
                </c:pt>
                <c:pt idx="37">
                  <c:v>3.362402637421019</c:v>
                </c:pt>
                <c:pt idx="38">
                  <c:v>2.9127943525782931</c:v>
                </c:pt>
                <c:pt idx="39">
                  <c:v>2.5591031015974415</c:v>
                </c:pt>
                <c:pt idx="40">
                  <c:v>2.2344028108858289</c:v>
                </c:pt>
              </c:numCache>
            </c:numRef>
          </c:val>
          <c:smooth val="0"/>
          <c:extLst>
            <c:ext xmlns:c16="http://schemas.microsoft.com/office/drawing/2014/chart" uri="{C3380CC4-5D6E-409C-BE32-E72D297353CC}">
              <c16:uniqueId val="{00000003-EB85-431B-8CE5-FD121F90E53E}"/>
            </c:ext>
          </c:extLst>
        </c:ser>
        <c:ser>
          <c:idx val="5"/>
          <c:order val="4"/>
          <c:tx>
            <c:strRef>
              <c:f>Comparison!$B$44</c:f>
              <c:strCache>
                <c:ptCount val="1"/>
                <c:pt idx="0">
                  <c:v>Legacy WTW (B2DS)</c:v>
                </c:pt>
              </c:strCache>
            </c:strRef>
          </c:tx>
          <c:spPr>
            <a:ln w="28575" cap="rnd">
              <a:solidFill>
                <a:srgbClr val="FF0000"/>
              </a:solidFill>
              <a:prstDash val="sysDash"/>
              <a:round/>
            </a:ln>
            <a:effectLst/>
          </c:spPr>
          <c:marker>
            <c:symbol val="none"/>
          </c:marker>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Comparison!$C$44:$AQ$44</c:f>
              <c:numCache>
                <c:formatCode>General</c:formatCode>
                <c:ptCount val="41"/>
                <c:pt idx="0">
                  <c:v>221.78746307046302</c:v>
                </c:pt>
                <c:pt idx="1">
                  <c:v>219.48117848393764</c:v>
                </c:pt>
                <c:pt idx="2">
                  <c:v>217.17489389741226</c:v>
                </c:pt>
                <c:pt idx="3">
                  <c:v>214.86860931088688</c:v>
                </c:pt>
                <c:pt idx="4">
                  <c:v>212.5623247243615</c:v>
                </c:pt>
                <c:pt idx="5">
                  <c:v>210.25604013783612</c:v>
                </c:pt>
                <c:pt idx="6">
                  <c:v>198.27239179276123</c:v>
                </c:pt>
                <c:pt idx="7">
                  <c:v>186.28874344768633</c:v>
                </c:pt>
                <c:pt idx="8">
                  <c:v>174.30509510261146</c:v>
                </c:pt>
                <c:pt idx="9">
                  <c:v>162.32144675753656</c:v>
                </c:pt>
                <c:pt idx="10">
                  <c:v>150.33779841246167</c:v>
                </c:pt>
                <c:pt idx="11">
                  <c:v>147.13312548786433</c:v>
                </c:pt>
                <c:pt idx="12">
                  <c:v>143.92845256326703</c:v>
                </c:pt>
                <c:pt idx="13">
                  <c:v>140.7237796386697</c:v>
                </c:pt>
                <c:pt idx="14">
                  <c:v>137.51910671407239</c:v>
                </c:pt>
                <c:pt idx="15">
                  <c:v>134.31443378947506</c:v>
                </c:pt>
                <c:pt idx="16">
                  <c:v>131.09462859952592</c:v>
                </c:pt>
                <c:pt idx="17">
                  <c:v>127.87482340957679</c:v>
                </c:pt>
                <c:pt idx="18">
                  <c:v>124.65501821962766</c:v>
                </c:pt>
                <c:pt idx="19">
                  <c:v>121.43521302967852</c:v>
                </c:pt>
                <c:pt idx="20">
                  <c:v>118.21540783972939</c:v>
                </c:pt>
                <c:pt idx="21">
                  <c:v>112.80705098087475</c:v>
                </c:pt>
                <c:pt idx="22">
                  <c:v>107.3986941220201</c:v>
                </c:pt>
                <c:pt idx="23">
                  <c:v>101.99033726316546</c:v>
                </c:pt>
                <c:pt idx="24">
                  <c:v>96.581980404310798</c:v>
                </c:pt>
                <c:pt idx="25">
                  <c:v>91.173623545456152</c:v>
                </c:pt>
                <c:pt idx="26">
                  <c:v>85.740560474128117</c:v>
                </c:pt>
                <c:pt idx="27">
                  <c:v>80.307497402800081</c:v>
                </c:pt>
                <c:pt idx="28">
                  <c:v>74.874434331472045</c:v>
                </c:pt>
                <c:pt idx="29">
                  <c:v>69.44137126014401</c:v>
                </c:pt>
                <c:pt idx="30">
                  <c:v>64.008308188815974</c:v>
                </c:pt>
                <c:pt idx="31">
                  <c:v>59.550485485533969</c:v>
                </c:pt>
                <c:pt idx="32">
                  <c:v>55.092662782251956</c:v>
                </c:pt>
                <c:pt idx="33">
                  <c:v>50.634840078969951</c:v>
                </c:pt>
                <c:pt idx="34">
                  <c:v>46.177017375687939</c:v>
                </c:pt>
                <c:pt idx="35">
                  <c:v>41.719194672405933</c:v>
                </c:pt>
                <c:pt idx="36">
                  <c:v>38.955824766841815</c:v>
                </c:pt>
                <c:pt idx="37">
                  <c:v>36.192454861277696</c:v>
                </c:pt>
                <c:pt idx="38">
                  <c:v>33.429084955713577</c:v>
                </c:pt>
                <c:pt idx="39">
                  <c:v>30.665715050149458</c:v>
                </c:pt>
                <c:pt idx="40">
                  <c:v>27.90234514458534</c:v>
                </c:pt>
              </c:numCache>
            </c:numRef>
          </c:val>
          <c:smooth val="0"/>
          <c:extLst>
            <c:ext xmlns:c16="http://schemas.microsoft.com/office/drawing/2014/chart" uri="{C3380CC4-5D6E-409C-BE32-E72D297353CC}">
              <c16:uniqueId val="{00000004-EB85-431B-8CE5-FD121F90E53E}"/>
            </c:ext>
          </c:extLst>
        </c:ser>
        <c:ser>
          <c:idx val="0"/>
          <c:order val="5"/>
          <c:tx>
            <c:strRef>
              <c:f>Comparison!$B$45</c:f>
              <c:strCache>
                <c:ptCount val="1"/>
                <c:pt idx="0">
                  <c:v>Test case 2</c:v>
                </c:pt>
              </c:strCache>
            </c:strRef>
          </c:tx>
          <c:spPr>
            <a:ln w="31750" cap="rnd">
              <a:solidFill>
                <a:srgbClr val="7030A0"/>
              </a:solidFill>
              <a:prstDash val="sysDot"/>
              <a:round/>
            </a:ln>
            <a:effectLst/>
          </c:spPr>
          <c:marker>
            <c:symbol val="square"/>
            <c:size val="5"/>
            <c:spPr>
              <a:solidFill>
                <a:schemeClr val="accent1"/>
              </a:solidFill>
              <a:ln w="25400">
                <a:solidFill>
                  <a:srgbClr val="7030A0"/>
                </a:solidFill>
                <a:prstDash val="sysDot"/>
              </a:ln>
              <a:effectLst/>
            </c:spPr>
          </c:marker>
          <c:dPt>
            <c:idx val="15"/>
            <c:marker>
              <c:symbol val="square"/>
              <c:size val="5"/>
              <c:spPr>
                <a:solidFill>
                  <a:schemeClr val="accent1"/>
                </a:solidFill>
                <a:ln w="25400">
                  <a:solidFill>
                    <a:srgbClr val="7030A0"/>
                  </a:solidFill>
                  <a:prstDash val="sysDot"/>
                </a:ln>
                <a:effectLst/>
              </c:spPr>
            </c:marker>
            <c:bubble3D val="0"/>
            <c:extLst>
              <c:ext xmlns:c16="http://schemas.microsoft.com/office/drawing/2014/chart" uri="{C3380CC4-5D6E-409C-BE32-E72D297353CC}">
                <c16:uniqueId val="{00000006-EB85-431B-8CE5-FD121F90E53E}"/>
              </c:ext>
            </c:extLst>
          </c:dPt>
          <c:cat>
            <c:numRef>
              <c:f>Comparison!$C$6:$AQ$6</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cat>
          <c:val>
            <c:numRef>
              <c:f>Comparison!$C$45:$AQ$45</c:f>
              <c:numCache>
                <c:formatCode>General</c:formatCode>
                <c:ptCount val="41"/>
                <c:pt idx="6">
                  <c:v>246.57152082435294</c:v>
                </c:pt>
                <c:pt idx="15">
                  <c:v>123.3</c:v>
                </c:pt>
                <c:pt idx="20">
                  <c:v>100.4</c:v>
                </c:pt>
                <c:pt idx="30">
                  <c:v>48</c:v>
                </c:pt>
                <c:pt idx="40">
                  <c:v>27.90234514458534</c:v>
                </c:pt>
              </c:numCache>
            </c:numRef>
          </c:val>
          <c:smooth val="0"/>
          <c:extLst>
            <c:ext xmlns:c16="http://schemas.microsoft.com/office/drawing/2014/chart" uri="{C3380CC4-5D6E-409C-BE32-E72D297353CC}">
              <c16:uniqueId val="{00000007-EB85-431B-8CE5-FD121F90E53E}"/>
            </c:ext>
          </c:extLst>
        </c:ser>
        <c:dLbls>
          <c:showLegendKey val="0"/>
          <c:showVal val="0"/>
          <c:showCatName val="0"/>
          <c:showSerName val="0"/>
          <c:showPercent val="0"/>
          <c:showBubbleSize val="0"/>
        </c:dLbls>
        <c:smooth val="0"/>
        <c:axId val="347675535"/>
        <c:axId val="347658735"/>
      </c:lineChart>
      <c:catAx>
        <c:axId val="347675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347658735"/>
        <c:crosses val="autoZero"/>
        <c:auto val="1"/>
        <c:lblAlgn val="ctr"/>
        <c:lblOffset val="100"/>
        <c:tickLblSkip val="5"/>
        <c:noMultiLvlLbl val="0"/>
      </c:catAx>
      <c:valAx>
        <c:axId val="3476587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3476755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5.2672790901137356E-2"/>
          <c:w val="0.68395562055618953"/>
          <c:h val="0.70039396430867829"/>
        </c:manualLayout>
      </c:layout>
      <c:scatterChart>
        <c:scatterStyle val="smoothMarker"/>
        <c:varyColors val="0"/>
        <c:ser>
          <c:idx val="0"/>
          <c:order val="0"/>
          <c:tx>
            <c:strRef>
              <c:f>Calculations!$B$109</c:f>
              <c:strCache>
                <c:ptCount val="1"/>
                <c:pt idx="0">
                  <c:v>select a LDV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Calculations!$E$109:$AI$109</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512C-417B-A68C-7F863B863027}"/>
            </c:ext>
          </c:extLst>
        </c:ser>
        <c:ser>
          <c:idx val="1"/>
          <c:order val="1"/>
          <c:tx>
            <c:strRef>
              <c:f>Calculations!$B$110</c:f>
              <c:strCache>
                <c:ptCount val="1"/>
                <c:pt idx="0">
                  <c:v>select a LDV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Calculations!$E$110:$AI$110</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512C-417B-A68C-7F863B863027}"/>
            </c:ext>
          </c:extLst>
        </c:ser>
        <c:ser>
          <c:idx val="2"/>
          <c:order val="2"/>
          <c:tx>
            <c:strRef>
              <c:f>Calculations!$B$111</c:f>
              <c:strCache>
                <c:ptCount val="1"/>
                <c:pt idx="0">
                  <c:v>select a LDV category</c:v>
                </c:pt>
              </c:strCache>
            </c:strRef>
          </c:tx>
          <c:spPr>
            <a:ln w="28575" cap="rnd">
              <a:solidFill>
                <a:srgbClr val="7030A0"/>
              </a:solidFill>
              <a:round/>
            </a:ln>
            <a:effectLst/>
          </c:spPr>
          <c:marker>
            <c:symbol val="circle"/>
            <c:size val="5"/>
            <c:spPr>
              <a:solidFill>
                <a:srgbClr val="7030A0"/>
              </a:solidFill>
              <a:ln w="15875">
                <a:solidFill>
                  <a:srgbClr val="7030A0"/>
                </a:solidFill>
              </a:ln>
              <a:effectLst/>
            </c:spPr>
          </c:marker>
          <c:dLbls>
            <c:dLbl>
              <c:idx val="0"/>
              <c:layout>
                <c:manualLayout>
                  <c:x val="1.6106640953873781E-2"/>
                  <c:y val="-8.975208833862359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512C-417B-A68C-7F863B863027}"/>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AutomakersOLD!$D$74</c:f>
              <c:numCache>
                <c:formatCode>General</c:formatCode>
                <c:ptCount val="1"/>
                <c:pt idx="0">
                  <c:v>2033</c:v>
                </c:pt>
              </c:numCache>
            </c:numRef>
          </c:xVal>
          <c:yVal>
            <c:numRef>
              <c:f>Calculations!$D$111</c:f>
              <c:numCache>
                <c:formatCode>#,##0.00</c:formatCode>
                <c:ptCount val="1"/>
                <c:pt idx="0">
                  <c:v>#N/A</c:v>
                </c:pt>
              </c:numCache>
            </c:numRef>
          </c:yVal>
          <c:smooth val="1"/>
          <c:extLst>
            <c:ext xmlns:c16="http://schemas.microsoft.com/office/drawing/2014/chart" uri="{C3380CC4-5D6E-409C-BE32-E72D297353CC}">
              <c16:uniqueId val="{00000003-512C-417B-A68C-7F863B863027}"/>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AutomakersOLD!$F$75</c:f>
              <c:strCache>
                <c:ptCount val="1"/>
                <c:pt idx="0">
                  <c:v>gCO2e/vkm</c:v>
                </c:pt>
              </c:strCache>
            </c:strRef>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4161804855326"/>
          <c:y val="5.2672790901137356E-2"/>
          <c:w val="0.84466038766333029"/>
          <c:h val="0.77736850908342348"/>
        </c:manualLayout>
      </c:layout>
      <c:scatterChart>
        <c:scatterStyle val="smoothMarker"/>
        <c:varyColors val="0"/>
        <c:ser>
          <c:idx val="3"/>
          <c:order val="1"/>
          <c:tx>
            <c:strRef>
              <c:f>Calculations!$B$106</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rgbClr val="FFC000"/>
                </a:solidFill>
              </a:ln>
              <a:effectLst/>
            </c:spPr>
          </c:marker>
          <c:xVal>
            <c:numRef>
              <c:f>AutomakersOLD!$D$26</c:f>
              <c:numCache>
                <c:formatCode>General</c:formatCode>
                <c:ptCount val="1"/>
                <c:pt idx="0">
                  <c:v>2033</c:v>
                </c:pt>
              </c:numCache>
            </c:numRef>
          </c:xVal>
          <c:yVal>
            <c:numRef>
              <c:f>Calculations!$D$106</c:f>
            </c:numRef>
          </c:yVal>
          <c:smooth val="1"/>
          <c:extLst>
            <c:ext xmlns:c16="http://schemas.microsoft.com/office/drawing/2014/chart" uri="{C3380CC4-5D6E-409C-BE32-E72D297353CC}">
              <c16:uniqueId val="{00000000-A0DC-455F-902F-556C390D0936}"/>
            </c:ext>
          </c:extLst>
        </c:ser>
        <c:ser>
          <c:idx val="2"/>
          <c:order val="2"/>
          <c:tx>
            <c:strRef>
              <c:f>Calculations!$B$105</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xVal>
            <c:numRef>
              <c:f>AutomakersOLD!$D$26</c:f>
              <c:numCache>
                <c:formatCode>General</c:formatCode>
                <c:ptCount val="1"/>
                <c:pt idx="0">
                  <c:v>2033</c:v>
                </c:pt>
              </c:numCache>
            </c:numRef>
          </c:xVal>
          <c:yVal>
            <c:numRef>
              <c:f>Calculations!$D$105</c:f>
            </c:numRef>
          </c:yVal>
          <c:smooth val="1"/>
          <c:extLst>
            <c:ext xmlns:c16="http://schemas.microsoft.com/office/drawing/2014/chart" uri="{C3380CC4-5D6E-409C-BE32-E72D297353CC}">
              <c16:uniqueId val="{00000001-A0DC-455F-902F-556C390D0936}"/>
            </c:ext>
          </c:extLst>
        </c:ser>
        <c:dLbls>
          <c:showLegendKey val="0"/>
          <c:showVal val="0"/>
          <c:showCatName val="0"/>
          <c:showSerName val="0"/>
          <c:showPercent val="0"/>
          <c:showBubbleSize val="0"/>
        </c:dLbls>
        <c:axId val="980015104"/>
        <c:axId val="980019456"/>
      </c:scatterChart>
      <c:scatterChart>
        <c:scatterStyle val="lineMarker"/>
        <c:varyColors val="0"/>
        <c:ser>
          <c:idx val="0"/>
          <c:order val="0"/>
          <c:tx>
            <c:strRef>
              <c:f>Calculations!$B$103</c:f>
              <c:strCache>
                <c:ptCount val="1"/>
                <c:pt idx="0">
                  <c:v>Company | Scope 1 emissions (tCO2e)</c:v>
                </c:pt>
              </c:strCache>
            </c:strRef>
          </c:tx>
          <c:spPr>
            <a:ln w="19050" cap="rnd">
              <a:solidFill>
                <a:schemeClr val="accent1"/>
              </a:solidFill>
              <a:round/>
            </a:ln>
            <a:effectLst/>
          </c:spPr>
          <c:marker>
            <c:symbol val="circle"/>
            <c:size val="5"/>
            <c:spPr>
              <a:solidFill>
                <a:schemeClr val="accent1"/>
              </a:solidFill>
              <a:ln w="9525">
                <a:solidFill>
                  <a:srgbClr val="00546E"/>
                </a:solidFill>
              </a:ln>
              <a:effectLst/>
            </c:spPr>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Calculations!$E$103:$AI$103</c:f>
            </c:numRef>
          </c:yVal>
          <c:smooth val="0"/>
          <c:extLst>
            <c:ext xmlns:c16="http://schemas.microsoft.com/office/drawing/2014/chart" uri="{C3380CC4-5D6E-409C-BE32-E72D297353CC}">
              <c16:uniqueId val="{00000002-A0DC-455F-902F-556C390D0936}"/>
            </c:ext>
          </c:extLst>
        </c:ser>
        <c:ser>
          <c:idx val="1"/>
          <c:order val="3"/>
          <c:tx>
            <c:strRef>
              <c:f>Calculations!$B$104</c:f>
              <c:strCache>
                <c:ptCount val="1"/>
                <c:pt idx="0">
                  <c:v>Company | Scope 2 emissions (tCO2e)</c:v>
                </c:pt>
              </c:strCache>
            </c:strRef>
          </c:tx>
          <c:spPr>
            <a:ln w="19050" cap="rnd">
              <a:solidFill>
                <a:schemeClr val="accent2"/>
              </a:solidFill>
              <a:round/>
            </a:ln>
            <a:effectLst/>
          </c:spPr>
          <c:marker>
            <c:symbol val="circle"/>
            <c:size val="5"/>
            <c:spPr>
              <a:solidFill>
                <a:srgbClr val="FFC000"/>
              </a:solidFill>
              <a:ln w="9525">
                <a:solidFill>
                  <a:srgbClr val="F6B540"/>
                </a:solidFill>
              </a:ln>
              <a:effectLst/>
            </c:spPr>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Calculations!$E$104:$AI$104</c:f>
            </c:numRef>
          </c:yVal>
          <c:smooth val="0"/>
          <c:extLst>
            <c:ext xmlns:c16="http://schemas.microsoft.com/office/drawing/2014/chart" uri="{C3380CC4-5D6E-409C-BE32-E72D297353CC}">
              <c16:uniqueId val="{00000003-A0DC-455F-902F-556C390D0936}"/>
            </c:ext>
          </c:extLst>
        </c:ser>
        <c:dLbls>
          <c:showLegendKey val="0"/>
          <c:showVal val="0"/>
          <c:showCatName val="0"/>
          <c:showSerName val="0"/>
          <c:showPercent val="0"/>
          <c:showBubbleSize val="0"/>
        </c:dLbls>
        <c:axId val="980015104"/>
        <c:axId val="980019456"/>
      </c:scatterChart>
      <c:valAx>
        <c:axId val="980015104"/>
        <c:scaling>
          <c:orientation val="minMax"/>
          <c:max val="2035"/>
          <c:min val="2020"/>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9456"/>
        <c:crossesAt val="0"/>
        <c:crossBetween val="midCat"/>
      </c:valAx>
      <c:valAx>
        <c:axId val="980019456"/>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5104"/>
        <c:crosses val="autoZero"/>
        <c:crossBetween val="midCat"/>
      </c:valAx>
      <c:spPr>
        <a:noFill/>
        <a:ln>
          <a:noFill/>
        </a:ln>
        <a:effectLst/>
      </c:spPr>
    </c:plotArea>
    <c:legend>
      <c:legendPos val="r"/>
      <c:layout>
        <c:manualLayout>
          <c:xMode val="edge"/>
          <c:yMode val="edge"/>
          <c:x val="0.10007815861740438"/>
          <c:y val="0.9200896177783805"/>
          <c:w val="0.84378628910654674"/>
          <c:h val="6.1422677246377101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5.2672790901137356E-2"/>
          <c:w val="0.69398075240594936"/>
          <c:h val="0.68422158308055803"/>
        </c:manualLayout>
      </c:layout>
      <c:scatterChart>
        <c:scatterStyle val="smoothMarker"/>
        <c:varyColors val="0"/>
        <c:ser>
          <c:idx val="0"/>
          <c:order val="0"/>
          <c:tx>
            <c:strRef>
              <c:f>Calculations!$B$114</c:f>
              <c:strCache>
                <c:ptCount val="1"/>
                <c:pt idx="0">
                  <c:v>select a LDV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Calculations!$E$114:$AI$114</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6411-4B31-804D-A61E2DABF69A}"/>
            </c:ext>
          </c:extLst>
        </c:ser>
        <c:ser>
          <c:idx val="1"/>
          <c:order val="1"/>
          <c:tx>
            <c:strRef>
              <c:f>Calculations!$B$115</c:f>
              <c:strCache>
                <c:ptCount val="1"/>
                <c:pt idx="0">
                  <c:v>select a LDV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Calculations!$E$115:$AI$115</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6411-4B31-804D-A61E2DABF69A}"/>
            </c:ext>
          </c:extLst>
        </c:ser>
        <c:ser>
          <c:idx val="2"/>
          <c:order val="2"/>
          <c:tx>
            <c:strRef>
              <c:f>Calculations!$B$116</c:f>
              <c:strCache>
                <c:ptCount val="1"/>
                <c:pt idx="0">
                  <c:v>select a LDV category</c:v>
                </c:pt>
              </c:strCache>
            </c:strRef>
          </c:tx>
          <c:spPr>
            <a:ln w="28575" cap="rnd">
              <a:solidFill>
                <a:schemeClr val="accent3"/>
              </a:solidFill>
              <a:round/>
            </a:ln>
            <a:effectLst/>
          </c:spPr>
          <c:marker>
            <c:symbol val="circle"/>
            <c:size val="5"/>
            <c:spPr>
              <a:solidFill>
                <a:srgbClr val="7030A0"/>
              </a:solidFill>
              <a:ln w="15875">
                <a:solidFill>
                  <a:srgbClr val="7030A0"/>
                </a:solidFill>
              </a:ln>
              <a:effectLst/>
            </c:spPr>
          </c:marker>
          <c:dLbls>
            <c:dLbl>
              <c:idx val="0"/>
              <c:layout>
                <c:manualLayout>
                  <c:x val="1.7623360051192985E-2"/>
                  <c:y val="4.454342984409799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6411-4B31-804D-A61E2DABF69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AutomakersOLD!$D$74</c:f>
              <c:numCache>
                <c:formatCode>General</c:formatCode>
                <c:ptCount val="1"/>
                <c:pt idx="0">
                  <c:v>2033</c:v>
                </c:pt>
              </c:numCache>
            </c:numRef>
          </c:xVal>
          <c:yVal>
            <c:numRef>
              <c:f>Calculations!$D$116</c:f>
              <c:numCache>
                <c:formatCode>#,##0.00</c:formatCode>
                <c:ptCount val="1"/>
                <c:pt idx="0">
                  <c:v>#N/A</c:v>
                </c:pt>
              </c:numCache>
            </c:numRef>
          </c:yVal>
          <c:smooth val="1"/>
          <c:extLst>
            <c:ext xmlns:c16="http://schemas.microsoft.com/office/drawing/2014/chart" uri="{C3380CC4-5D6E-409C-BE32-E72D297353CC}">
              <c16:uniqueId val="{00000003-6411-4B31-804D-A61E2DABF69A}"/>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AutomakersOLD!$F$75</c:f>
              <c:strCache>
                <c:ptCount val="1"/>
                <c:pt idx="0">
                  <c:v>gCO2e/vkm</c:v>
                </c:pt>
              </c:strCache>
            </c:strRef>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87580804295263"/>
          <c:y val="0.83391432358380357"/>
          <c:w val="0.70801938212777205"/>
          <c:h val="0.1405545863653270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5.2672790901137356E-2"/>
          <c:w val="0.69901600593603941"/>
          <c:h val="0.68278271722883954"/>
        </c:manualLayout>
      </c:layout>
      <c:scatterChart>
        <c:scatterStyle val="smoothMarker"/>
        <c:varyColors val="0"/>
        <c:ser>
          <c:idx val="0"/>
          <c:order val="0"/>
          <c:tx>
            <c:strRef>
              <c:f>Calculations!$B$119</c:f>
              <c:strCache>
                <c:ptCount val="1"/>
                <c:pt idx="0">
                  <c:v>select a non-LDV vehicle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Calculations!$E$119:$AI$119</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3B60-49AA-BE5B-3CF5CD52B7D9}"/>
            </c:ext>
          </c:extLst>
        </c:ser>
        <c:ser>
          <c:idx val="1"/>
          <c:order val="1"/>
          <c:tx>
            <c:strRef>
              <c:f>Calculations!$B$120</c:f>
              <c:strCache>
                <c:ptCount val="1"/>
                <c:pt idx="0">
                  <c:v>select a non-LDV vehicle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Calculations!$E$120:$AI$120</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3B60-49AA-BE5B-3CF5CD52B7D9}"/>
            </c:ext>
          </c:extLst>
        </c:ser>
        <c:ser>
          <c:idx val="2"/>
          <c:order val="2"/>
          <c:tx>
            <c:strRef>
              <c:f>Calculations!$B$121</c:f>
              <c:strCache>
                <c:ptCount val="1"/>
                <c:pt idx="0">
                  <c:v>select a vehicle category</c:v>
                </c:pt>
              </c:strCache>
            </c:strRef>
          </c:tx>
          <c:spPr>
            <a:ln w="28575" cap="rnd">
              <a:solidFill>
                <a:schemeClr val="accent3"/>
              </a:solidFill>
              <a:round/>
            </a:ln>
            <a:effectLst/>
          </c:spPr>
          <c:marker>
            <c:symbol val="circle"/>
            <c:size val="5"/>
            <c:spPr>
              <a:solidFill>
                <a:srgbClr val="7030A0"/>
              </a:solidFill>
              <a:ln w="15875">
                <a:solidFill>
                  <a:srgbClr val="7030A0"/>
                </a:solidFill>
              </a:ln>
              <a:effectLst/>
            </c:spPr>
          </c:marker>
          <c:dLbls>
            <c:dLbl>
              <c:idx val="0"/>
              <c:layout>
                <c:manualLayout>
                  <c:x val="2.0140982915649128E-2"/>
                  <c:y val="-5.870841487279849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3B60-49AA-BE5B-3CF5CD52B7D9}"/>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AutomakersOLD!$D$114</c:f>
              <c:numCache>
                <c:formatCode>General</c:formatCode>
                <c:ptCount val="1"/>
                <c:pt idx="0">
                  <c:v>2033</c:v>
                </c:pt>
              </c:numCache>
            </c:numRef>
          </c:xVal>
          <c:yVal>
            <c:numRef>
              <c:f>Calculations!$D$121</c:f>
              <c:numCache>
                <c:formatCode>#,##0.00</c:formatCode>
                <c:ptCount val="1"/>
                <c:pt idx="0">
                  <c:v>#N/A</c:v>
                </c:pt>
              </c:numCache>
            </c:numRef>
          </c:yVal>
          <c:smooth val="1"/>
          <c:extLst>
            <c:ext xmlns:c16="http://schemas.microsoft.com/office/drawing/2014/chart" uri="{C3380CC4-5D6E-409C-BE32-E72D297353CC}">
              <c16:uniqueId val="{00000003-3B60-49AA-BE5B-3CF5CD52B7D9}"/>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AutomakersOLD!$F$75</c:f>
              <c:strCache>
                <c:ptCount val="1"/>
                <c:pt idx="0">
                  <c:v>gCO2e/vkm</c:v>
                </c:pt>
              </c:strCache>
            </c:strRef>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b"/>
      <c:layout>
        <c:manualLayout>
          <c:xMode val="edge"/>
          <c:yMode val="edge"/>
          <c:x val="0.1572620236811175"/>
          <c:y val="0.81288067097519123"/>
          <c:w val="0.73834603279134403"/>
          <c:h val="0.1667527302468046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5.2672790901137356E-2"/>
          <c:w val="0.69398075240594936"/>
          <c:h val="0.68895987706841166"/>
        </c:manualLayout>
      </c:layout>
      <c:scatterChart>
        <c:scatterStyle val="smoothMarker"/>
        <c:varyColors val="0"/>
        <c:ser>
          <c:idx val="0"/>
          <c:order val="0"/>
          <c:tx>
            <c:strRef>
              <c:f>Calculations!$B$124</c:f>
              <c:strCache>
                <c:ptCount val="1"/>
                <c:pt idx="0">
                  <c:v>select a vehicle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Calculations!$E$124:$AI$124</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DE1E-4B4B-A7D1-62AB2B8F401C}"/>
            </c:ext>
          </c:extLst>
        </c:ser>
        <c:ser>
          <c:idx val="1"/>
          <c:order val="1"/>
          <c:tx>
            <c:strRef>
              <c:f>Calculations!$B$125</c:f>
              <c:strCache>
                <c:ptCount val="1"/>
                <c:pt idx="0">
                  <c:v>select a vehicle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Calculations!$E$125:$AI$125</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DE1E-4B4B-A7D1-62AB2B8F401C}"/>
            </c:ext>
          </c:extLst>
        </c:ser>
        <c:ser>
          <c:idx val="2"/>
          <c:order val="2"/>
          <c:tx>
            <c:strRef>
              <c:f>Calculations!$B$126</c:f>
              <c:strCache>
                <c:ptCount val="1"/>
                <c:pt idx="0">
                  <c:v>select a vehicle category</c:v>
                </c:pt>
              </c:strCache>
            </c:strRef>
          </c:tx>
          <c:spPr>
            <a:ln w="28575" cap="rnd">
              <a:solidFill>
                <a:schemeClr val="accent3"/>
              </a:solidFill>
              <a:round/>
            </a:ln>
            <a:effectLst/>
          </c:spPr>
          <c:marker>
            <c:symbol val="circle"/>
            <c:size val="5"/>
            <c:spPr>
              <a:solidFill>
                <a:srgbClr val="7030A0"/>
              </a:solidFill>
              <a:ln w="15875">
                <a:solidFill>
                  <a:srgbClr val="7030A0"/>
                </a:solidFill>
              </a:ln>
              <a:effectLst/>
            </c:spPr>
          </c:marker>
          <c:dLbls>
            <c:dLbl>
              <c:idx val="0"/>
              <c:layout>
                <c:manualLayout>
                  <c:x val="-1.7623360051193079E-2"/>
                  <c:y val="-0.17354289456450564"/>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DE1E-4B4B-A7D1-62AB2B8F401C}"/>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AutomakersOLD!$D$114</c:f>
              <c:numCache>
                <c:formatCode>General</c:formatCode>
                <c:ptCount val="1"/>
                <c:pt idx="0">
                  <c:v>2033</c:v>
                </c:pt>
              </c:numCache>
            </c:numRef>
          </c:xVal>
          <c:yVal>
            <c:numRef>
              <c:f>Calculations!$D$126</c:f>
              <c:numCache>
                <c:formatCode>#,##0.00</c:formatCode>
                <c:ptCount val="1"/>
                <c:pt idx="0">
                  <c:v>#N/A</c:v>
                </c:pt>
              </c:numCache>
            </c:numRef>
          </c:yVal>
          <c:smooth val="1"/>
          <c:extLst>
            <c:ext xmlns:c16="http://schemas.microsoft.com/office/drawing/2014/chart" uri="{C3380CC4-5D6E-409C-BE32-E72D297353CC}">
              <c16:uniqueId val="{00000003-DE1E-4B4B-A7D1-62AB2B8F401C}"/>
            </c:ext>
          </c:extLst>
        </c:ser>
        <c:dLbls>
          <c:showLegendKey val="0"/>
          <c:showVal val="0"/>
          <c:showCatName val="0"/>
          <c:showSerName val="0"/>
          <c:showPercent val="0"/>
          <c:showBubbleSize val="0"/>
        </c:dLbls>
        <c:axId val="949570272"/>
        <c:axId val="949571904"/>
      </c:scatterChart>
      <c:valAx>
        <c:axId val="949570272"/>
        <c:scaling>
          <c:orientation val="minMax"/>
          <c:max val="2040"/>
          <c:min val="202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 val="autoZero"/>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AutomakersOLD!$F$75</c:f>
              <c:strCache>
                <c:ptCount val="1"/>
                <c:pt idx="0">
                  <c:v>gCO2e/vkm</c:v>
                </c:pt>
              </c:strCache>
            </c:strRef>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9863984929152706"/>
          <c:y val="0.80901979590468676"/>
          <c:w val="0.70065523613022729"/>
          <c:h val="0.16126623661236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4161804855326"/>
          <c:y val="5.2672790901137356E-2"/>
          <c:w val="0.84466038766333029"/>
          <c:h val="0.77736850908342348"/>
        </c:manualLayout>
      </c:layout>
      <c:scatterChart>
        <c:scatterStyle val="smoothMarker"/>
        <c:varyColors val="0"/>
        <c:ser>
          <c:idx val="3"/>
          <c:order val="1"/>
          <c:tx>
            <c:strRef>
              <c:f>Calculations!$B$106</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rgbClr val="FFC000"/>
                </a:solidFill>
              </a:ln>
              <a:effectLst/>
            </c:spPr>
          </c:marker>
          <c:xVal>
            <c:numRef>
              <c:f>Automakers!$D$26</c:f>
            </c:numRef>
          </c:xVal>
          <c:yVal>
            <c:numRef>
              <c:f>Calculations!$D$106</c:f>
            </c:numRef>
          </c:yVal>
          <c:smooth val="1"/>
          <c:extLst>
            <c:ext xmlns:c16="http://schemas.microsoft.com/office/drawing/2014/chart" uri="{C3380CC4-5D6E-409C-BE32-E72D297353CC}">
              <c16:uniqueId val="{00000002-7860-4468-9D47-147623ECE803}"/>
            </c:ext>
          </c:extLst>
        </c:ser>
        <c:ser>
          <c:idx val="2"/>
          <c:order val="2"/>
          <c:tx>
            <c:strRef>
              <c:f>Calculations!$B$105</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xVal>
            <c:numRef>
              <c:f>Automakers!$D$26</c:f>
            </c:numRef>
          </c:xVal>
          <c:yVal>
            <c:numRef>
              <c:f>Calculations!$D$105</c:f>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80015104"/>
        <c:axId val="980019456"/>
      </c:scatterChart>
      <c:scatterChart>
        <c:scatterStyle val="lineMarker"/>
        <c:varyColors val="0"/>
        <c:ser>
          <c:idx val="0"/>
          <c:order val="0"/>
          <c:tx>
            <c:strRef>
              <c:f>Calculations!$B$103</c:f>
              <c:strCache>
                <c:ptCount val="1"/>
                <c:pt idx="0">
                  <c:v>Company | Scope 1 emissions (tCO2e)</c:v>
                </c:pt>
              </c:strCache>
            </c:strRef>
          </c:tx>
          <c:spPr>
            <a:ln w="19050" cap="rnd">
              <a:solidFill>
                <a:schemeClr val="accent1"/>
              </a:solidFill>
              <a:round/>
            </a:ln>
            <a:effectLst/>
          </c:spPr>
          <c:marker>
            <c:symbol val="circle"/>
            <c:size val="5"/>
            <c:spPr>
              <a:solidFill>
                <a:schemeClr val="accent1"/>
              </a:solidFill>
              <a:ln w="9525">
                <a:solidFill>
                  <a:srgbClr val="00546E"/>
                </a:solidFill>
              </a:ln>
              <a:effectLst/>
            </c:spPr>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Calculations!$E$103:$AI$103</c:f>
            </c:numRef>
          </c:yVal>
          <c:smooth val="0"/>
          <c:extLst>
            <c:ext xmlns:c16="http://schemas.microsoft.com/office/drawing/2014/chart" uri="{C3380CC4-5D6E-409C-BE32-E72D297353CC}">
              <c16:uniqueId val="{00000003-D0A5-40C9-A551-E595A2F775E6}"/>
            </c:ext>
          </c:extLst>
        </c:ser>
        <c:ser>
          <c:idx val="1"/>
          <c:order val="3"/>
          <c:tx>
            <c:strRef>
              <c:f>Calculations!$B$104</c:f>
              <c:strCache>
                <c:ptCount val="1"/>
                <c:pt idx="0">
                  <c:v>Company | Scope 2 emissions (tCO2e)</c:v>
                </c:pt>
              </c:strCache>
            </c:strRef>
          </c:tx>
          <c:spPr>
            <a:ln w="19050" cap="rnd">
              <a:solidFill>
                <a:schemeClr val="accent2"/>
              </a:solidFill>
              <a:round/>
            </a:ln>
            <a:effectLst/>
          </c:spPr>
          <c:marker>
            <c:symbol val="circle"/>
            <c:size val="5"/>
            <c:spPr>
              <a:solidFill>
                <a:srgbClr val="FFC000"/>
              </a:solidFill>
              <a:ln w="9525">
                <a:solidFill>
                  <a:srgbClr val="F6B540"/>
                </a:solidFill>
              </a:ln>
              <a:effectLst/>
            </c:spPr>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Calculations!$E$104:$AI$104</c:f>
            </c:numRef>
          </c:yVal>
          <c:smooth val="0"/>
          <c:extLst>
            <c:ext xmlns:c16="http://schemas.microsoft.com/office/drawing/2014/chart" uri="{C3380CC4-5D6E-409C-BE32-E72D297353CC}">
              <c16:uniqueId val="{00000001-F541-455B-B539-46D6AD558DA4}"/>
            </c:ext>
          </c:extLst>
        </c:ser>
        <c:dLbls>
          <c:showLegendKey val="0"/>
          <c:showVal val="0"/>
          <c:showCatName val="0"/>
          <c:showSerName val="0"/>
          <c:showPercent val="0"/>
          <c:showBubbleSize val="0"/>
        </c:dLbls>
        <c:axId val="980015104"/>
        <c:axId val="980019456"/>
      </c:scatterChart>
      <c:valAx>
        <c:axId val="980015104"/>
        <c:scaling>
          <c:orientation val="minMax"/>
          <c:max val="2035"/>
          <c:min val="2020"/>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9456"/>
        <c:crossesAt val="0"/>
        <c:crossBetween val="midCat"/>
      </c:valAx>
      <c:valAx>
        <c:axId val="980019456"/>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5104"/>
        <c:crosses val="autoZero"/>
        <c:crossBetween val="midCat"/>
      </c:valAx>
      <c:spPr>
        <a:noFill/>
        <a:ln>
          <a:noFill/>
        </a:ln>
        <a:effectLst/>
      </c:spPr>
    </c:plotArea>
    <c:legend>
      <c:legendPos val="r"/>
      <c:layout>
        <c:manualLayout>
          <c:xMode val="edge"/>
          <c:yMode val="edge"/>
          <c:x val="0.10007815861740438"/>
          <c:y val="0.9200896177783805"/>
          <c:w val="0.84378628910654674"/>
          <c:h val="6.1422677246377101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8.9266349191381017E-2"/>
          <c:w val="0.69398075240594936"/>
          <c:h val="0.6476281033733059"/>
        </c:manualLayout>
      </c:layout>
      <c:scatterChart>
        <c:scatterStyle val="smoothMarker"/>
        <c:varyColors val="0"/>
        <c:ser>
          <c:idx val="0"/>
          <c:order val="0"/>
          <c:tx>
            <c:strRef>
              <c:f>Calculations!$B$114</c:f>
              <c:strCache>
                <c:ptCount val="1"/>
                <c:pt idx="0">
                  <c:v>select a LDV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Calculations!$E$114:$AI$114</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50C8-45F5-B41A-755AF03CFECA}"/>
            </c:ext>
          </c:extLst>
        </c:ser>
        <c:ser>
          <c:idx val="1"/>
          <c:order val="1"/>
          <c:tx>
            <c:strRef>
              <c:f>Calculations!$B$115</c:f>
              <c:strCache>
                <c:ptCount val="1"/>
                <c:pt idx="0">
                  <c:v>select a LDV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Calculations!$E$115:$AI$115</c:f>
              <c:numCache>
                <c:formatCode>#,##0.00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50C8-45F5-B41A-755AF03CFECA}"/>
            </c:ext>
          </c:extLst>
        </c:ser>
        <c:ser>
          <c:idx val="2"/>
          <c:order val="2"/>
          <c:tx>
            <c:strRef>
              <c:f>Calculations!$B$116</c:f>
              <c:strCache>
                <c:ptCount val="1"/>
                <c:pt idx="0">
                  <c:v>select a LDV category</c:v>
                </c:pt>
              </c:strCache>
            </c:strRef>
          </c:tx>
          <c:spPr>
            <a:ln w="28575" cap="rnd">
              <a:noFill/>
              <a:round/>
            </a:ln>
            <a:effectLst/>
          </c:spPr>
          <c:marker>
            <c:symbol val="circle"/>
            <c:size val="5"/>
            <c:spPr>
              <a:solidFill>
                <a:srgbClr val="7030A0"/>
              </a:solidFill>
              <a:ln w="15875">
                <a:noFill/>
              </a:ln>
              <a:effectLst/>
            </c:spPr>
          </c:marker>
          <c:dLbls>
            <c:dLbl>
              <c:idx val="0"/>
              <c:layout>
                <c:manualLayout>
                  <c:x val="1.7623360051192985E-2"/>
                  <c:y val="4.454342984409799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50C8-45F5-B41A-755AF03CFEC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Automakers!$D$75</c:f>
              <c:numCache>
                <c:formatCode>General</c:formatCode>
                <c:ptCount val="1"/>
              </c:numCache>
            </c:numRef>
          </c:xVal>
          <c:yVal>
            <c:numRef>
              <c:f>Calculations!$D$116</c:f>
              <c:numCache>
                <c:formatCode>#,##0.00</c:formatCode>
                <c:ptCount val="1"/>
                <c:pt idx="0">
                  <c:v>#N/A</c:v>
                </c:pt>
              </c:numCache>
            </c:numRef>
          </c:yVal>
          <c:smooth val="1"/>
          <c:extLst>
            <c:ext xmlns:c16="http://schemas.microsoft.com/office/drawing/2014/chart" uri="{C3380CC4-5D6E-409C-BE32-E72D297353CC}">
              <c16:uniqueId val="{00000003-50C8-45F5-B41A-755AF03CFECA}"/>
            </c:ext>
          </c:extLst>
        </c:ser>
        <c:dLbls>
          <c:showLegendKey val="0"/>
          <c:showVal val="0"/>
          <c:showCatName val="0"/>
          <c:showSerName val="0"/>
          <c:showPercent val="0"/>
          <c:showBubbleSize val="0"/>
        </c:dLbls>
        <c:axId val="949570272"/>
        <c:axId val="949571904"/>
      </c:scatterChart>
      <c:valAx>
        <c:axId val="949570272"/>
        <c:scaling>
          <c:orientation val="minMax"/>
          <c:max val="2050"/>
          <c:min val="2022"/>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87580804295263"/>
          <c:y val="0.83391432358380357"/>
          <c:w val="0.70801938212777205"/>
          <c:h val="0.1405545863653270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8.8550061379313885E-2"/>
          <c:w val="0.69901600593603941"/>
          <c:h val="0.64690535258435167"/>
        </c:manualLayout>
      </c:layout>
      <c:scatterChart>
        <c:scatterStyle val="smoothMarker"/>
        <c:varyColors val="0"/>
        <c:ser>
          <c:idx val="0"/>
          <c:order val="0"/>
          <c:tx>
            <c:strRef>
              <c:f>Calculations!$B$119</c:f>
              <c:strCache>
                <c:ptCount val="1"/>
                <c:pt idx="0">
                  <c:v>select a non-LDV vehicle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Calculations!$E$119:$AI$119</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8352-4DE8-A31F-D741FCFCAE15}"/>
            </c:ext>
          </c:extLst>
        </c:ser>
        <c:ser>
          <c:idx val="1"/>
          <c:order val="1"/>
          <c:tx>
            <c:strRef>
              <c:f>Calculations!$B$120</c:f>
              <c:strCache>
                <c:ptCount val="1"/>
                <c:pt idx="0">
                  <c:v>select a non-LDV vehicle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Calculations!$E$120:$AI$120</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8352-4DE8-A31F-D741FCFCAE15}"/>
            </c:ext>
          </c:extLst>
        </c:ser>
        <c:ser>
          <c:idx val="2"/>
          <c:order val="2"/>
          <c:tx>
            <c:strRef>
              <c:f>Calculations!$B$121</c:f>
              <c:strCache>
                <c:ptCount val="1"/>
                <c:pt idx="0">
                  <c:v>select a vehicle category</c:v>
                </c:pt>
              </c:strCache>
            </c:strRef>
          </c:tx>
          <c:spPr>
            <a:ln w="28575" cap="rnd">
              <a:noFill/>
              <a:round/>
            </a:ln>
            <a:effectLst/>
          </c:spPr>
          <c:marker>
            <c:symbol val="circle"/>
            <c:size val="5"/>
            <c:spPr>
              <a:solidFill>
                <a:srgbClr val="7030A0"/>
              </a:solidFill>
              <a:ln w="15875">
                <a:noFill/>
              </a:ln>
              <a:effectLst/>
            </c:spPr>
          </c:marker>
          <c:dLbls>
            <c:dLbl>
              <c:idx val="0"/>
              <c:layout>
                <c:manualLayout>
                  <c:x val="-6.3504907786375686E-2"/>
                  <c:y val="-0.1891715590345727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352-4DE8-A31F-D741FCFCAE15}"/>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Automakers!$D$116</c:f>
              <c:numCache>
                <c:formatCode>General</c:formatCode>
                <c:ptCount val="1"/>
              </c:numCache>
            </c:numRef>
          </c:xVal>
          <c:yVal>
            <c:numRef>
              <c:f>Calculations!$D$121</c:f>
              <c:numCache>
                <c:formatCode>#,##0.00</c:formatCode>
                <c:ptCount val="1"/>
                <c:pt idx="0">
                  <c:v>#N/A</c:v>
                </c:pt>
              </c:numCache>
            </c:numRef>
          </c:yVal>
          <c:smooth val="1"/>
          <c:extLst>
            <c:ext xmlns:c16="http://schemas.microsoft.com/office/drawing/2014/chart" uri="{C3380CC4-5D6E-409C-BE32-E72D297353CC}">
              <c16:uniqueId val="{00000003-8352-4DE8-A31F-D741FCFCAE15}"/>
            </c:ext>
          </c:extLst>
        </c:ser>
        <c:dLbls>
          <c:showLegendKey val="0"/>
          <c:showVal val="0"/>
          <c:showCatName val="0"/>
          <c:showSerName val="0"/>
          <c:showPercent val="0"/>
          <c:showBubbleSize val="0"/>
        </c:dLbls>
        <c:axId val="949570272"/>
        <c:axId val="949571904"/>
      </c:scatterChart>
      <c:valAx>
        <c:axId val="949570272"/>
        <c:scaling>
          <c:orientation val="minMax"/>
          <c:max val="2050"/>
          <c:min val="2022"/>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Automakers!$F$76</c:f>
              <c:strCache>
                <c:ptCount val="1"/>
                <c:pt idx="0">
                  <c:v>gCO2e/vkm</c:v>
                </c:pt>
              </c:strCache>
            </c:strRef>
          </c:tx>
          <c:layout>
            <c:manualLayout>
              <c:xMode val="edge"/>
              <c:yMode val="edge"/>
              <c:x val="7.5531824474346324E-2"/>
              <c:y val="0.3186734363683991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b"/>
      <c:layout>
        <c:manualLayout>
          <c:xMode val="edge"/>
          <c:yMode val="edge"/>
          <c:x val="0.1572620236811175"/>
          <c:y val="0.81288067097519123"/>
          <c:w val="0.73834603279134403"/>
          <c:h val="0.1667527302468046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9.5240010519313772E-2"/>
          <c:w val="0.69398075240594936"/>
          <c:h val="0.64639275198655177"/>
        </c:manualLayout>
      </c:layout>
      <c:scatterChart>
        <c:scatterStyle val="smoothMarker"/>
        <c:varyColors val="0"/>
        <c:ser>
          <c:idx val="0"/>
          <c:order val="0"/>
          <c:tx>
            <c:strRef>
              <c:f>Calculations!$B$124</c:f>
              <c:strCache>
                <c:ptCount val="1"/>
                <c:pt idx="0">
                  <c:v>select a vehicle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Calculations!$E$124:$AI$124</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FD1B-4344-995C-B832190F7581}"/>
            </c:ext>
          </c:extLst>
        </c:ser>
        <c:ser>
          <c:idx val="1"/>
          <c:order val="1"/>
          <c:tx>
            <c:strRef>
              <c:f>Calculations!$B$125</c:f>
              <c:strCache>
                <c:ptCount val="1"/>
                <c:pt idx="0">
                  <c:v>select a vehicle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Calculations!$E$125:$AI$125</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FD1B-4344-995C-B832190F7581}"/>
            </c:ext>
          </c:extLst>
        </c:ser>
        <c:ser>
          <c:idx val="2"/>
          <c:order val="2"/>
          <c:tx>
            <c:strRef>
              <c:f>Calculations!$B$126</c:f>
              <c:strCache>
                <c:ptCount val="1"/>
                <c:pt idx="0">
                  <c:v>select a vehicle category</c:v>
                </c:pt>
              </c:strCache>
            </c:strRef>
          </c:tx>
          <c:spPr>
            <a:ln w="28575" cap="rnd">
              <a:noFill/>
              <a:round/>
            </a:ln>
            <a:effectLst/>
          </c:spPr>
          <c:marker>
            <c:symbol val="circle"/>
            <c:size val="5"/>
            <c:spPr>
              <a:solidFill>
                <a:srgbClr val="7030A0"/>
              </a:solidFill>
              <a:ln w="15875">
                <a:noFill/>
              </a:ln>
              <a:effectLst/>
            </c:spPr>
          </c:marker>
          <c:dLbls>
            <c:dLbl>
              <c:idx val="0"/>
              <c:layout>
                <c:manualLayout>
                  <c:x val="-0.23917417212333339"/>
                  <c:y val="-3.603818923420427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FD1B-4344-995C-B832190F7581}"/>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Automakers!$D$116</c:f>
              <c:numCache>
                <c:formatCode>General</c:formatCode>
                <c:ptCount val="1"/>
              </c:numCache>
            </c:numRef>
          </c:xVal>
          <c:yVal>
            <c:numRef>
              <c:f>Calculations!$D$126</c:f>
              <c:numCache>
                <c:formatCode>#,##0.00</c:formatCode>
                <c:ptCount val="1"/>
                <c:pt idx="0">
                  <c:v>#N/A</c:v>
                </c:pt>
              </c:numCache>
            </c:numRef>
          </c:yVal>
          <c:smooth val="1"/>
          <c:extLst>
            <c:ext xmlns:c16="http://schemas.microsoft.com/office/drawing/2014/chart" uri="{C3380CC4-5D6E-409C-BE32-E72D297353CC}">
              <c16:uniqueId val="{00000003-FD1B-4344-995C-B832190F7581}"/>
            </c:ext>
          </c:extLst>
        </c:ser>
        <c:dLbls>
          <c:showLegendKey val="0"/>
          <c:showVal val="0"/>
          <c:showCatName val="0"/>
          <c:showSerName val="0"/>
          <c:showPercent val="0"/>
          <c:showBubbleSize val="0"/>
        </c:dLbls>
        <c:axId val="949570272"/>
        <c:axId val="949571904"/>
      </c:scatterChart>
      <c:valAx>
        <c:axId val="949570272"/>
        <c:scaling>
          <c:orientation val="minMax"/>
          <c:max val="2050"/>
          <c:min val="2022"/>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 val="autoZero"/>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9108698069815863"/>
          <c:y val="0.82211737285295139"/>
          <c:w val="0.75100769341935025"/>
          <c:h val="0.1615106559617179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0.12295402080763999"/>
          <c:w val="0.68395562055618953"/>
          <c:h val="0.63011283981068622"/>
        </c:manualLayout>
      </c:layout>
      <c:scatterChart>
        <c:scatterStyle val="smoothMarker"/>
        <c:varyColors val="0"/>
        <c:ser>
          <c:idx val="0"/>
          <c:order val="0"/>
          <c:tx>
            <c:strRef>
              <c:f>Calculations!$B$130</c:f>
              <c:strCache>
                <c:ptCount val="1"/>
                <c:pt idx="0">
                  <c:v>select a vehicle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Calculations!$E$130:$AI$130</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2B2E-4B75-A09D-A86F69FEEF8D}"/>
            </c:ext>
          </c:extLst>
        </c:ser>
        <c:ser>
          <c:idx val="1"/>
          <c:order val="1"/>
          <c:tx>
            <c:strRef>
              <c:f>Calculations!$B$131</c:f>
              <c:strCache>
                <c:ptCount val="1"/>
                <c:pt idx="0">
                  <c:v>select a vehicle category</c:v>
                </c:pt>
              </c:strCache>
            </c:strRef>
          </c:tx>
          <c:spPr>
            <a:ln w="12700" cap="rnd">
              <a:solidFill>
                <a:srgbClr val="F6B54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Calculations!$E$131:$AI$131</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2B2E-4B75-A09D-A86F69FEEF8D}"/>
            </c:ext>
          </c:extLst>
        </c:ser>
        <c:ser>
          <c:idx val="2"/>
          <c:order val="2"/>
          <c:tx>
            <c:strRef>
              <c:f>Calculations!$B$132</c:f>
              <c:strCache>
                <c:ptCount val="1"/>
                <c:pt idx="0">
                  <c:v>Scope 3 category 11 intensity target</c:v>
                </c:pt>
              </c:strCache>
            </c:strRef>
          </c:tx>
          <c:spPr>
            <a:ln w="28575" cap="rnd">
              <a:noFill/>
              <a:round/>
            </a:ln>
            <a:effectLst/>
          </c:spPr>
          <c:marker>
            <c:symbol val="circle"/>
            <c:size val="6"/>
            <c:spPr>
              <a:solidFill>
                <a:srgbClr val="7030A0"/>
              </a:solidFill>
              <a:ln w="9525">
                <a:noFill/>
              </a:ln>
              <a:effectLst/>
            </c:spPr>
          </c:marker>
          <c:dLbls>
            <c:dLbl>
              <c:idx val="0"/>
              <c:layout>
                <c:manualLayout>
                  <c:x val="-2.7262809620723513E-2"/>
                  <c:y val="-0.1171352074966532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2B2E-4B75-A09D-A86F69FEEF8D}"/>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Autoparts!#REF!</c:f>
            </c:numRef>
          </c:xVal>
          <c:yVal>
            <c:numRef>
              <c:f>Calculations!$D$132</c:f>
              <c:numCache>
                <c:formatCode>#,##0.00</c:formatCode>
                <c:ptCount val="1"/>
                <c:pt idx="0">
                  <c:v>0</c:v>
                </c:pt>
              </c:numCache>
            </c:numRef>
          </c:yVal>
          <c:smooth val="1"/>
          <c:extLst>
            <c:ext xmlns:c16="http://schemas.microsoft.com/office/drawing/2014/chart" uri="{C3380CC4-5D6E-409C-BE32-E72D297353CC}">
              <c16:uniqueId val="{00000003-2B2E-4B75-A09D-A86F69FEEF8D}"/>
            </c:ext>
          </c:extLst>
        </c:ser>
        <c:dLbls>
          <c:showLegendKey val="0"/>
          <c:showVal val="0"/>
          <c:showCatName val="0"/>
          <c:showSerName val="0"/>
          <c:showPercent val="0"/>
          <c:showBubbleSize val="0"/>
        </c:dLbls>
        <c:axId val="949570272"/>
        <c:axId val="949571904"/>
      </c:scatterChart>
      <c:valAx>
        <c:axId val="949570272"/>
        <c:scaling>
          <c:orientation val="minMax"/>
          <c:max val="2050"/>
          <c:min val="2022"/>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Autoparts!#REF!</c:f>
              <c:strCache>
                <c:ptCount val="1"/>
                <c:pt idx="0">
                  <c:v>#REF!</c:v>
                </c:pt>
              </c:strCache>
            </c:strRef>
          </c:tx>
          <c:layout>
            <c:manualLayout>
              <c:xMode val="edge"/>
              <c:yMode val="edge"/>
              <c:x val="6.9977836266005455E-2"/>
              <c:y val="0.3593710801210089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207057451151936"/>
          <c:y val="0.10485795439953567"/>
          <c:w val="0.68395562055618953"/>
          <c:h val="0.64820869993990482"/>
        </c:manualLayout>
      </c:layout>
      <c:scatterChart>
        <c:scatterStyle val="smoothMarker"/>
        <c:varyColors val="0"/>
        <c:ser>
          <c:idx val="0"/>
          <c:order val="0"/>
          <c:tx>
            <c:strRef>
              <c:f>Calculations!$B$135</c:f>
              <c:strCache>
                <c:ptCount val="1"/>
                <c:pt idx="0">
                  <c:v>select a vehicle category</c:v>
                </c:pt>
              </c:strCache>
            </c:strRef>
          </c:tx>
          <c:spPr>
            <a:ln w="28575" cap="rnd">
              <a:solidFill>
                <a:srgbClr val="00546E"/>
              </a:solidFill>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Calculations!$E$135:$AI$135</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0-9434-43AD-88C7-781F34C382B8}"/>
            </c:ext>
          </c:extLst>
        </c:ser>
        <c:ser>
          <c:idx val="1"/>
          <c:order val="1"/>
          <c:tx>
            <c:strRef>
              <c:f>Calculations!$B$136</c:f>
              <c:strCache>
                <c:ptCount val="1"/>
                <c:pt idx="0">
                  <c:v>select a vehicle category</c:v>
                </c:pt>
              </c:strCache>
            </c:strRef>
          </c:tx>
          <c:spPr>
            <a:ln w="12700" cap="rnd">
              <a:solidFill>
                <a:srgbClr val="FFC000"/>
              </a:solidFill>
              <a:prstDash val="sysDash"/>
              <a:round/>
            </a:ln>
            <a:effectLst/>
          </c:spPr>
          <c:marker>
            <c:symbol val="none"/>
          </c:marker>
          <c:xVal>
            <c:numRef>
              <c:f>Calculations!$E$100:$AI$100</c:f>
              <c:numCache>
                <c:formatCode>0</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xVal>
          <c:yVal>
            <c:numRef>
              <c:f>Calculations!$E$136:$AI$136</c:f>
              <c:numCache>
                <c:formatCode>#,##0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yVal>
          <c:smooth val="1"/>
          <c:extLst>
            <c:ext xmlns:c16="http://schemas.microsoft.com/office/drawing/2014/chart" uri="{C3380CC4-5D6E-409C-BE32-E72D297353CC}">
              <c16:uniqueId val="{00000001-9434-43AD-88C7-781F34C382B8}"/>
            </c:ext>
          </c:extLst>
        </c:ser>
        <c:ser>
          <c:idx val="2"/>
          <c:order val="2"/>
          <c:tx>
            <c:strRef>
              <c:f>Calculations!$B$137</c:f>
              <c:strCache>
                <c:ptCount val="1"/>
                <c:pt idx="0">
                  <c:v>Scope 3 category 11 intensity target</c:v>
                </c:pt>
              </c:strCache>
            </c:strRef>
          </c:tx>
          <c:spPr>
            <a:ln w="28575" cap="rnd">
              <a:noFill/>
              <a:round/>
            </a:ln>
            <a:effectLst/>
          </c:spPr>
          <c:marker>
            <c:symbol val="circle"/>
            <c:size val="6"/>
            <c:spPr>
              <a:solidFill>
                <a:srgbClr val="7030A0"/>
              </a:solidFill>
              <a:ln w="9525">
                <a:noFill/>
              </a:ln>
              <a:effectLst/>
            </c:spPr>
          </c:marker>
          <c:dLbls>
            <c:dLbl>
              <c:idx val="0"/>
              <c:layout>
                <c:manualLayout>
                  <c:x val="0"/>
                  <c:y val="-0.1037483266398929"/>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9434-43AD-88C7-781F34C382B8}"/>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Autoparts!$D$63</c:f>
              <c:numCache>
                <c:formatCode>General</c:formatCode>
                <c:ptCount val="1"/>
              </c:numCache>
            </c:numRef>
          </c:xVal>
          <c:yVal>
            <c:numRef>
              <c:f>Calculations!$D$137</c:f>
              <c:numCache>
                <c:formatCode>#,##0.00</c:formatCode>
                <c:ptCount val="1"/>
                <c:pt idx="0">
                  <c:v>#N/A</c:v>
                </c:pt>
              </c:numCache>
            </c:numRef>
          </c:yVal>
          <c:smooth val="1"/>
          <c:extLst>
            <c:ext xmlns:c16="http://schemas.microsoft.com/office/drawing/2014/chart" uri="{C3380CC4-5D6E-409C-BE32-E72D297353CC}">
              <c16:uniqueId val="{00000003-9434-43AD-88C7-781F34C382B8}"/>
            </c:ext>
          </c:extLst>
        </c:ser>
        <c:dLbls>
          <c:showLegendKey val="0"/>
          <c:showVal val="0"/>
          <c:showCatName val="0"/>
          <c:showSerName val="0"/>
          <c:showPercent val="0"/>
          <c:showBubbleSize val="0"/>
        </c:dLbls>
        <c:axId val="949570272"/>
        <c:axId val="949571904"/>
      </c:scatterChart>
      <c:valAx>
        <c:axId val="949570272"/>
        <c:scaling>
          <c:orientation val="minMax"/>
          <c:max val="2050"/>
          <c:min val="2022"/>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1904"/>
        <c:crossesAt val="0"/>
        <c:crossBetween val="midCat"/>
      </c:valAx>
      <c:valAx>
        <c:axId val="949571904"/>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Autoparts!#REF!</c:f>
              <c:strCache>
                <c:ptCount val="1"/>
                <c:pt idx="0">
                  <c:v>#REF!</c:v>
                </c:pt>
              </c:strCache>
            </c:strRef>
          </c:tx>
          <c:layout>
            <c:manualLayout>
              <c:xMode val="edge"/>
              <c:yMode val="edge"/>
              <c:x val="8.0882960114294855E-2"/>
              <c:y val="0.3560243599068188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9570272"/>
        <c:crosses val="autoZero"/>
        <c:crossBetween val="midCat"/>
      </c:valAx>
      <c:spPr>
        <a:noFill/>
        <a:ln>
          <a:noFill/>
        </a:ln>
        <a:effectLst/>
      </c:spPr>
    </c:plotArea>
    <c:legend>
      <c:legendPos val="r"/>
      <c:layout>
        <c:manualLayout>
          <c:xMode val="edge"/>
          <c:yMode val="edge"/>
          <c:x val="0.18576299296213111"/>
          <c:y val="0.83592585565358546"/>
          <c:w val="0.69894880923789593"/>
          <c:h val="0.138054580526831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Uncorrected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VCdata!$H$18</c:f>
              <c:strCache>
                <c:ptCount val="1"/>
                <c:pt idx="0">
                  <c:v>Passenger cars</c:v>
                </c:pt>
              </c:strCache>
            </c:strRef>
          </c:tx>
          <c:spPr>
            <a:ln w="28575" cap="rnd">
              <a:solidFill>
                <a:schemeClr val="accent1"/>
              </a:solidFill>
              <a:round/>
            </a:ln>
            <a:effectLst/>
          </c:spPr>
          <c:marker>
            <c:symbol val="none"/>
          </c:marker>
          <c:val>
            <c:numRef>
              <c:f>VCdata!$V$18:$AX$18</c:f>
              <c:numCache>
                <c:formatCode>General</c:formatCode>
                <c:ptCount val="29"/>
                <c:pt idx="0">
                  <c:v>3.9984029510523005</c:v>
                </c:pt>
                <c:pt idx="1">
                  <c:v>4.0140023659217103</c:v>
                </c:pt>
                <c:pt idx="2">
                  <c:v>3.8025210180069653</c:v>
                </c:pt>
                <c:pt idx="3">
                  <c:v>3.8422347435819821</c:v>
                </c:pt>
                <c:pt idx="4">
                  <c:v>3.726589523822037</c:v>
                </c:pt>
                <c:pt idx="5">
                  <c:v>3.5653776726876893</c:v>
                </c:pt>
                <c:pt idx="6">
                  <c:v>3.3930664644283919</c:v>
                </c:pt>
                <c:pt idx="7">
                  <c:v>3.2014253922053664</c:v>
                </c:pt>
                <c:pt idx="8">
                  <c:v>3.0150920119941733</c:v>
                </c:pt>
                <c:pt idx="9">
                  <c:v>2.7211623807848935</c:v>
                </c:pt>
                <c:pt idx="10">
                  <c:v>2.4411290406815045</c:v>
                </c:pt>
                <c:pt idx="11">
                  <c:v>2.2038266406794964</c:v>
                </c:pt>
                <c:pt idx="12">
                  <c:v>1.9836063468261367</c:v>
                </c:pt>
                <c:pt idx="13">
                  <c:v>1.789626179624749</c:v>
                </c:pt>
                <c:pt idx="14">
                  <c:v>1.6332736869560649</c:v>
                </c:pt>
                <c:pt idx="15">
                  <c:v>1.4836140363449599</c:v>
                </c:pt>
                <c:pt idx="16">
                  <c:v>1.3405076541492229</c:v>
                </c:pt>
                <c:pt idx="17">
                  <c:v>1.1977409545468882</c:v>
                </c:pt>
                <c:pt idx="18">
                  <c:v>1.0564384329206993</c:v>
                </c:pt>
                <c:pt idx="19">
                  <c:v>0.96571429596304004</c:v>
                </c:pt>
                <c:pt idx="20">
                  <c:v>0.87600654141530565</c:v>
                </c:pt>
                <c:pt idx="21">
                  <c:v>0.78693928737112162</c:v>
                </c:pt>
                <c:pt idx="22">
                  <c:v>0.69842302899859199</c:v>
                </c:pt>
                <c:pt idx="23">
                  <c:v>0.61002352981858299</c:v>
                </c:pt>
                <c:pt idx="24">
                  <c:v>0.5217792946396157</c:v>
                </c:pt>
                <c:pt idx="25">
                  <c:v>0.43392870484557955</c:v>
                </c:pt>
                <c:pt idx="26">
                  <c:v>0.34645760699270944</c:v>
                </c:pt>
                <c:pt idx="27">
                  <c:v>0.25924814508331911</c:v>
                </c:pt>
                <c:pt idx="28">
                  <c:v>0.17266362064355983</c:v>
                </c:pt>
              </c:numCache>
            </c:numRef>
          </c:val>
          <c:smooth val="0"/>
          <c:extLst>
            <c:ext xmlns:c16="http://schemas.microsoft.com/office/drawing/2014/chart" uri="{C3380CC4-5D6E-409C-BE32-E72D297353CC}">
              <c16:uniqueId val="{00000000-3F71-421E-B352-890834059D5B}"/>
            </c:ext>
          </c:extLst>
        </c:ser>
        <c:ser>
          <c:idx val="1"/>
          <c:order val="1"/>
          <c:tx>
            <c:strRef>
              <c:f>VCdata!$H$19</c:f>
              <c:strCache>
                <c:ptCount val="1"/>
                <c:pt idx="0">
                  <c:v>Passenger cars</c:v>
                </c:pt>
              </c:strCache>
            </c:strRef>
          </c:tx>
          <c:spPr>
            <a:ln w="28575" cap="rnd">
              <a:solidFill>
                <a:schemeClr val="accent2"/>
              </a:solidFill>
              <a:round/>
            </a:ln>
            <a:effectLst/>
          </c:spPr>
          <c:marker>
            <c:symbol val="none"/>
          </c:marker>
          <c:val>
            <c:numRef>
              <c:f>VCdata!$V$19:$AX$19</c:f>
              <c:numCache>
                <c:formatCode>General</c:formatCode>
                <c:ptCount val="29"/>
                <c:pt idx="0">
                  <c:v>5.0303668354082811</c:v>
                </c:pt>
                <c:pt idx="1">
                  <c:v>5.0912318655944038</c:v>
                </c:pt>
                <c:pt idx="2">
                  <c:v>4.896194037979547</c:v>
                </c:pt>
                <c:pt idx="3">
                  <c:v>5.1342789167821152</c:v>
                </c:pt>
                <c:pt idx="4">
                  <c:v>4.9795754192847967</c:v>
                </c:pt>
                <c:pt idx="5">
                  <c:v>4.7439218398022174</c:v>
                </c:pt>
                <c:pt idx="6">
                  <c:v>4.4565407877878878</c:v>
                </c:pt>
                <c:pt idx="7">
                  <c:v>4.1053812365542459</c:v>
                </c:pt>
                <c:pt idx="8">
                  <c:v>3.7793253129111983</c:v>
                </c:pt>
                <c:pt idx="9">
                  <c:v>3.3109071249501572</c:v>
                </c:pt>
                <c:pt idx="10">
                  <c:v>2.8808009883119414</c:v>
                </c:pt>
                <c:pt idx="11">
                  <c:v>2.5177064508345302</c:v>
                </c:pt>
                <c:pt idx="12">
                  <c:v>2.2232385562796053</c:v>
                </c:pt>
                <c:pt idx="13">
                  <c:v>1.9736179779068215</c:v>
                </c:pt>
                <c:pt idx="14">
                  <c:v>1.7819966704255747</c:v>
                </c:pt>
                <c:pt idx="15">
                  <c:v>1.6065269749436175</c:v>
                </c:pt>
                <c:pt idx="16">
                  <c:v>1.4406150968462477</c:v>
                </c:pt>
                <c:pt idx="17">
                  <c:v>1.2677168147651174</c:v>
                </c:pt>
                <c:pt idx="18">
                  <c:v>1.1121970845647779</c:v>
                </c:pt>
                <c:pt idx="19">
                  <c:v>1.0160454745228051</c:v>
                </c:pt>
                <c:pt idx="20">
                  <c:v>0.92100126800430782</c:v>
                </c:pt>
                <c:pt idx="21">
                  <c:v>0.82664833348260924</c:v>
                </c:pt>
                <c:pt idx="22">
                  <c:v>0.73288406274902795</c:v>
                </c:pt>
                <c:pt idx="23">
                  <c:v>0.6392416050079982</c:v>
                </c:pt>
                <c:pt idx="24">
                  <c:v>0.54576793279944769</c:v>
                </c:pt>
                <c:pt idx="25">
                  <c:v>0.45271661875268188</c:v>
                </c:pt>
                <c:pt idx="26">
                  <c:v>0.3600718500452314</c:v>
                </c:pt>
                <c:pt idx="27">
                  <c:v>0.2677166931411164</c:v>
                </c:pt>
                <c:pt idx="28">
                  <c:v>0.17600906441897218</c:v>
                </c:pt>
              </c:numCache>
            </c:numRef>
          </c:val>
          <c:smooth val="0"/>
          <c:extLst>
            <c:ext xmlns:c16="http://schemas.microsoft.com/office/drawing/2014/chart" uri="{C3380CC4-5D6E-409C-BE32-E72D297353CC}">
              <c16:uniqueId val="{00000001-3F71-421E-B352-890834059D5B}"/>
            </c:ext>
          </c:extLst>
        </c:ser>
        <c:ser>
          <c:idx val="2"/>
          <c:order val="2"/>
          <c:tx>
            <c:strRef>
              <c:f>VCdata!$H$20</c:f>
              <c:strCache>
                <c:ptCount val="1"/>
                <c:pt idx="0">
                  <c:v>Passenger cars</c:v>
                </c:pt>
              </c:strCache>
            </c:strRef>
          </c:tx>
          <c:spPr>
            <a:ln w="28575" cap="rnd">
              <a:solidFill>
                <a:schemeClr val="accent3"/>
              </a:solidFill>
              <a:round/>
            </a:ln>
            <a:effectLst/>
          </c:spPr>
          <c:marker>
            <c:symbol val="none"/>
          </c:marker>
          <c:val>
            <c:numRef>
              <c:f>VCdata!$V$20:$AX$20</c:f>
              <c:numCache>
                <c:formatCode>General</c:formatCode>
                <c:ptCount val="29"/>
                <c:pt idx="0">
                  <c:v>4.4536066985938625</c:v>
                </c:pt>
                <c:pt idx="1">
                  <c:v>4.4939180970482457</c:v>
                </c:pt>
                <c:pt idx="2">
                  <c:v>4.3107023290283122</c:v>
                </c:pt>
                <c:pt idx="3">
                  <c:v>4.1883494905409666</c:v>
                </c:pt>
                <c:pt idx="4">
                  <c:v>4.3678360512293368</c:v>
                </c:pt>
                <c:pt idx="5">
                  <c:v>4.4599612220727414</c:v>
                </c:pt>
                <c:pt idx="6">
                  <c:v>4.1594813244025062</c:v>
                </c:pt>
                <c:pt idx="7">
                  <c:v>3.8746500023125163</c:v>
                </c:pt>
                <c:pt idx="8">
                  <c:v>3.5840719493446915</c:v>
                </c:pt>
                <c:pt idx="9">
                  <c:v>3.2115218875888267</c:v>
                </c:pt>
                <c:pt idx="10">
                  <c:v>2.9011495259209745</c:v>
                </c:pt>
                <c:pt idx="11">
                  <c:v>2.5885262625104533</c:v>
                </c:pt>
                <c:pt idx="12">
                  <c:v>2.3029766077418996</c:v>
                </c:pt>
                <c:pt idx="13">
                  <c:v>2.0343333005938322</c:v>
                </c:pt>
                <c:pt idx="14">
                  <c:v>1.8341816740169423</c:v>
                </c:pt>
                <c:pt idx="15">
                  <c:v>1.6574603598658877</c:v>
                </c:pt>
                <c:pt idx="16">
                  <c:v>1.4950852296925634</c:v>
                </c:pt>
                <c:pt idx="17">
                  <c:v>1.3336590613085995</c:v>
                </c:pt>
                <c:pt idx="18">
                  <c:v>1.1723538110360903</c:v>
                </c:pt>
                <c:pt idx="19">
                  <c:v>1.0753173983917219</c:v>
                </c:pt>
                <c:pt idx="20">
                  <c:v>0.97834549439697871</c:v>
                </c:pt>
                <c:pt idx="21">
                  <c:v>0.88148316738045451</c:v>
                </c:pt>
                <c:pt idx="22">
                  <c:v>0.78458845566636104</c:v>
                </c:pt>
                <c:pt idx="23">
                  <c:v>0.68771469983149602</c:v>
                </c:pt>
                <c:pt idx="24">
                  <c:v>0.59090057410065133</c:v>
                </c:pt>
                <c:pt idx="25">
                  <c:v>0.49420465004423975</c:v>
                </c:pt>
                <c:pt idx="26">
                  <c:v>0.39755724173309298</c:v>
                </c:pt>
                <c:pt idx="27">
                  <c:v>0.3010161603013205</c:v>
                </c:pt>
                <c:pt idx="28">
                  <c:v>0.20464742514218956</c:v>
                </c:pt>
              </c:numCache>
            </c:numRef>
          </c:val>
          <c:smooth val="0"/>
          <c:extLst>
            <c:ext xmlns:c16="http://schemas.microsoft.com/office/drawing/2014/chart" uri="{C3380CC4-5D6E-409C-BE32-E72D297353CC}">
              <c16:uniqueId val="{00000002-3F71-421E-B352-890834059D5B}"/>
            </c:ext>
          </c:extLst>
        </c:ser>
        <c:ser>
          <c:idx val="3"/>
          <c:order val="3"/>
          <c:tx>
            <c:strRef>
              <c:f>VCdata!$H$21</c:f>
              <c:strCache>
                <c:ptCount val="1"/>
                <c:pt idx="0">
                  <c:v>Passenger cars</c:v>
                </c:pt>
              </c:strCache>
            </c:strRef>
          </c:tx>
          <c:spPr>
            <a:ln w="28575" cap="rnd">
              <a:solidFill>
                <a:schemeClr val="accent4"/>
              </a:solidFill>
              <a:round/>
            </a:ln>
            <a:effectLst/>
          </c:spPr>
          <c:marker>
            <c:symbol val="none"/>
          </c:marker>
          <c:val>
            <c:numRef>
              <c:f>VCdata!$V$21:$AX$21</c:f>
              <c:numCache>
                <c:formatCode>General</c:formatCode>
                <c:ptCount val="29"/>
                <c:pt idx="0">
                  <c:v>4.45199070027435</c:v>
                </c:pt>
                <c:pt idx="1">
                  <c:v>4.4990093525055928</c:v>
                </c:pt>
                <c:pt idx="2">
                  <c:v>4.2639272763770579</c:v>
                </c:pt>
                <c:pt idx="3">
                  <c:v>4.3505069033399337</c:v>
                </c:pt>
                <c:pt idx="4">
                  <c:v>4.2543568837617167</c:v>
                </c:pt>
                <c:pt idx="5">
                  <c:v>4.1442832985746527</c:v>
                </c:pt>
                <c:pt idx="6">
                  <c:v>3.9191656471730689</c:v>
                </c:pt>
                <c:pt idx="7">
                  <c:v>3.6633510094282062</c:v>
                </c:pt>
                <c:pt idx="8">
                  <c:v>3.4131453002803935</c:v>
                </c:pt>
                <c:pt idx="9">
                  <c:v>3.0223713648311521</c:v>
                </c:pt>
                <c:pt idx="10">
                  <c:v>2.6888388635215081</c:v>
                </c:pt>
                <c:pt idx="11">
                  <c:v>2.3948149675942734</c:v>
                </c:pt>
                <c:pt idx="12">
                  <c:v>2.1365839935207993</c:v>
                </c:pt>
                <c:pt idx="13">
                  <c:v>1.9080119843234744</c:v>
                </c:pt>
                <c:pt idx="14">
                  <c:v>1.7255944724463828</c:v>
                </c:pt>
                <c:pt idx="15">
                  <c:v>1.5623834784999424</c:v>
                </c:pt>
                <c:pt idx="16">
                  <c:v>1.4083151110062535</c:v>
                </c:pt>
                <c:pt idx="17">
                  <c:v>1.2523460292738622</c:v>
                </c:pt>
                <c:pt idx="18">
                  <c:v>1.1021528083784329</c:v>
                </c:pt>
                <c:pt idx="19">
                  <c:v>1.0116849728911657</c:v>
                </c:pt>
                <c:pt idx="20">
                  <c:v>0.91877281398422039</c:v>
                </c:pt>
                <c:pt idx="21">
                  <c:v>0.82615550089302547</c:v>
                </c:pt>
                <c:pt idx="22">
                  <c:v>0.73384102053556366</c:v>
                </c:pt>
                <c:pt idx="23">
                  <c:v>0.64145187452334329</c:v>
                </c:pt>
                <c:pt idx="24">
                  <c:v>0.55059413344600228</c:v>
                </c:pt>
                <c:pt idx="25">
                  <c:v>0.45860450823293569</c:v>
                </c:pt>
                <c:pt idx="26">
                  <c:v>0.3668227987459835</c:v>
                </c:pt>
                <c:pt idx="27">
                  <c:v>0.27522183197828209</c:v>
                </c:pt>
                <c:pt idx="28">
                  <c:v>0.18409790004550111</c:v>
                </c:pt>
              </c:numCache>
            </c:numRef>
          </c:val>
          <c:smooth val="0"/>
          <c:extLst>
            <c:ext xmlns:c16="http://schemas.microsoft.com/office/drawing/2014/chart" uri="{C3380CC4-5D6E-409C-BE32-E72D297353CC}">
              <c16:uniqueId val="{00000003-3F71-421E-B352-890834059D5B}"/>
            </c:ext>
          </c:extLst>
        </c:ser>
        <c:dLbls>
          <c:showLegendKey val="0"/>
          <c:showVal val="0"/>
          <c:showCatName val="0"/>
          <c:showSerName val="0"/>
          <c:showPercent val="0"/>
          <c:showBubbleSize val="0"/>
        </c:dLbls>
        <c:smooth val="0"/>
        <c:axId val="1613600287"/>
        <c:axId val="1613617087"/>
      </c:lineChart>
      <c:catAx>
        <c:axId val="1613600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617087"/>
        <c:crosses val="autoZero"/>
        <c:auto val="1"/>
        <c:lblAlgn val="ctr"/>
        <c:lblOffset val="100"/>
        <c:noMultiLvlLbl val="0"/>
      </c:catAx>
      <c:valAx>
        <c:axId val="16136170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60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Corrected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VCdata!$H$45</c:f>
              <c:strCache>
                <c:ptCount val="1"/>
                <c:pt idx="0">
                  <c:v>Passenger cars</c:v>
                </c:pt>
              </c:strCache>
            </c:strRef>
          </c:tx>
          <c:spPr>
            <a:ln w="28575" cap="rnd">
              <a:solidFill>
                <a:schemeClr val="accent1"/>
              </a:solidFill>
              <a:round/>
            </a:ln>
            <a:effectLst/>
          </c:spPr>
          <c:marker>
            <c:symbol val="none"/>
          </c:marker>
          <c:val>
            <c:numRef>
              <c:f>VCdata!$I$45:$BI$45</c:f>
              <c:numCache>
                <c:formatCode>General</c:formatCode>
                <c:ptCount val="42"/>
                <c:pt idx="2">
                  <c:v>4.0140023659217103</c:v>
                </c:pt>
                <c:pt idx="3">
                  <c:v>4.0140023659217103</c:v>
                </c:pt>
                <c:pt idx="4">
                  <c:v>3.8422347435819821</c:v>
                </c:pt>
                <c:pt idx="5">
                  <c:v>3.8422347435819821</c:v>
                </c:pt>
                <c:pt idx="6">
                  <c:v>3.726589523822037</c:v>
                </c:pt>
                <c:pt idx="7">
                  <c:v>3.5653776726876893</c:v>
                </c:pt>
                <c:pt idx="8">
                  <c:v>3.3930664644283919</c:v>
                </c:pt>
                <c:pt idx="9">
                  <c:v>3.2014253922053664</c:v>
                </c:pt>
                <c:pt idx="10">
                  <c:v>3.0150920119941733</c:v>
                </c:pt>
                <c:pt idx="11">
                  <c:v>2.7211623807848935</c:v>
                </c:pt>
                <c:pt idx="12">
                  <c:v>2.4411290406815045</c:v>
                </c:pt>
                <c:pt idx="13">
                  <c:v>2.2038266406794964</c:v>
                </c:pt>
                <c:pt idx="14">
                  <c:v>1.9836063468261367</c:v>
                </c:pt>
                <c:pt idx="15">
                  <c:v>1.789626179624749</c:v>
                </c:pt>
                <c:pt idx="16">
                  <c:v>1.6332736869560649</c:v>
                </c:pt>
                <c:pt idx="17">
                  <c:v>1.4836140363449599</c:v>
                </c:pt>
                <c:pt idx="18">
                  <c:v>1.3405076541492229</c:v>
                </c:pt>
                <c:pt idx="19">
                  <c:v>1.1977409545468882</c:v>
                </c:pt>
                <c:pt idx="20">
                  <c:v>1.0564384329206993</c:v>
                </c:pt>
                <c:pt idx="21">
                  <c:v>0.96571429596304004</c:v>
                </c:pt>
                <c:pt idx="22">
                  <c:v>0.87600654141530565</c:v>
                </c:pt>
                <c:pt idx="23">
                  <c:v>0.78693928737112162</c:v>
                </c:pt>
                <c:pt idx="24">
                  <c:v>0.69842302899859199</c:v>
                </c:pt>
                <c:pt idx="25">
                  <c:v>0.61002352981858299</c:v>
                </c:pt>
                <c:pt idx="26">
                  <c:v>0.5217792946396157</c:v>
                </c:pt>
                <c:pt idx="27">
                  <c:v>0.43392870484557955</c:v>
                </c:pt>
                <c:pt idx="28">
                  <c:v>0.34645760699270944</c:v>
                </c:pt>
                <c:pt idx="29">
                  <c:v>0.25924814508331911</c:v>
                </c:pt>
                <c:pt idx="30">
                  <c:v>0.17266362064355983</c:v>
                </c:pt>
                <c:pt idx="41">
                  <c:v>0</c:v>
                </c:pt>
              </c:numCache>
            </c:numRef>
          </c:val>
          <c:smooth val="0"/>
          <c:extLst>
            <c:ext xmlns:c16="http://schemas.microsoft.com/office/drawing/2014/chart" uri="{C3380CC4-5D6E-409C-BE32-E72D297353CC}">
              <c16:uniqueId val="{00000000-BCA3-4202-BF53-8B11BEA4816A}"/>
            </c:ext>
          </c:extLst>
        </c:ser>
        <c:ser>
          <c:idx val="1"/>
          <c:order val="1"/>
          <c:tx>
            <c:strRef>
              <c:f>VCdata!$H$46</c:f>
              <c:strCache>
                <c:ptCount val="1"/>
                <c:pt idx="0">
                  <c:v>Passenger cars</c:v>
                </c:pt>
              </c:strCache>
            </c:strRef>
          </c:tx>
          <c:spPr>
            <a:ln w="28575" cap="rnd">
              <a:solidFill>
                <a:schemeClr val="accent2"/>
              </a:solidFill>
              <a:round/>
            </a:ln>
            <a:effectLst/>
          </c:spPr>
          <c:marker>
            <c:symbol val="none"/>
          </c:marker>
          <c:val>
            <c:numRef>
              <c:f>VCdata!$I$46:$BI$46</c:f>
              <c:numCache>
                <c:formatCode>General</c:formatCode>
                <c:ptCount val="42"/>
                <c:pt idx="2">
                  <c:v>5.1342789167821152</c:v>
                </c:pt>
                <c:pt idx="3">
                  <c:v>5.1342789167821152</c:v>
                </c:pt>
                <c:pt idx="4">
                  <c:v>5.1342789167821152</c:v>
                </c:pt>
                <c:pt idx="5">
                  <c:v>5.1342789167821152</c:v>
                </c:pt>
                <c:pt idx="6">
                  <c:v>4.9795754192847967</c:v>
                </c:pt>
                <c:pt idx="7">
                  <c:v>4.7439218398022174</c:v>
                </c:pt>
                <c:pt idx="8">
                  <c:v>4.4565407877878878</c:v>
                </c:pt>
                <c:pt idx="9">
                  <c:v>4.1053812365542459</c:v>
                </c:pt>
                <c:pt idx="10">
                  <c:v>3.7793253129111983</c:v>
                </c:pt>
                <c:pt idx="11">
                  <c:v>3.3109071249501572</c:v>
                </c:pt>
                <c:pt idx="12">
                  <c:v>2.8808009883119414</c:v>
                </c:pt>
                <c:pt idx="13">
                  <c:v>2.5177064508345302</c:v>
                </c:pt>
                <c:pt idx="14">
                  <c:v>2.2232385562796053</c:v>
                </c:pt>
                <c:pt idx="15">
                  <c:v>1.9736179779068215</c:v>
                </c:pt>
                <c:pt idx="16">
                  <c:v>1.7819966704255747</c:v>
                </c:pt>
                <c:pt idx="17">
                  <c:v>1.6065269749436175</c:v>
                </c:pt>
                <c:pt idx="18">
                  <c:v>1.4406150968462477</c:v>
                </c:pt>
                <c:pt idx="19">
                  <c:v>1.2677168147651174</c:v>
                </c:pt>
                <c:pt idx="20">
                  <c:v>1.1121970845647779</c:v>
                </c:pt>
                <c:pt idx="21">
                  <c:v>1.0160454745228051</c:v>
                </c:pt>
                <c:pt idx="22">
                  <c:v>0.92100126800430782</c:v>
                </c:pt>
                <c:pt idx="23">
                  <c:v>0.82664833348260924</c:v>
                </c:pt>
                <c:pt idx="24">
                  <c:v>0.73288406274902795</c:v>
                </c:pt>
                <c:pt idx="25">
                  <c:v>0.6392416050079982</c:v>
                </c:pt>
                <c:pt idx="26">
                  <c:v>0.54576793279944769</c:v>
                </c:pt>
                <c:pt idx="27">
                  <c:v>0.45271661875268188</c:v>
                </c:pt>
                <c:pt idx="28">
                  <c:v>0.3600718500452314</c:v>
                </c:pt>
                <c:pt idx="29">
                  <c:v>0.2677166931411164</c:v>
                </c:pt>
                <c:pt idx="30">
                  <c:v>0.17600906441897218</c:v>
                </c:pt>
                <c:pt idx="41">
                  <c:v>0</c:v>
                </c:pt>
              </c:numCache>
            </c:numRef>
          </c:val>
          <c:smooth val="0"/>
          <c:extLst>
            <c:ext xmlns:c16="http://schemas.microsoft.com/office/drawing/2014/chart" uri="{C3380CC4-5D6E-409C-BE32-E72D297353CC}">
              <c16:uniqueId val="{00000001-BCA3-4202-BF53-8B11BEA4816A}"/>
            </c:ext>
          </c:extLst>
        </c:ser>
        <c:ser>
          <c:idx val="2"/>
          <c:order val="2"/>
          <c:tx>
            <c:strRef>
              <c:f>VCdata!$H$47</c:f>
              <c:strCache>
                <c:ptCount val="1"/>
                <c:pt idx="0">
                  <c:v>Passenger cars</c:v>
                </c:pt>
              </c:strCache>
            </c:strRef>
          </c:tx>
          <c:spPr>
            <a:ln w="28575" cap="rnd">
              <a:solidFill>
                <a:schemeClr val="accent3"/>
              </a:solidFill>
              <a:round/>
            </a:ln>
            <a:effectLst/>
          </c:spPr>
          <c:marker>
            <c:symbol val="none"/>
          </c:marker>
          <c:val>
            <c:numRef>
              <c:f>VCdata!$I$47:$BI$47</c:f>
              <c:numCache>
                <c:formatCode>General</c:formatCode>
                <c:ptCount val="42"/>
                <c:pt idx="2">
                  <c:v>4.4939180970482457</c:v>
                </c:pt>
                <c:pt idx="3">
                  <c:v>4.4939180970482457</c:v>
                </c:pt>
                <c:pt idx="4">
                  <c:v>4.4599612220727414</c:v>
                </c:pt>
                <c:pt idx="5">
                  <c:v>4.4599612220727414</c:v>
                </c:pt>
                <c:pt idx="6">
                  <c:v>4.4599612220727414</c:v>
                </c:pt>
                <c:pt idx="7">
                  <c:v>4.4599612220727414</c:v>
                </c:pt>
                <c:pt idx="8">
                  <c:v>4.1594813244025062</c:v>
                </c:pt>
                <c:pt idx="9">
                  <c:v>3.8746500023125163</c:v>
                </c:pt>
                <c:pt idx="10">
                  <c:v>3.5840719493446915</c:v>
                </c:pt>
                <c:pt idx="11">
                  <c:v>3.2115218875888267</c:v>
                </c:pt>
                <c:pt idx="12">
                  <c:v>2.9011495259209745</c:v>
                </c:pt>
                <c:pt idx="13">
                  <c:v>2.5885262625104533</c:v>
                </c:pt>
                <c:pt idx="14">
                  <c:v>2.3029766077418996</c:v>
                </c:pt>
                <c:pt idx="15">
                  <c:v>2.0343333005938322</c:v>
                </c:pt>
                <c:pt idx="16">
                  <c:v>1.8341816740169423</c:v>
                </c:pt>
                <c:pt idx="17">
                  <c:v>1.6574603598658877</c:v>
                </c:pt>
                <c:pt idx="18">
                  <c:v>1.4950852296925634</c:v>
                </c:pt>
                <c:pt idx="19">
                  <c:v>1.3336590613085995</c:v>
                </c:pt>
                <c:pt idx="20">
                  <c:v>1.1723538110360903</c:v>
                </c:pt>
                <c:pt idx="21">
                  <c:v>1.0753173983917219</c:v>
                </c:pt>
                <c:pt idx="22">
                  <c:v>0.97834549439697871</c:v>
                </c:pt>
                <c:pt idx="23">
                  <c:v>0.88148316738045451</c:v>
                </c:pt>
                <c:pt idx="24">
                  <c:v>0.78458845566636104</c:v>
                </c:pt>
                <c:pt idx="25">
                  <c:v>0.68771469983149602</c:v>
                </c:pt>
                <c:pt idx="26">
                  <c:v>0.59090057410065133</c:v>
                </c:pt>
                <c:pt idx="27">
                  <c:v>0.49420465004423975</c:v>
                </c:pt>
                <c:pt idx="28">
                  <c:v>0.39755724173309298</c:v>
                </c:pt>
                <c:pt idx="29">
                  <c:v>0.3010161603013205</c:v>
                </c:pt>
                <c:pt idx="30">
                  <c:v>0.20464742514218956</c:v>
                </c:pt>
                <c:pt idx="41">
                  <c:v>0</c:v>
                </c:pt>
              </c:numCache>
            </c:numRef>
          </c:val>
          <c:smooth val="0"/>
          <c:extLst>
            <c:ext xmlns:c16="http://schemas.microsoft.com/office/drawing/2014/chart" uri="{C3380CC4-5D6E-409C-BE32-E72D297353CC}">
              <c16:uniqueId val="{00000002-BCA3-4202-BF53-8B11BEA4816A}"/>
            </c:ext>
          </c:extLst>
        </c:ser>
        <c:ser>
          <c:idx val="3"/>
          <c:order val="3"/>
          <c:tx>
            <c:strRef>
              <c:f>VCdata!$H$48</c:f>
              <c:strCache>
                <c:ptCount val="1"/>
                <c:pt idx="0">
                  <c:v>Passenger cars</c:v>
                </c:pt>
              </c:strCache>
            </c:strRef>
          </c:tx>
          <c:spPr>
            <a:ln w="28575" cap="rnd">
              <a:solidFill>
                <a:schemeClr val="accent4"/>
              </a:solidFill>
              <a:round/>
            </a:ln>
            <a:effectLst/>
          </c:spPr>
          <c:marker>
            <c:symbol val="none"/>
          </c:marker>
          <c:val>
            <c:numRef>
              <c:f>VCdata!$I$48:$BI$48</c:f>
              <c:numCache>
                <c:formatCode>General</c:formatCode>
                <c:ptCount val="42"/>
                <c:pt idx="2">
                  <c:v>4.4990093525055928</c:v>
                </c:pt>
                <c:pt idx="3">
                  <c:v>4.4990093525055928</c:v>
                </c:pt>
                <c:pt idx="4">
                  <c:v>4.3505069033399337</c:v>
                </c:pt>
                <c:pt idx="5">
                  <c:v>4.3505069033399337</c:v>
                </c:pt>
                <c:pt idx="6">
                  <c:v>4.2543568837617167</c:v>
                </c:pt>
                <c:pt idx="7">
                  <c:v>4.1442832985746527</c:v>
                </c:pt>
                <c:pt idx="8">
                  <c:v>3.9191656471730689</c:v>
                </c:pt>
                <c:pt idx="9">
                  <c:v>3.6633510094282062</c:v>
                </c:pt>
                <c:pt idx="10">
                  <c:v>3.4131453002803935</c:v>
                </c:pt>
                <c:pt idx="11">
                  <c:v>3.0223713648311521</c:v>
                </c:pt>
                <c:pt idx="12">
                  <c:v>2.6888388635215081</c:v>
                </c:pt>
                <c:pt idx="13">
                  <c:v>2.3948149675942734</c:v>
                </c:pt>
                <c:pt idx="14">
                  <c:v>2.1365839935207993</c:v>
                </c:pt>
                <c:pt idx="15">
                  <c:v>1.9080119843234744</c:v>
                </c:pt>
                <c:pt idx="16">
                  <c:v>1.7255944724463828</c:v>
                </c:pt>
                <c:pt idx="17">
                  <c:v>1.5623834784999424</c:v>
                </c:pt>
                <c:pt idx="18">
                  <c:v>1.4083151110062535</c:v>
                </c:pt>
                <c:pt idx="19">
                  <c:v>1.2523460292738622</c:v>
                </c:pt>
                <c:pt idx="20">
                  <c:v>1.1021528083784329</c:v>
                </c:pt>
                <c:pt idx="21">
                  <c:v>1.0116849728911657</c:v>
                </c:pt>
                <c:pt idx="22">
                  <c:v>0.91877281398422039</c:v>
                </c:pt>
                <c:pt idx="23">
                  <c:v>0.82615550089302547</c:v>
                </c:pt>
                <c:pt idx="24">
                  <c:v>0.73384102053556366</c:v>
                </c:pt>
                <c:pt idx="25">
                  <c:v>0.64145187452334329</c:v>
                </c:pt>
                <c:pt idx="26">
                  <c:v>0.55059413344600228</c:v>
                </c:pt>
                <c:pt idx="27">
                  <c:v>0.45860450823293569</c:v>
                </c:pt>
                <c:pt idx="28">
                  <c:v>0.3668227987459835</c:v>
                </c:pt>
                <c:pt idx="29">
                  <c:v>0.27522183197828209</c:v>
                </c:pt>
                <c:pt idx="30">
                  <c:v>0.18409790004550111</c:v>
                </c:pt>
                <c:pt idx="41">
                  <c:v>0</c:v>
                </c:pt>
              </c:numCache>
            </c:numRef>
          </c:val>
          <c:smooth val="0"/>
          <c:extLst>
            <c:ext xmlns:c16="http://schemas.microsoft.com/office/drawing/2014/chart" uri="{C3380CC4-5D6E-409C-BE32-E72D297353CC}">
              <c16:uniqueId val="{00000003-BCA3-4202-BF53-8B11BEA4816A}"/>
            </c:ext>
          </c:extLst>
        </c:ser>
        <c:dLbls>
          <c:showLegendKey val="0"/>
          <c:showVal val="0"/>
          <c:showCatName val="0"/>
          <c:showSerName val="0"/>
          <c:showPercent val="0"/>
          <c:showBubbleSize val="0"/>
        </c:dLbls>
        <c:smooth val="0"/>
        <c:axId val="1613600287"/>
        <c:axId val="1613617087"/>
      </c:lineChart>
      <c:catAx>
        <c:axId val="1613600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617087"/>
        <c:crosses val="autoZero"/>
        <c:auto val="1"/>
        <c:lblAlgn val="ctr"/>
        <c:lblOffset val="100"/>
        <c:noMultiLvlLbl val="0"/>
      </c:catAx>
      <c:valAx>
        <c:axId val="16136170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60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2.jp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g"/></Relationships>
</file>

<file path=xl/drawings/_rels/drawing14.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image" Target="../media/image1.gif"/><Relationship Id="rId1" Type="http://schemas.openxmlformats.org/officeDocument/2006/relationships/chart" Target="../charts/chart12.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gif"/><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225800</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0.11778</cdr:x>
      <cdr:y>0.03414</cdr:y>
    </cdr:from>
    <cdr:to>
      <cdr:x>0.89579</cdr:x>
      <cdr:y>0.1004</cdr:y>
    </cdr:to>
    <cdr:sp macro="" textlink="Calculations!$A$71">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885816" y="129539"/>
          <a:ext cx="5851368" cy="2514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3AFB1A75-C99D-466D-ABCB-0F4AB2AFCE02}" type="TxLink">
            <a:rPr lang="en-US" sz="1000" b="1" i="0" u="none" strike="noStrike">
              <a:solidFill>
                <a:srgbClr val="000000"/>
              </a:solidFill>
              <a:latin typeface="Arial"/>
              <a:cs typeface="Arial"/>
            </a:rPr>
            <a:pPr algn="r"/>
            <a:t>Scope 3  category 11 fuel-cycle intensity for LDV powertrains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0.06586</cdr:x>
      <cdr:y>0.02348</cdr:y>
    </cdr:from>
    <cdr:to>
      <cdr:x>0.95846</cdr:x>
      <cdr:y>0.09393</cdr:y>
    </cdr:to>
    <cdr:sp macro="" textlink="Calculations!$A$78">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495301" y="91439"/>
          <a:ext cx="6713220" cy="2743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4615318E-6092-490E-9889-2CD4D651B936}" type="TxLink">
            <a:rPr lang="en-US" sz="1000" b="1" i="0" u="none" strike="noStrike">
              <a:solidFill>
                <a:srgbClr val="000000"/>
              </a:solidFill>
              <a:latin typeface="Arial"/>
              <a:cs typeface="Arial"/>
            </a:rPr>
            <a:pPr algn="r"/>
            <a:t>Scope 3 category 11 fuel-cycle intensity for non LDV powertrains | percent improvement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12.xml><?xml version="1.0" encoding="utf-8"?>
<xdr:wsDr xmlns:xdr="http://schemas.openxmlformats.org/drawingml/2006/spreadsheetDrawing" xmlns:a="http://schemas.openxmlformats.org/drawingml/2006/main">
  <xdr:oneCellAnchor>
    <xdr:from>
      <xdr:col>0</xdr:col>
      <xdr:colOff>214313</xdr:colOff>
      <xdr:row>2</xdr:row>
      <xdr:rowOff>47625</xdr:rowOff>
    </xdr:from>
    <xdr:ext cx="2381250" cy="1070639"/>
    <xdr:pic>
      <xdr:nvPicPr>
        <xdr:cNvPr id="3" name="image2.jpg" descr="Science_Based_Targets_-_Logo_Colour.jpg">
          <a:extLst>
            <a:ext uri="{FF2B5EF4-FFF2-40B4-BE49-F238E27FC236}">
              <a16:creationId xmlns:a16="http://schemas.microsoft.com/office/drawing/2014/main" id="{16DF21FC-50DD-41F6-98D1-652CD1BED5B3}"/>
            </a:ext>
          </a:extLst>
        </xdr:cNvPr>
        <xdr:cNvPicPr preferRelativeResize="0">
          <a:picLocks noChangeAspect="1"/>
        </xdr:cNvPicPr>
      </xdr:nvPicPr>
      <xdr:blipFill>
        <a:blip xmlns:r="http://schemas.openxmlformats.org/officeDocument/2006/relationships" r:embed="rId1" cstate="print"/>
        <a:stretch>
          <a:fillRect/>
        </a:stretch>
      </xdr:blipFill>
      <xdr:spPr>
        <a:xfrm>
          <a:off x="214313" y="321945"/>
          <a:ext cx="2381250" cy="1070639"/>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214313</xdr:colOff>
      <xdr:row>2</xdr:row>
      <xdr:rowOff>47625</xdr:rowOff>
    </xdr:from>
    <xdr:ext cx="2381250" cy="1070639"/>
    <xdr:pic>
      <xdr:nvPicPr>
        <xdr:cNvPr id="2" name="image2.jpg" descr="Science_Based_Targets_-_Logo_Colour.jpg">
          <a:extLst>
            <a:ext uri="{FF2B5EF4-FFF2-40B4-BE49-F238E27FC236}">
              <a16:creationId xmlns:a16="http://schemas.microsoft.com/office/drawing/2014/main" id="{60463396-7091-3342-A139-48D06C996ED5}"/>
            </a:ext>
          </a:extLst>
        </xdr:cNvPr>
        <xdr:cNvPicPr preferRelativeResize="0">
          <a:picLocks noChangeAspect="1"/>
        </xdr:cNvPicPr>
      </xdr:nvPicPr>
      <xdr:blipFill>
        <a:blip xmlns:r="http://schemas.openxmlformats.org/officeDocument/2006/relationships" r:embed="rId1" cstate="print"/>
        <a:stretch>
          <a:fillRect/>
        </a:stretch>
      </xdr:blipFill>
      <xdr:spPr>
        <a:xfrm>
          <a:off x="214313" y="327025"/>
          <a:ext cx="2381250" cy="1070639"/>
        </a:xfrm>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twoCellAnchor>
    <xdr:from>
      <xdr:col>6</xdr:col>
      <xdr:colOff>312420</xdr:colOff>
      <xdr:row>53</xdr:row>
      <xdr:rowOff>163830</xdr:rowOff>
    </xdr:from>
    <xdr:to>
      <xdr:col>7</xdr:col>
      <xdr:colOff>1150620</xdr:colOff>
      <xdr:row>70</xdr:row>
      <xdr:rowOff>57150</xdr:rowOff>
    </xdr:to>
    <xdr:graphicFrame macro="">
      <xdr:nvGraphicFramePr>
        <xdr:cNvPr id="5" name="Chart 4">
          <a:extLst>
            <a:ext uri="{FF2B5EF4-FFF2-40B4-BE49-F238E27FC236}">
              <a16:creationId xmlns:a16="http://schemas.microsoft.com/office/drawing/2014/main" id="{5F6FD4BF-9F56-243C-50FD-ED40F5B73E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0</xdr:colOff>
      <xdr:row>54</xdr:row>
      <xdr:rowOff>0</xdr:rowOff>
    </xdr:from>
    <xdr:to>
      <xdr:col>28</xdr:col>
      <xdr:colOff>358140</xdr:colOff>
      <xdr:row>70</xdr:row>
      <xdr:rowOff>60960</xdr:rowOff>
    </xdr:to>
    <xdr:graphicFrame macro="">
      <xdr:nvGraphicFramePr>
        <xdr:cNvPr id="6" name="Chart 5">
          <a:extLst>
            <a:ext uri="{FF2B5EF4-FFF2-40B4-BE49-F238E27FC236}">
              <a16:creationId xmlns:a16="http://schemas.microsoft.com/office/drawing/2014/main" id="{886F8CD9-734F-4CC0-A64C-0BF2679B12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6</xdr:col>
      <xdr:colOff>480060</xdr:colOff>
      <xdr:row>12</xdr:row>
      <xdr:rowOff>76200</xdr:rowOff>
    </xdr:from>
    <xdr:to>
      <xdr:col>17</xdr:col>
      <xdr:colOff>281940</xdr:colOff>
      <xdr:row>33</xdr:row>
      <xdr:rowOff>15240</xdr:rowOff>
    </xdr:to>
    <xdr:graphicFrame macro="">
      <xdr:nvGraphicFramePr>
        <xdr:cNvPr id="2" name="Chart 1">
          <a:extLst>
            <a:ext uri="{FF2B5EF4-FFF2-40B4-BE49-F238E27FC236}">
              <a16:creationId xmlns:a16="http://schemas.microsoft.com/office/drawing/2014/main" id="{27C57C64-C3BD-9870-8CE3-80F9B25981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20002</xdr:colOff>
      <xdr:row>46</xdr:row>
      <xdr:rowOff>2223</xdr:rowOff>
    </xdr:from>
    <xdr:to>
      <xdr:col>17</xdr:col>
      <xdr:colOff>433069</xdr:colOff>
      <xdr:row>66</xdr:row>
      <xdr:rowOff>107950</xdr:rowOff>
    </xdr:to>
    <xdr:graphicFrame macro="">
      <xdr:nvGraphicFramePr>
        <xdr:cNvPr id="7" name="Chart 6">
          <a:extLst>
            <a:ext uri="{FF2B5EF4-FFF2-40B4-BE49-F238E27FC236}">
              <a16:creationId xmlns:a16="http://schemas.microsoft.com/office/drawing/2014/main" id="{E60AA477-826D-43B9-935D-017B33EC26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716279</xdr:colOff>
      <xdr:row>86</xdr:row>
      <xdr:rowOff>53340</xdr:rowOff>
    </xdr:from>
    <xdr:to>
      <xdr:col>4</xdr:col>
      <xdr:colOff>68580</xdr:colOff>
      <xdr:row>101</xdr:row>
      <xdr:rowOff>76200</xdr:rowOff>
    </xdr:to>
    <xdr:graphicFrame macro="">
      <xdr:nvGraphicFramePr>
        <xdr:cNvPr id="2" name="Chart 1">
          <a:extLst>
            <a:ext uri="{FF2B5EF4-FFF2-40B4-BE49-F238E27FC236}">
              <a16:creationId xmlns:a16="http://schemas.microsoft.com/office/drawing/2014/main" id="{8073BB7D-AEDA-4BB0-8634-9BDAA4A06A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236828</xdr:colOff>
      <xdr:row>0</xdr:row>
      <xdr:rowOff>66517</xdr:rowOff>
    </xdr:from>
    <xdr:to>
      <xdr:col>1</xdr:col>
      <xdr:colOff>2694092</xdr:colOff>
      <xdr:row>5</xdr:row>
      <xdr:rowOff>58398</xdr:rowOff>
    </xdr:to>
    <xdr:pic>
      <xdr:nvPicPr>
        <xdr:cNvPr id="3" name="Imagen 4" descr="C:\Users\Fernando Rangel\Google Drive\SBTi\SBTi - Core team\Communication Team\Branding\Logos and templates\SBTi logos_\Logos_\SBT copy.gif">
          <a:extLst>
            <a:ext uri="{FF2B5EF4-FFF2-40B4-BE49-F238E27FC236}">
              <a16:creationId xmlns:a16="http://schemas.microsoft.com/office/drawing/2014/main" id="{095E3B2D-89E3-4A54-BE46-C1BA08EEF9A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18622"/>
        <a:stretch/>
      </xdr:blipFill>
      <xdr:spPr bwMode="auto">
        <a:xfrm>
          <a:off x="404468" y="66517"/>
          <a:ext cx="2457264" cy="1165361"/>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316965</xdr:colOff>
      <xdr:row>44</xdr:row>
      <xdr:rowOff>190500</xdr:rowOff>
    </xdr:from>
    <xdr:to>
      <xdr:col>5</xdr:col>
      <xdr:colOff>1615440</xdr:colOff>
      <xdr:row>60</xdr:row>
      <xdr:rowOff>175259</xdr:rowOff>
    </xdr:to>
    <xdr:graphicFrame macro="">
      <xdr:nvGraphicFramePr>
        <xdr:cNvPr id="4" name="Chart 3">
          <a:extLst>
            <a:ext uri="{FF2B5EF4-FFF2-40B4-BE49-F238E27FC236}">
              <a16:creationId xmlns:a16="http://schemas.microsoft.com/office/drawing/2014/main" id="{27A01212-16B3-40D8-8CCD-211FA702C9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7620</xdr:colOff>
      <xdr:row>86</xdr:row>
      <xdr:rowOff>53340</xdr:rowOff>
    </xdr:from>
    <xdr:to>
      <xdr:col>9</xdr:col>
      <xdr:colOff>403861</xdr:colOff>
      <xdr:row>101</xdr:row>
      <xdr:rowOff>99060</xdr:rowOff>
    </xdr:to>
    <xdr:graphicFrame macro="">
      <xdr:nvGraphicFramePr>
        <xdr:cNvPr id="5" name="Chart 4">
          <a:extLst>
            <a:ext uri="{FF2B5EF4-FFF2-40B4-BE49-F238E27FC236}">
              <a16:creationId xmlns:a16="http://schemas.microsoft.com/office/drawing/2014/main" id="{C3F78C2C-E19C-4FFF-AD02-FC3D1882EA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579120</xdr:colOff>
      <xdr:row>126</xdr:row>
      <xdr:rowOff>53340</xdr:rowOff>
    </xdr:from>
    <xdr:to>
      <xdr:col>3</xdr:col>
      <xdr:colOff>2042161</xdr:colOff>
      <xdr:row>141</xdr:row>
      <xdr:rowOff>175260</xdr:rowOff>
    </xdr:to>
    <xdr:graphicFrame macro="">
      <xdr:nvGraphicFramePr>
        <xdr:cNvPr id="6" name="Chart 5">
          <a:extLst>
            <a:ext uri="{FF2B5EF4-FFF2-40B4-BE49-F238E27FC236}">
              <a16:creationId xmlns:a16="http://schemas.microsoft.com/office/drawing/2014/main" id="{9A2C78D6-8853-4F35-8F85-AA3735F770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60961</xdr:colOff>
      <xdr:row>126</xdr:row>
      <xdr:rowOff>53340</xdr:rowOff>
    </xdr:from>
    <xdr:to>
      <xdr:col>9</xdr:col>
      <xdr:colOff>266702</xdr:colOff>
      <xdr:row>141</xdr:row>
      <xdr:rowOff>160020</xdr:rowOff>
    </xdr:to>
    <xdr:graphicFrame macro="">
      <xdr:nvGraphicFramePr>
        <xdr:cNvPr id="7" name="Chart 6">
          <a:extLst>
            <a:ext uri="{FF2B5EF4-FFF2-40B4-BE49-F238E27FC236}">
              <a16:creationId xmlns:a16="http://schemas.microsoft.com/office/drawing/2014/main" id="{442B42A6-44BC-439E-B0C9-F068B15580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0.26446</cdr:x>
      <cdr:y>0.01301</cdr:y>
    </cdr:from>
    <cdr:to>
      <cdr:x>0.97976</cdr:x>
      <cdr:y>0.15412</cdr:y>
    </cdr:to>
    <cdr:sp macro="" textlink="Calculations!$A$33">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493630" y="106716"/>
          <a:ext cx="4039876" cy="1157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74DB3E74-59D2-475E-9E93-E1FE43BE9EE6}" type="TxLink">
            <a:rPr lang="en-US" sz="1000" b="1" i="0" u="none" strike="noStrike">
              <a:solidFill>
                <a:srgbClr val="000000"/>
              </a:solidFill>
              <a:latin typeface="Arial"/>
              <a:cs typeface="Arial"/>
            </a:rPr>
            <a:pPr algn="r"/>
            <a:t>Use-phase emissions intensity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18.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1.5C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19.xml><?xml version="1.0" encoding="utf-8"?>
<c:userShapes xmlns:c="http://schemas.openxmlformats.org/drawingml/2006/chart">
  <cdr:relSizeAnchor xmlns:cdr="http://schemas.openxmlformats.org/drawingml/2006/chartDrawing">
    <cdr:from>
      <cdr:x>0.26446</cdr:x>
      <cdr:y>0.01301</cdr:y>
    </cdr:from>
    <cdr:to>
      <cdr:x>0.97976</cdr:x>
      <cdr:y>0.15412</cdr:y>
    </cdr:to>
    <cdr:sp macro="" textlink="Calculations!$A$40">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493630" y="106716"/>
          <a:ext cx="4039876" cy="1157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03893ABE-6505-4AB7-8AFA-82E74EE79C0C}" type="TxLink">
            <a:rPr lang="en-US" sz="1000" b="1" i="0" u="none" strike="noStrike">
              <a:solidFill>
                <a:srgbClr val="000000"/>
              </a:solidFill>
              <a:latin typeface="Arial"/>
              <a:cs typeface="Arial"/>
            </a:rPr>
            <a:pPr algn="r"/>
            <a:t>Low-emissions vehicle sales share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326652</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0.xml><?xml version="1.0" encoding="utf-8"?>
<c:userShapes xmlns:c="http://schemas.openxmlformats.org/drawingml/2006/chart">
  <cdr:relSizeAnchor xmlns:cdr="http://schemas.openxmlformats.org/drawingml/2006/chartDrawing">
    <cdr:from>
      <cdr:x>0.26446</cdr:x>
      <cdr:y>0.01301</cdr:y>
    </cdr:from>
    <cdr:to>
      <cdr:x>0.97976</cdr:x>
      <cdr:y>0.15412</cdr:y>
    </cdr:to>
    <cdr:sp macro="" textlink="Calculations!$A$52">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493630" y="106716"/>
          <a:ext cx="4039876" cy="1157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DC0510D9-FC86-4085-BC98-14EEDAB95142}" type="TxLink">
            <a:rPr lang="en-US" sz="1000" b="1" i="0" u="none" strike="noStrike">
              <a:solidFill>
                <a:srgbClr val="000000"/>
              </a:solidFill>
              <a:latin typeface="Arial"/>
              <a:cs typeface="Arial"/>
            </a:rPr>
            <a:pPr algn="r"/>
            <a:t>Use-phase emissions intensity | percent improvement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21.xml><?xml version="1.0" encoding="utf-8"?>
<c:userShapes xmlns:c="http://schemas.openxmlformats.org/drawingml/2006/chart">
  <cdr:relSizeAnchor xmlns:cdr="http://schemas.openxmlformats.org/drawingml/2006/chartDrawing">
    <cdr:from>
      <cdr:x>0.26446</cdr:x>
      <cdr:y>0.01301</cdr:y>
    </cdr:from>
    <cdr:to>
      <cdr:x>0.97976</cdr:x>
      <cdr:y>0.15412</cdr:y>
    </cdr:to>
    <cdr:sp macro="" textlink="Calculations!$A$59">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493630" y="106716"/>
          <a:ext cx="4039876" cy="1157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8D9682B5-7195-4E59-AB92-5CCDAE4514BE}" type="TxLink">
            <a:rPr lang="en-US" sz="1000" b="1" i="0" u="none" strike="noStrike">
              <a:solidFill>
                <a:srgbClr val="000000"/>
              </a:solidFill>
              <a:latin typeface="Arial"/>
              <a:cs typeface="Arial"/>
            </a:rPr>
            <a:pPr algn="r"/>
            <a:t>Low-emissions vehicle sales share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716279</xdr:colOff>
      <xdr:row>87</xdr:row>
      <xdr:rowOff>53340</xdr:rowOff>
    </xdr:from>
    <xdr:to>
      <xdr:col>4</xdr:col>
      <xdr:colOff>68580</xdr:colOff>
      <xdr:row>102</xdr:row>
      <xdr:rowOff>76200</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236828</xdr:colOff>
      <xdr:row>0</xdr:row>
      <xdr:rowOff>66517</xdr:rowOff>
    </xdr:from>
    <xdr:to>
      <xdr:col>1</xdr:col>
      <xdr:colOff>2694092</xdr:colOff>
      <xdr:row>4</xdr:row>
      <xdr:rowOff>134598</xdr:rowOff>
    </xdr:to>
    <xdr:pic>
      <xdr:nvPicPr>
        <xdr:cNvPr id="5" name="Imagen 4" descr="C:\Users\Fernando Rangel\Google Drive\SBTi\SBTi - Core team\Communication Team\Branding\Logos and templates\SBTi logos_\Logos_\SBT copy.gif">
          <a:extLst>
            <a:ext uri="{FF2B5EF4-FFF2-40B4-BE49-F238E27FC236}">
              <a16:creationId xmlns:a16="http://schemas.microsoft.com/office/drawing/2014/main" id="{00000000-0008-0000-0200-000005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18622"/>
        <a:stretch/>
      </xdr:blipFill>
      <xdr:spPr bwMode="auto">
        <a:xfrm>
          <a:off x="404468" y="66517"/>
          <a:ext cx="2457264" cy="1165361"/>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316965</xdr:colOff>
      <xdr:row>44</xdr:row>
      <xdr:rowOff>190500</xdr:rowOff>
    </xdr:from>
    <xdr:to>
      <xdr:col>5</xdr:col>
      <xdr:colOff>1615440</xdr:colOff>
      <xdr:row>60</xdr:row>
      <xdr:rowOff>175259</xdr:rowOff>
    </xdr:to>
    <xdr:graphicFrame macro="">
      <xdr:nvGraphicFramePr>
        <xdr:cNvPr id="6" name="Chart 3">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7620</xdr:colOff>
      <xdr:row>87</xdr:row>
      <xdr:rowOff>53340</xdr:rowOff>
    </xdr:from>
    <xdr:to>
      <xdr:col>9</xdr:col>
      <xdr:colOff>403861</xdr:colOff>
      <xdr:row>102</xdr:row>
      <xdr:rowOff>99060</xdr:rowOff>
    </xdr:to>
    <xdr:graphicFrame macro="">
      <xdr:nvGraphicFramePr>
        <xdr:cNvPr id="2" name="Chart 1">
          <a:extLst>
            <a:ext uri="{FF2B5EF4-FFF2-40B4-BE49-F238E27FC236}">
              <a16:creationId xmlns:a16="http://schemas.microsoft.com/office/drawing/2014/main" id="{E65A03E6-9FA1-4AB5-BAAF-C2BC8AA62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579120</xdr:colOff>
      <xdr:row>128</xdr:row>
      <xdr:rowOff>53340</xdr:rowOff>
    </xdr:from>
    <xdr:to>
      <xdr:col>3</xdr:col>
      <xdr:colOff>2042161</xdr:colOff>
      <xdr:row>143</xdr:row>
      <xdr:rowOff>175260</xdr:rowOff>
    </xdr:to>
    <xdr:graphicFrame macro="">
      <xdr:nvGraphicFramePr>
        <xdr:cNvPr id="3" name="Chart 2">
          <a:extLst>
            <a:ext uri="{FF2B5EF4-FFF2-40B4-BE49-F238E27FC236}">
              <a16:creationId xmlns:a16="http://schemas.microsoft.com/office/drawing/2014/main" id="{CEB17057-1198-4020-A26F-2CF7AB4FAD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60961</xdr:colOff>
      <xdr:row>128</xdr:row>
      <xdr:rowOff>53340</xdr:rowOff>
    </xdr:from>
    <xdr:to>
      <xdr:col>9</xdr:col>
      <xdr:colOff>266702</xdr:colOff>
      <xdr:row>143</xdr:row>
      <xdr:rowOff>160020</xdr:rowOff>
    </xdr:to>
    <xdr:graphicFrame macro="">
      <xdr:nvGraphicFramePr>
        <xdr:cNvPr id="10" name="Chart 9">
          <a:extLst>
            <a:ext uri="{FF2B5EF4-FFF2-40B4-BE49-F238E27FC236}">
              <a16:creationId xmlns:a16="http://schemas.microsoft.com/office/drawing/2014/main" id="{CEE64321-99DF-4B5A-B0B2-E66A10929F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0.10354</cdr:x>
      <cdr:y>2.63521E-7</cdr:y>
    </cdr:from>
    <cdr:to>
      <cdr:x>0.89015</cdr:x>
      <cdr:y>0.09839</cdr:y>
    </cdr:to>
    <cdr:sp macro="" textlink="Calculations!$A$33">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624842" y="1"/>
          <a:ext cx="4747259" cy="3733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74DB3E74-59D2-475E-9E93-E1FE43BE9EE6}" type="TxLink">
            <a:rPr lang="en-US" sz="1000" b="1" i="0" u="none" strike="noStrike">
              <a:solidFill>
                <a:srgbClr val="000000"/>
              </a:solidFill>
              <a:latin typeface="Arial"/>
              <a:cs typeface="Arial"/>
            </a:rPr>
            <a:pPr algn="r"/>
            <a:t>Use-phase emissions intensity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1.5C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0.08006</cdr:x>
      <cdr:y>0.00103</cdr:y>
    </cdr:from>
    <cdr:to>
      <cdr:x>0.91783</cdr:x>
      <cdr:y>0.14214</cdr:y>
    </cdr:to>
    <cdr:sp macro="" textlink="Calculations!$A$40">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403860" y="3932"/>
          <a:ext cx="4226079" cy="53870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03893ABE-6505-4AB7-8AFA-82E74EE79C0C}" type="TxLink">
            <a:rPr lang="en-US" sz="1000" b="1" i="0" u="none" strike="noStrike">
              <a:solidFill>
                <a:srgbClr val="000000"/>
              </a:solidFill>
              <a:latin typeface="Arial"/>
              <a:cs typeface="Arial"/>
            </a:rPr>
            <a:pPr algn="r"/>
            <a:t>Low-emissions vehicle sales share |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0.11407</cdr:x>
      <cdr:y>2.56817E-7</cdr:y>
    </cdr:from>
    <cdr:to>
      <cdr:x>0.91512</cdr:x>
      <cdr:y>0.09198</cdr:y>
    </cdr:to>
    <cdr:sp macro="" textlink="Calculations!$A$52">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685800" y="1"/>
          <a:ext cx="4816067" cy="3581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DC0510D9-FC86-4085-BC98-14EEDAB95142}" type="TxLink">
            <a:rPr lang="en-US" sz="1000" b="1" i="0" u="none" strike="noStrike">
              <a:solidFill>
                <a:srgbClr val="000000"/>
              </a:solidFill>
              <a:latin typeface="Arial"/>
              <a:cs typeface="Arial"/>
            </a:rPr>
            <a:pPr algn="r"/>
            <a:t>Use-phase emissions intensity | percent improvement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0.03323</cdr:x>
      <cdr:y>0.00319</cdr:y>
    </cdr:from>
    <cdr:to>
      <cdr:x>0.91329</cdr:x>
      <cdr:y>0.08251</cdr:y>
    </cdr:to>
    <cdr:sp macro="" textlink="Calculations!$A$59">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67639" y="12373"/>
          <a:ext cx="4439399" cy="3076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8D9682B5-7195-4E59-AB92-5CCDAE4514BE}" type="TxLink">
            <a:rPr lang="en-US" sz="1000" b="1" i="0" u="none" strike="noStrike">
              <a:solidFill>
                <a:srgbClr val="000000"/>
              </a:solidFill>
              <a:latin typeface="Arial"/>
              <a:cs typeface="Arial"/>
            </a:rPr>
            <a:pPr algn="r"/>
            <a:t>Low-emissions vehicle sales share convergence method</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1</xdr:col>
      <xdr:colOff>236828</xdr:colOff>
      <xdr:row>0</xdr:row>
      <xdr:rowOff>66517</xdr:rowOff>
    </xdr:from>
    <xdr:to>
      <xdr:col>1</xdr:col>
      <xdr:colOff>2694092</xdr:colOff>
      <xdr:row>4</xdr:row>
      <xdr:rowOff>134598</xdr:rowOff>
    </xdr:to>
    <xdr:pic>
      <xdr:nvPicPr>
        <xdr:cNvPr id="3" name="Imagen 4" descr="C:\Users\Fernando Rangel\Google Drive\SBTi\SBTi - Core team\Communication Team\Branding\Logos and templates\SBTi logos_\Logos_\SBT copy.gif">
          <a:extLst>
            <a:ext uri="{FF2B5EF4-FFF2-40B4-BE49-F238E27FC236}">
              <a16:creationId xmlns:a16="http://schemas.microsoft.com/office/drawing/2014/main" id="{F367E2F6-6D1E-48C5-9B91-EB94BC8C2C6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04468" y="66517"/>
          <a:ext cx="2457264" cy="1165361"/>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457200</xdr:colOff>
      <xdr:row>34</xdr:row>
      <xdr:rowOff>38100</xdr:rowOff>
    </xdr:from>
    <xdr:to>
      <xdr:col>5</xdr:col>
      <xdr:colOff>1104901</xdr:colOff>
      <xdr:row>50</xdr:row>
      <xdr:rowOff>175260</xdr:rowOff>
    </xdr:to>
    <xdr:graphicFrame macro="">
      <xdr:nvGraphicFramePr>
        <xdr:cNvPr id="4" name="Chart 3">
          <a:extLst>
            <a:ext uri="{FF2B5EF4-FFF2-40B4-BE49-F238E27FC236}">
              <a16:creationId xmlns:a16="http://schemas.microsoft.com/office/drawing/2014/main" id="{65027219-A3CC-4911-A315-A722D11D3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525780</xdr:colOff>
      <xdr:row>71</xdr:row>
      <xdr:rowOff>152400</xdr:rowOff>
    </xdr:from>
    <xdr:to>
      <xdr:col>5</xdr:col>
      <xdr:colOff>1173481</xdr:colOff>
      <xdr:row>88</xdr:row>
      <xdr:rowOff>160020</xdr:rowOff>
    </xdr:to>
    <xdr:graphicFrame macro="">
      <xdr:nvGraphicFramePr>
        <xdr:cNvPr id="6" name="Chart 5">
          <a:extLst>
            <a:ext uri="{FF2B5EF4-FFF2-40B4-BE49-F238E27FC236}">
              <a16:creationId xmlns:a16="http://schemas.microsoft.com/office/drawing/2014/main" id="{7C1444A5-788E-4829-A9A6-62F5B254F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5C46566-154F-426A-A66C-7ED4FAAB4BA1}" name="Table2" displayName="Table2" ref="A1:BF122" totalsRowShown="0" headerRowDxfId="232" dataDxfId="231">
  <autoFilter ref="A1:BF122" xr:uid="{A5C46566-154F-426A-A66C-7ED4FAAB4BA1}">
    <filterColumn colId="0">
      <filters>
        <filter val="FCint"/>
        <filter val="SS"/>
      </filters>
    </filterColumn>
  </autoFilter>
  <tableColumns count="58">
    <tableColumn id="1" xr3:uid="{FC1F73FF-A57B-4D9B-9C6F-591B88E38EA3}" name="Parameter" dataDxfId="230"/>
    <tableColumn id="2" xr3:uid="{927CC5C2-4B6C-49B6-B44B-EFCF62CDA4A2}" name="Scenario" dataDxfId="229"/>
    <tableColumn id="4" xr3:uid="{B87A2CA3-AF4C-4134-83DB-8985AE987FF4}" name="Region" dataDxfId="228"/>
    <tableColumn id="5" xr3:uid="{2E833DAD-1938-4A59-8D76-1E629DA31F9C}" name="Flow" dataDxfId="227"/>
    <tableColumn id="6" xr3:uid="{C7AACD95-D4DB-48EF-90F6-ACC78B05F6DF}" name="Unit" dataDxfId="226"/>
    <tableColumn id="7" xr3:uid="{1F50C470-D36B-495E-AF38-528D1618B32B}" name="Description" dataDxfId="225"/>
    <tableColumn id="8" xr3:uid="{0F5EFEF3-7F1C-4D13-996E-214E7F8CEE62}" name="Vehicle Category" dataDxfId="224"/>
    <tableColumn id="9" xr3:uid="{70145A33-1DEB-424C-A919-FBC64313AD56}" name="2010" dataDxfId="223"/>
    <tableColumn id="10" xr3:uid="{83805F81-F611-4F2B-99B8-8C2D5CF72F4F}" name="2011" dataDxfId="222"/>
    <tableColumn id="11" xr3:uid="{D47487D1-F5A5-4D10-8898-AD5D0CE5CEBE}" name="2012" dataDxfId="221"/>
    <tableColumn id="12" xr3:uid="{65FEFEE7-493F-4225-B536-F55BC1D8D30E}" name="2013" dataDxfId="220"/>
    <tableColumn id="13" xr3:uid="{1EEB6972-BFD0-482A-A027-09338F3910F5}" name="2014" dataDxfId="219"/>
    <tableColumn id="14" xr3:uid="{1CA6C888-3DFE-4B9A-95BB-0824BAA3E33E}" name="2015" dataDxfId="218"/>
    <tableColumn id="15" xr3:uid="{D7FACD00-171B-496B-A21E-0893512DD304}" name="2016" dataDxfId="217"/>
    <tableColumn id="16" xr3:uid="{025E7998-6CA8-425C-9762-8D5829EC77AD}" name="2017" dataDxfId="216"/>
    <tableColumn id="17" xr3:uid="{D80A94EC-2C42-44E1-8436-0A358210DC3D}" name="2018" dataDxfId="215"/>
    <tableColumn id="18" xr3:uid="{79A8E58B-04D2-45E5-8E45-030B424C41BC}" name="2019" dataDxfId="214"/>
    <tableColumn id="19" xr3:uid="{65D78AC9-2014-41B6-A1DC-1B1AB3F72898}" name="2020" dataDxfId="213"/>
    <tableColumn id="20" xr3:uid="{4965F128-F5B8-4189-9F75-653874105AE6}" name="2021" dataDxfId="212"/>
    <tableColumn id="21" xr3:uid="{1551CF5A-9DD0-4A30-A274-9E8BCCEE4449}" name="2022" dataDxfId="211"/>
    <tableColumn id="22" xr3:uid="{C8154E74-EDEE-4963-9EA4-0A082FF6521E}" name="2023" dataDxfId="210"/>
    <tableColumn id="23" xr3:uid="{51C8DE04-B1AA-49A4-ABA0-E3BE41BC9572}" name="2024" dataDxfId="209"/>
    <tableColumn id="24" xr3:uid="{9BEA889A-E46A-4988-AE97-4E5C21058FBD}" name="2025" dataDxfId="208"/>
    <tableColumn id="25" xr3:uid="{54EC46E9-F934-41E2-96A5-E547D3F07331}" name="2026" dataDxfId="207"/>
    <tableColumn id="26" xr3:uid="{F420F9CE-B678-434F-9683-02F845F4D4AA}" name="2027" dataDxfId="206"/>
    <tableColumn id="27" xr3:uid="{0B4C6F5C-2D5F-4290-A930-6D2ADDC2EF79}" name="2028" dataDxfId="205"/>
    <tableColumn id="28" xr3:uid="{75597838-9BD0-436D-80C1-B2CABD19F5E2}" name="2029" dataDxfId="204"/>
    <tableColumn id="29" xr3:uid="{957A2B51-D1B0-4915-B325-EDFD735C19F9}" name="2030" dataDxfId="203"/>
    <tableColumn id="30" xr3:uid="{0ADC46E8-303A-48B2-8112-C0050AA74D5A}" name="2031" dataDxfId="202"/>
    <tableColumn id="31" xr3:uid="{4D5E2FF3-FD69-4A13-BAE0-4851E041F466}" name="2032" dataDxfId="201"/>
    <tableColumn id="32" xr3:uid="{88442609-4801-4982-B146-61C5605DD811}" name="2033" dataDxfId="200"/>
    <tableColumn id="33" xr3:uid="{BD973A22-2031-4035-B203-4358F89F1E8E}" name="2034" dataDxfId="199"/>
    <tableColumn id="34" xr3:uid="{97955232-1569-4B40-83D2-A7F6163D8A69}" name="2035" dataDxfId="198"/>
    <tableColumn id="35" xr3:uid="{A4CCF591-5F25-4707-9E65-ED440BB778F1}" name="2036" dataDxfId="197"/>
    <tableColumn id="36" xr3:uid="{93C74415-A1B8-4ECA-A383-1D0FBCCE7F25}" name="2037" dataDxfId="196"/>
    <tableColumn id="37" xr3:uid="{FC48C81E-8A8A-48F6-8518-5F4FA6607D88}" name="2038" dataDxfId="195"/>
    <tableColumn id="38" xr3:uid="{8159521C-3123-4A90-95DA-C62D528202EF}" name="2039" dataDxfId="194"/>
    <tableColumn id="39" xr3:uid="{2708925A-6858-41AB-8039-42FEAC79BCDF}" name="2040" dataDxfId="193"/>
    <tableColumn id="40" xr3:uid="{2DD65F09-1420-47BE-93A3-612AC2A8ED1F}" name="2041" dataDxfId="192"/>
    <tableColumn id="41" xr3:uid="{1C779C12-F21B-478C-ABA0-B591A5CA9FFD}" name="2042" dataDxfId="191"/>
    <tableColumn id="42" xr3:uid="{0CF8F05D-74B1-4E9B-AA55-5604E09B8691}" name="2043" dataDxfId="190"/>
    <tableColumn id="43" xr3:uid="{1799B55B-8013-492A-96C2-471708A45D95}" name="2044" dataDxfId="189"/>
    <tableColumn id="44" xr3:uid="{7E071940-E29D-429A-99C2-9C93A3639F4D}" name="2045" dataDxfId="188"/>
    <tableColumn id="45" xr3:uid="{CD34615E-3980-48A4-8708-A9D0FD9F2C4C}" name="2046" dataDxfId="187"/>
    <tableColumn id="46" xr3:uid="{79A3BFAF-0D5A-4220-96A5-EC6D6FF571A6}" name="2047" dataDxfId="186"/>
    <tableColumn id="47" xr3:uid="{5D6A820A-A7B6-4E6E-9E93-E0224481F791}" name="2048" dataDxfId="185"/>
    <tableColumn id="48" xr3:uid="{93A62B96-F3A5-41EC-A4BF-4BB306C79F60}" name="2049" dataDxfId="184"/>
    <tableColumn id="49" xr3:uid="{7D8B062B-160E-4517-9F4F-45BABEF14F32}" name="2050" dataDxfId="183"/>
    <tableColumn id="50" xr3:uid="{13C7D0CE-4DE2-4FAB-A7EE-611CF3B8182A}" name="2051" dataDxfId="182"/>
    <tableColumn id="51" xr3:uid="{5417295E-6F1D-423B-BA5A-798362F63345}" name="2052" dataDxfId="181"/>
    <tableColumn id="52" xr3:uid="{FB156B24-D0D0-46AB-8BE9-69A15DEFC5F4}" name="2053" dataDxfId="180"/>
    <tableColumn id="53" xr3:uid="{041B706D-0F34-4879-8B27-7961B54E892F}" name="2054" dataDxfId="179"/>
    <tableColumn id="54" xr3:uid="{51B5A333-782F-43AA-AFB0-76BED7F8276F}" name="2055" dataDxfId="178"/>
    <tableColumn id="55" xr3:uid="{AE0B6766-E4BF-43B0-AC4E-9E553067E0C5}" name="2056" dataDxfId="177"/>
    <tableColumn id="56" xr3:uid="{4C56BA0B-0F9E-40B7-B7F7-2E060EC222C5}" name="2057" dataDxfId="176"/>
    <tableColumn id="57" xr3:uid="{A9E28A3C-C2A4-4DE2-9BA4-BB5EB4F2AAA8}" name="2058" dataDxfId="175"/>
    <tableColumn id="58" xr3:uid="{F125EBC3-0D9D-4EA1-B4F0-9763BB0158B5}" name="2059" dataDxfId="174"/>
    <tableColumn id="59" xr3:uid="{35D167FE-085C-4363-B6CB-52D55466A216}" name="2060" dataDxfId="173"/>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148C4EC-FF72-4D7A-B9DF-93703C308BCF}" name="Table22" displayName="Table22" ref="A1:BI25" totalsRowShown="0">
  <autoFilter ref="A1:BI25" xr:uid="{B148C4EC-FF72-4D7A-B9DF-93703C308BCF}"/>
  <tableColumns count="61">
    <tableColumn id="1" xr3:uid="{ABA9A803-D2AF-4169-AF0F-892328028212}" name="Parameter" dataDxfId="172"/>
    <tableColumn id="2" xr3:uid="{B3F62B40-D961-4310-A6DE-E429C2500DFC}" name="Scenario"/>
    <tableColumn id="3" xr3:uid="{25A5DDC3-B79B-4611-992B-33525EAA5EEF}" name="Model sheet" dataDxfId="171"/>
    <tableColumn id="4" xr3:uid="{208161C6-C85F-44A5-B4FA-8B5286CF1813}" name="Region"/>
    <tableColumn id="5" xr3:uid="{542A4FD6-A69A-4AED-BF85-55A613039A59}" name="Flow"/>
    <tableColumn id="6" xr3:uid="{6E707D35-B287-44B5-BFA6-8EF42C03C665}" name="Unit"/>
    <tableColumn id="7" xr3:uid="{C0A734F6-818D-4885-AB1E-291089FA1F54}" name="Description"/>
    <tableColumn id="8" xr3:uid="{97A5F5E4-C322-496E-9B2A-5987DAE52134}" name="Vehicle Category" dataDxfId="170"/>
    <tableColumn id="9" xr3:uid="{C49177AC-9C5A-4A5A-AE91-FD4F192B5C7C}" name="2010"/>
    <tableColumn id="10" xr3:uid="{B52D20CE-9185-4DA2-B1EC-5957B259C90E}" name="2011"/>
    <tableColumn id="11" xr3:uid="{851A35FC-2772-468E-8E33-689DFECCD0EC}" name="2012"/>
    <tableColumn id="12" xr3:uid="{A0E0B80E-651D-4762-9617-4373797D8F45}" name="2013"/>
    <tableColumn id="13" xr3:uid="{226A4BAA-CA3F-4185-9882-B197D1D8492D}" name="2014"/>
    <tableColumn id="14" xr3:uid="{42735A6D-730A-4244-B46D-79A30C4E61CB}" name="2015"/>
    <tableColumn id="15" xr3:uid="{DBD0E9A6-C8CC-4591-940A-2ECA90952DCB}" name="2016"/>
    <tableColumn id="16" xr3:uid="{3B3F367E-5C05-486D-89A1-E0FFEEE26CF5}" name="2017"/>
    <tableColumn id="17" xr3:uid="{F7CD9DAF-98F6-41F8-9CA7-6351826A4D5E}" name="2018"/>
    <tableColumn id="18" xr3:uid="{7D2BDBD7-F622-40E3-844A-016EEA59D360}" name="2019"/>
    <tableColumn id="19" xr3:uid="{434B142C-2592-4CB0-95CD-BCD2712C1C95}" name="2020"/>
    <tableColumn id="20" xr3:uid="{DECEEF59-D6FB-453C-A14E-D10199CAC319}" name="2021"/>
    <tableColumn id="61" xr3:uid="{45452716-C02E-614C-BF87-3A5169A2561F}" name="20212" dataDxfId="169" dataCellStyle="Percent">
      <calculatedColumnFormula>(Table22[[#This Row],[2022]]-Table22[[#This Row],[2050]])/Table22[[#This Row],[2022]]</calculatedColumnFormula>
    </tableColumn>
    <tableColumn id="21" xr3:uid="{B0308057-A2AB-40AD-8B1F-9C1D96F89BAC}" name="2022" dataDxfId="168"/>
    <tableColumn id="22" xr3:uid="{F7165ABF-3D27-4DFC-9822-39BBCFE082A0}" name="2023"/>
    <tableColumn id="23" xr3:uid="{9CDC3294-0B3E-4898-B7BD-174E4051C4ED}" name="2024"/>
    <tableColumn id="24" xr3:uid="{DCB164DC-8DD4-4A46-AFE6-D92498B3A613}" name="2025"/>
    <tableColumn id="25" xr3:uid="{67F9F09F-90B1-4077-840A-0836FAB90048}" name="2026"/>
    <tableColumn id="26" xr3:uid="{C0DD9D0A-6C6D-4BDE-BB55-7A8D6711499F}" name="2027"/>
    <tableColumn id="27" xr3:uid="{B3C9E10E-BD26-4B05-B6FB-753D110D2EAA}" name="2028"/>
    <tableColumn id="28" xr3:uid="{82B08B4A-25C7-452C-8B37-77960426FECD}" name="2029"/>
    <tableColumn id="29" xr3:uid="{CA529EF2-7A93-4944-BCAC-8FEA09A8F196}" name="2030"/>
    <tableColumn id="30" xr3:uid="{A919AE3F-9BA5-434B-AB1C-66293646D795}" name="2031"/>
    <tableColumn id="31" xr3:uid="{AF004009-9068-413A-AFC9-EC1168173A43}" name="2032"/>
    <tableColumn id="32" xr3:uid="{613E866D-E489-4B5A-AFDE-A1D544FE1EAC}" name="2033"/>
    <tableColumn id="33" xr3:uid="{0515FDFA-C5D8-4FFD-BDA6-8B392EE6F35A}" name="2034"/>
    <tableColumn id="34" xr3:uid="{4A9F89A9-29A6-4D64-B713-7D5C0B51CB3E}" name="2035"/>
    <tableColumn id="35" xr3:uid="{34358AC8-40FF-423B-8775-DFF95F0A285F}" name="2036"/>
    <tableColumn id="36" xr3:uid="{FB4B9224-C3BF-4574-A955-FDD02B9F21F6}" name="2037"/>
    <tableColumn id="37" xr3:uid="{57411687-22DE-4278-AB06-BDC43300A985}" name="2038"/>
    <tableColumn id="38" xr3:uid="{F494BBCA-468F-423E-B79D-872147DEFD23}" name="2039"/>
    <tableColumn id="39" xr3:uid="{E687F498-5DB5-491F-9980-33D59453ED9A}" name="2040"/>
    <tableColumn id="40" xr3:uid="{4A662426-DD20-473B-8984-B5B752BE57D8}" name="2041"/>
    <tableColumn id="41" xr3:uid="{A07CBD10-8AAA-449B-87E5-FA49BEC8A8D2}" name="2042"/>
    <tableColumn id="42" xr3:uid="{5F1D85F0-CC4C-49F1-BE67-8B1149FC4721}" name="2043"/>
    <tableColumn id="43" xr3:uid="{78FA72A0-D67A-42D9-ADAC-03F0E0A55594}" name="2044"/>
    <tableColumn id="44" xr3:uid="{E890167D-3F3D-4FDE-96A7-25F37EB15134}" name="2045"/>
    <tableColumn id="45" xr3:uid="{ED135F91-C45D-4E0D-A28F-FA6CBAE296D6}" name="2046"/>
    <tableColumn id="46" xr3:uid="{84106C36-20A5-4023-8FBE-496370EE0EFA}" name="2047"/>
    <tableColumn id="47" xr3:uid="{DCA461AC-B419-4874-A75F-50954ECB4845}" name="2048"/>
    <tableColumn id="48" xr3:uid="{BB6E39A3-8EB5-4611-9551-52359D269049}" name="2049"/>
    <tableColumn id="49" xr3:uid="{5D5F0058-FEB9-47DE-9199-457BC1C6F1FF}" name="2050"/>
    <tableColumn id="50" xr3:uid="{13A7FF62-20FD-425A-B18B-C634EF751AB8}" name="2051"/>
    <tableColumn id="51" xr3:uid="{45C0A712-2474-4032-BF53-41DE4754A935}" name="2052"/>
    <tableColumn id="52" xr3:uid="{80AD9A48-E5CB-4FFB-886B-D6486BC34C67}" name="2053"/>
    <tableColumn id="53" xr3:uid="{8391F11C-BD3F-4D57-8517-7932965C959B}" name="2054"/>
    <tableColumn id="54" xr3:uid="{9C759A1A-F9E1-4B89-8572-22081DCD98EE}" name="2055"/>
    <tableColumn id="55" xr3:uid="{86D5571B-4650-494E-90E0-E949C222C7D7}" name="2056"/>
    <tableColumn id="56" xr3:uid="{2BA6BB91-E25D-4465-BC30-93EADF5167A8}" name="2057"/>
    <tableColumn id="57" xr3:uid="{1094CBEF-C121-4BFC-89D2-BD490F1994E0}" name="2058"/>
    <tableColumn id="58" xr3:uid="{5B38830B-BCB6-4301-BED8-480FDC87EC34}" name="2059"/>
    <tableColumn id="59" xr3:uid="{12C5587B-12BF-42CF-8082-95424AC0807B}" name="2060"/>
    <tableColumn id="60" xr3:uid="{EDBB78CE-F0B6-3B4D-BADA-1C3FDCF5D64D}" name="2061"/>
  </tableColumns>
  <tableStyleInfo name="TableStyleMedium6"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transport@sciencebasedtargets.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6.bin"/><Relationship Id="rId1" Type="http://schemas.openxmlformats.org/officeDocument/2006/relationships/hyperlink" Target="mailto:info@sciencebasedtargets.org"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sciencebasedtargets.org/resources/files/SBTi-Target-Submission-Form.xlsx" TargetMode="External"/><Relationship Id="rId3" Type="http://schemas.openxmlformats.org/officeDocument/2006/relationships/hyperlink" Target="https://sciencebasedtargets.org/resources/" TargetMode="External"/><Relationship Id="rId7" Type="http://schemas.openxmlformats.org/officeDocument/2006/relationships/hyperlink" Target="https://sciencebasedtargets.org/resources/files/Procedure-for-validation-of-SBTi-targets.pdf" TargetMode="External"/><Relationship Id="rId12" Type="http://schemas.openxmlformats.org/officeDocument/2006/relationships/drawing" Target="../drawings/drawing2.xml"/><Relationship Id="rId2" Type="http://schemas.openxmlformats.org/officeDocument/2006/relationships/hyperlink" Target="https://sciencebasedtargets.org/step-by-step-process" TargetMode="External"/><Relationship Id="rId1" Type="http://schemas.openxmlformats.org/officeDocument/2006/relationships/hyperlink" Target="mailto:info@sciencebasedtargets.org" TargetMode="External"/><Relationship Id="rId6" Type="http://schemas.openxmlformats.org/officeDocument/2006/relationships/hyperlink" Target="https://sciencebasedtargets.org/resources/files/SBTi-Criteria-Assessment-Indicators.pdf" TargetMode="External"/><Relationship Id="rId11" Type="http://schemas.openxmlformats.org/officeDocument/2006/relationships/hyperlink" Target="https://sciencebasedtargets.org/resources/files/Net-Zero-Standard-Criteria.pdf" TargetMode="External"/><Relationship Id="rId5" Type="http://schemas.openxmlformats.org/officeDocument/2006/relationships/hyperlink" Target="https://sciencebasedtargets.org/" TargetMode="External"/><Relationship Id="rId10" Type="http://schemas.openxmlformats.org/officeDocument/2006/relationships/hyperlink" Target="https://sciencebasedtargets.org/resources/files/SBTi-criteria.pdf" TargetMode="External"/><Relationship Id="rId4" Type="http://schemas.openxmlformats.org/officeDocument/2006/relationships/hyperlink" Target="https://sciencebasedtargets.org/wp-content/uploads/2019/04/foundations-of-SBT-setting.pdf" TargetMode="External"/><Relationship Id="rId9" Type="http://schemas.openxmlformats.org/officeDocument/2006/relationships/hyperlink" Target="https://sciencebasedtargets.org/sector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mailto:transport@sciencebasedtargets.org"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bin"/><Relationship Id="rId1" Type="http://schemas.openxmlformats.org/officeDocument/2006/relationships/hyperlink" Target="mailto:transport@sciencebasedtargets.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hyperlink" Target="mailto:transport@sciencebasedtargets.org"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mailto:transport@sciencebasedtargets.org"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tabColor rgb="FFF5A81C"/>
  </sheetPr>
  <dimension ref="B1:S61"/>
  <sheetViews>
    <sheetView showGridLines="0" zoomScale="120" zoomScaleNormal="120" workbookViewId="0">
      <selection activeCell="H5" sqref="H5"/>
    </sheetView>
  </sheetViews>
  <sheetFormatPr baseColWidth="10" defaultColWidth="11.5" defaultRowHeight="13" x14ac:dyDescent="0.15"/>
  <cols>
    <col min="1" max="1" width="3.5" style="6" customWidth="1"/>
    <col min="2" max="2" width="13.5" style="6" customWidth="1"/>
    <col min="3" max="16384" width="11.5" style="6"/>
  </cols>
  <sheetData>
    <row r="1" spans="2:19" ht="19.5" customHeight="1" x14ac:dyDescent="0.15"/>
    <row r="2" spans="2:19" ht="19.5" customHeight="1" x14ac:dyDescent="0.15"/>
    <row r="3" spans="2:19" ht="33.75" customHeight="1" x14ac:dyDescent="0.15">
      <c r="F3" s="274" t="s">
        <v>400</v>
      </c>
      <c r="G3" s="274"/>
      <c r="H3" s="274"/>
      <c r="I3" s="274"/>
      <c r="J3" s="274"/>
      <c r="K3" s="274"/>
      <c r="L3" s="274"/>
      <c r="M3" s="274"/>
      <c r="N3" s="274"/>
      <c r="O3" s="274"/>
      <c r="P3" s="16"/>
      <c r="Q3" s="16"/>
      <c r="R3" s="16"/>
      <c r="S3" s="16"/>
    </row>
    <row r="4" spans="2:19" ht="19.5" customHeight="1" x14ac:dyDescent="0.15"/>
    <row r="5" spans="2:19" ht="19.5" customHeight="1" x14ac:dyDescent="0.15">
      <c r="F5" s="13" t="s">
        <v>28</v>
      </c>
      <c r="G5" s="23"/>
      <c r="H5" s="266">
        <f>+B37</f>
        <v>0.3</v>
      </c>
    </row>
    <row r="6" spans="2:19" ht="19.5" customHeight="1" x14ac:dyDescent="0.15">
      <c r="F6" s="13" t="s">
        <v>26</v>
      </c>
      <c r="G6" s="14"/>
      <c r="H6" s="36" t="s">
        <v>412</v>
      </c>
    </row>
    <row r="7" spans="2:19" ht="16" x14ac:dyDescent="0.2">
      <c r="B7" s="24"/>
      <c r="C7" s="24"/>
      <c r="D7" s="24"/>
      <c r="E7" s="24"/>
      <c r="F7" s="24"/>
      <c r="G7" s="24"/>
      <c r="H7" s="24"/>
      <c r="I7" s="24"/>
      <c r="J7" s="24"/>
      <c r="K7" s="24"/>
      <c r="L7" s="24"/>
      <c r="M7" s="24"/>
      <c r="N7" s="24"/>
      <c r="O7" s="24"/>
    </row>
    <row r="8" spans="2:19" ht="30" customHeight="1" x14ac:dyDescent="0.15">
      <c r="B8" s="286" t="s">
        <v>410</v>
      </c>
      <c r="C8" s="286"/>
      <c r="D8" s="286"/>
      <c r="E8" s="286"/>
      <c r="F8" s="286"/>
      <c r="G8" s="286"/>
      <c r="H8" s="286"/>
      <c r="I8" s="286"/>
      <c r="J8" s="286"/>
      <c r="K8" s="286"/>
      <c r="L8" s="286"/>
      <c r="M8" s="286"/>
      <c r="N8" s="286"/>
      <c r="O8" s="286"/>
    </row>
    <row r="9" spans="2:19" ht="16" x14ac:dyDescent="0.15">
      <c r="B9" s="25"/>
      <c r="C9" s="25"/>
      <c r="D9" s="25"/>
      <c r="E9" s="25"/>
      <c r="F9" s="25"/>
      <c r="G9" s="25"/>
      <c r="H9" s="25"/>
      <c r="I9" s="25"/>
      <c r="J9" s="25"/>
      <c r="K9" s="25"/>
      <c r="L9" s="25"/>
      <c r="M9" s="25"/>
      <c r="N9" s="25"/>
      <c r="O9" s="25"/>
    </row>
    <row r="10" spans="2:19" ht="16" x14ac:dyDescent="0.15">
      <c r="B10" s="25"/>
      <c r="C10" s="25"/>
      <c r="D10" s="25"/>
      <c r="E10" s="25"/>
      <c r="F10" s="25"/>
      <c r="G10" s="25"/>
      <c r="H10" s="25"/>
      <c r="I10" s="25"/>
      <c r="J10" s="25"/>
      <c r="K10" s="25"/>
      <c r="L10" s="25"/>
      <c r="M10" s="25"/>
      <c r="N10" s="25"/>
      <c r="O10" s="25"/>
    </row>
    <row r="11" spans="2:19" ht="18" x14ac:dyDescent="0.15">
      <c r="B11" s="282" t="s">
        <v>159</v>
      </c>
      <c r="C11" s="282"/>
      <c r="D11" s="282"/>
      <c r="E11" s="282"/>
      <c r="F11" s="282"/>
      <c r="G11" s="282"/>
      <c r="H11" s="282"/>
      <c r="I11" s="282"/>
      <c r="J11" s="282"/>
      <c r="K11" s="282"/>
      <c r="L11" s="282"/>
      <c r="M11" s="282"/>
      <c r="N11" s="282"/>
      <c r="O11" s="282"/>
    </row>
    <row r="12" spans="2:19" s="27" customFormat="1" x14ac:dyDescent="0.15">
      <c r="B12" s="26"/>
      <c r="C12" s="26"/>
      <c r="D12" s="26"/>
      <c r="E12" s="26"/>
      <c r="F12" s="26"/>
      <c r="G12" s="26"/>
      <c r="H12" s="26"/>
      <c r="I12" s="26"/>
      <c r="J12" s="26"/>
      <c r="K12" s="26"/>
      <c r="L12" s="26"/>
      <c r="M12" s="26"/>
      <c r="N12" s="26"/>
      <c r="O12" s="26"/>
    </row>
    <row r="13" spans="2:19" ht="25" x14ac:dyDescent="0.15">
      <c r="B13" s="11" t="s">
        <v>18</v>
      </c>
      <c r="C13" s="12"/>
      <c r="D13" s="12"/>
      <c r="E13" s="12"/>
      <c r="F13" s="12"/>
      <c r="G13" s="12"/>
      <c r="H13" s="12"/>
      <c r="I13" s="12"/>
      <c r="J13" s="12"/>
      <c r="K13" s="12"/>
      <c r="L13" s="12"/>
      <c r="M13" s="12"/>
      <c r="N13" s="12"/>
      <c r="O13" s="12"/>
    </row>
    <row r="14" spans="2:19" s="23" customFormat="1" ht="32.5" customHeight="1" x14ac:dyDescent="0.15">
      <c r="B14" s="280" t="s">
        <v>216</v>
      </c>
      <c r="C14" s="280"/>
      <c r="D14" s="280"/>
      <c r="E14" s="280"/>
      <c r="F14" s="280"/>
      <c r="G14" s="280"/>
      <c r="H14" s="280"/>
      <c r="I14" s="280"/>
      <c r="J14" s="280"/>
      <c r="K14" s="280"/>
      <c r="L14" s="280"/>
      <c r="M14" s="280"/>
      <c r="N14" s="280"/>
      <c r="O14" s="280"/>
    </row>
    <row r="15" spans="2:19" s="23" customFormat="1" ht="29.5" customHeight="1" x14ac:dyDescent="0.15">
      <c r="B15" s="281"/>
      <c r="C15" s="281"/>
      <c r="D15" s="281"/>
      <c r="E15" s="281"/>
      <c r="F15" s="281"/>
      <c r="G15" s="281"/>
      <c r="H15" s="281"/>
      <c r="I15" s="281"/>
      <c r="J15" s="281"/>
      <c r="K15" s="281"/>
      <c r="L15" s="281"/>
      <c r="M15" s="281"/>
      <c r="N15" s="281"/>
      <c r="O15" s="281"/>
    </row>
    <row r="16" spans="2:19" s="23" customFormat="1" x14ac:dyDescent="0.15">
      <c r="B16" s="281"/>
      <c r="C16" s="281"/>
      <c r="D16" s="281"/>
      <c r="E16" s="281"/>
      <c r="F16" s="281"/>
      <c r="G16" s="281"/>
      <c r="H16" s="281"/>
      <c r="I16" s="281"/>
      <c r="J16" s="281"/>
      <c r="K16" s="281"/>
      <c r="L16" s="281"/>
      <c r="M16" s="281"/>
      <c r="N16" s="281"/>
      <c r="O16" s="281"/>
    </row>
    <row r="17" spans="2:15" s="23" customFormat="1" ht="33" customHeight="1" x14ac:dyDescent="0.15">
      <c r="B17" s="281"/>
      <c r="C17" s="281"/>
      <c r="D17" s="281"/>
      <c r="E17" s="281"/>
      <c r="F17" s="281"/>
      <c r="G17" s="281"/>
      <c r="H17" s="281"/>
      <c r="I17" s="281"/>
      <c r="J17" s="281"/>
      <c r="K17" s="281"/>
      <c r="L17" s="281"/>
      <c r="M17" s="281"/>
      <c r="N17" s="281"/>
      <c r="O17" s="281"/>
    </row>
    <row r="18" spans="2:15" ht="14" x14ac:dyDescent="0.15">
      <c r="B18" s="9"/>
      <c r="C18" s="9"/>
      <c r="D18" s="9"/>
      <c r="E18" s="9"/>
      <c r="F18" s="9"/>
      <c r="G18" s="9"/>
      <c r="H18" s="9"/>
      <c r="I18" s="9"/>
      <c r="J18" s="9"/>
      <c r="K18" s="9"/>
      <c r="L18" s="9"/>
      <c r="M18" s="9"/>
      <c r="N18" s="9"/>
      <c r="O18" s="9"/>
    </row>
    <row r="19" spans="2:15" ht="21" customHeight="1" x14ac:dyDescent="0.15">
      <c r="B19" s="11" t="s">
        <v>17</v>
      </c>
      <c r="C19" s="10"/>
      <c r="D19" s="10"/>
      <c r="E19" s="10"/>
      <c r="F19" s="10"/>
      <c r="G19" s="10"/>
      <c r="H19" s="10"/>
      <c r="I19" s="10"/>
      <c r="J19" s="10"/>
      <c r="K19" s="10"/>
      <c r="L19" s="10"/>
      <c r="M19" s="10"/>
      <c r="N19" s="10"/>
      <c r="O19" s="10"/>
    </row>
    <row r="20" spans="2:15" ht="38.5" customHeight="1" x14ac:dyDescent="0.15">
      <c r="B20" s="280" t="s">
        <v>472</v>
      </c>
      <c r="C20" s="280"/>
      <c r="D20" s="280"/>
      <c r="E20" s="280"/>
      <c r="F20" s="280"/>
      <c r="G20" s="280"/>
      <c r="H20" s="280"/>
      <c r="I20" s="280"/>
      <c r="J20" s="280"/>
      <c r="K20" s="280"/>
      <c r="L20" s="280"/>
      <c r="M20" s="280"/>
      <c r="N20" s="280"/>
      <c r="O20" s="280"/>
    </row>
    <row r="21" spans="2:15" ht="62.5" customHeight="1" x14ac:dyDescent="0.15">
      <c r="B21" s="281"/>
      <c r="C21" s="281"/>
      <c r="D21" s="281"/>
      <c r="E21" s="281"/>
      <c r="F21" s="281"/>
      <c r="G21" s="281"/>
      <c r="H21" s="281"/>
      <c r="I21" s="281"/>
      <c r="J21" s="281"/>
      <c r="K21" s="281"/>
      <c r="L21" s="281"/>
      <c r="M21" s="281"/>
      <c r="N21" s="281"/>
      <c r="O21" s="281"/>
    </row>
    <row r="22" spans="2:15" x14ac:dyDescent="0.15">
      <c r="B22" s="281"/>
      <c r="C22" s="281"/>
      <c r="D22" s="281"/>
      <c r="E22" s="281"/>
      <c r="F22" s="281"/>
      <c r="G22" s="281"/>
      <c r="H22" s="281"/>
      <c r="I22" s="281"/>
      <c r="J22" s="281"/>
      <c r="K22" s="281"/>
      <c r="L22" s="281"/>
      <c r="M22" s="281"/>
      <c r="N22" s="281"/>
      <c r="O22" s="281"/>
    </row>
    <row r="23" spans="2:15" ht="53" customHeight="1" x14ac:dyDescent="0.15">
      <c r="B23" s="281"/>
      <c r="C23" s="281"/>
      <c r="D23" s="281"/>
      <c r="E23" s="281"/>
      <c r="F23" s="281"/>
      <c r="G23" s="281"/>
      <c r="H23" s="281"/>
      <c r="I23" s="281"/>
      <c r="J23" s="281"/>
      <c r="K23" s="281"/>
      <c r="L23" s="281"/>
      <c r="M23" s="281"/>
      <c r="N23" s="281"/>
      <c r="O23" s="281"/>
    </row>
    <row r="24" spans="2:15" ht="52" customHeight="1" x14ac:dyDescent="0.15">
      <c r="B24" s="281"/>
      <c r="C24" s="281"/>
      <c r="D24" s="281"/>
      <c r="E24" s="281"/>
      <c r="F24" s="281"/>
      <c r="G24" s="281"/>
      <c r="H24" s="281"/>
      <c r="I24" s="281"/>
      <c r="J24" s="281"/>
      <c r="K24" s="281"/>
      <c r="L24" s="281"/>
      <c r="M24" s="281"/>
      <c r="N24" s="281"/>
      <c r="O24" s="281"/>
    </row>
    <row r="25" spans="2:15" ht="72" customHeight="1" x14ac:dyDescent="0.15">
      <c r="B25" s="281"/>
      <c r="C25" s="281"/>
      <c r="D25" s="281"/>
      <c r="E25" s="281"/>
      <c r="F25" s="281"/>
      <c r="G25" s="281"/>
      <c r="H25" s="281"/>
      <c r="I25" s="281"/>
      <c r="J25" s="281"/>
      <c r="K25" s="281"/>
      <c r="L25" s="281"/>
      <c r="M25" s="281"/>
      <c r="N25" s="281"/>
      <c r="O25" s="281"/>
    </row>
    <row r="26" spans="2:15" x14ac:dyDescent="0.15">
      <c r="B26" s="151"/>
      <c r="C26" s="151"/>
      <c r="D26" s="151"/>
      <c r="E26" s="151"/>
      <c r="F26" s="151"/>
      <c r="G26" s="151"/>
      <c r="H26" s="151"/>
      <c r="I26" s="151"/>
      <c r="J26" s="151"/>
      <c r="K26" s="151"/>
      <c r="L26" s="151"/>
      <c r="M26" s="151"/>
      <c r="N26" s="151"/>
      <c r="O26" s="151"/>
    </row>
    <row r="27" spans="2:15" ht="25" x14ac:dyDescent="0.15">
      <c r="B27" s="11" t="s">
        <v>350</v>
      </c>
      <c r="C27" s="10"/>
      <c r="D27" s="10"/>
      <c r="E27" s="10"/>
      <c r="F27" s="10"/>
      <c r="G27" s="10"/>
      <c r="H27" s="10"/>
      <c r="I27" s="10"/>
      <c r="J27" s="10"/>
      <c r="K27" s="10"/>
      <c r="L27" s="10"/>
      <c r="M27" s="10"/>
      <c r="N27" s="10"/>
      <c r="O27" s="10"/>
    </row>
    <row r="28" spans="2:15" ht="187" customHeight="1" x14ac:dyDescent="0.15">
      <c r="B28" s="285" t="s">
        <v>464</v>
      </c>
      <c r="C28" s="285"/>
      <c r="D28" s="285"/>
      <c r="E28" s="285"/>
      <c r="F28" s="285"/>
      <c r="G28" s="285"/>
      <c r="H28" s="285"/>
      <c r="I28" s="285"/>
      <c r="J28" s="285"/>
      <c r="K28" s="285"/>
      <c r="L28" s="285"/>
      <c r="M28" s="285"/>
      <c r="N28" s="285"/>
      <c r="O28" s="285"/>
    </row>
    <row r="29" spans="2:15" ht="18" customHeight="1" x14ac:dyDescent="0.15">
      <c r="B29" s="285" t="s">
        <v>402</v>
      </c>
      <c r="C29" s="285"/>
      <c r="D29" s="285"/>
      <c r="E29" s="285"/>
      <c r="F29" s="285"/>
      <c r="G29" s="285"/>
      <c r="H29" s="285"/>
      <c r="I29" s="285"/>
      <c r="J29" s="285"/>
      <c r="K29" s="285"/>
      <c r="L29" s="285"/>
      <c r="M29" s="285"/>
      <c r="N29" s="285"/>
      <c r="O29" s="285"/>
    </row>
    <row r="30" spans="2:15" ht="20.5" customHeight="1" x14ac:dyDescent="0.15"/>
    <row r="31" spans="2:15" ht="25" x14ac:dyDescent="0.15">
      <c r="B31" s="11" t="s">
        <v>19</v>
      </c>
      <c r="C31" s="10"/>
      <c r="D31" s="10"/>
      <c r="E31" s="10"/>
      <c r="F31" s="10"/>
      <c r="G31" s="10"/>
      <c r="H31" s="10"/>
      <c r="I31" s="10"/>
      <c r="J31" s="10"/>
      <c r="K31" s="10"/>
      <c r="L31" s="10"/>
      <c r="M31" s="10"/>
      <c r="N31" s="10"/>
      <c r="O31" s="10"/>
    </row>
    <row r="33" spans="2:15" ht="19.5" customHeight="1" thickBot="1" x14ac:dyDescent="0.2">
      <c r="B33" s="152" t="s">
        <v>20</v>
      </c>
      <c r="C33" s="275" t="s">
        <v>21</v>
      </c>
      <c r="D33" s="279"/>
      <c r="E33" s="275" t="s">
        <v>22</v>
      </c>
      <c r="F33" s="276"/>
      <c r="G33" s="276"/>
      <c r="H33" s="276"/>
      <c r="I33" s="276"/>
      <c r="J33" s="276"/>
      <c r="K33" s="276"/>
      <c r="L33" s="276"/>
      <c r="M33" s="276"/>
      <c r="N33" s="276"/>
      <c r="O33" s="276"/>
    </row>
    <row r="34" spans="2:15" ht="22.25" customHeight="1" thickTop="1" thickBot="1" x14ac:dyDescent="0.2">
      <c r="B34" s="153" t="s">
        <v>215</v>
      </c>
      <c r="C34" s="277" t="s">
        <v>23</v>
      </c>
      <c r="D34" s="278"/>
      <c r="E34" s="283" t="s">
        <v>398</v>
      </c>
      <c r="F34" s="284"/>
      <c r="G34" s="284"/>
      <c r="H34" s="284"/>
      <c r="I34" s="284"/>
      <c r="J34" s="284"/>
      <c r="K34" s="284"/>
      <c r="L34" s="284"/>
      <c r="M34" s="284"/>
      <c r="N34" s="284"/>
      <c r="O34" s="284"/>
    </row>
    <row r="35" spans="2:15" ht="22.25" customHeight="1" thickTop="1" thickBot="1" x14ac:dyDescent="0.2">
      <c r="B35" s="153">
        <v>0.1</v>
      </c>
      <c r="C35" s="289" t="s">
        <v>411</v>
      </c>
      <c r="D35" s="290"/>
      <c r="E35" s="291" t="s">
        <v>399</v>
      </c>
      <c r="F35" s="292"/>
      <c r="G35" s="292"/>
      <c r="H35" s="292"/>
      <c r="I35" s="292"/>
      <c r="J35" s="292"/>
      <c r="K35" s="292"/>
      <c r="L35" s="292"/>
      <c r="M35" s="292"/>
      <c r="N35" s="292"/>
      <c r="O35" s="292"/>
    </row>
    <row r="36" spans="2:15" ht="22.25" customHeight="1" thickTop="1" thickBot="1" x14ac:dyDescent="0.2">
      <c r="B36" s="153">
        <v>0.2</v>
      </c>
      <c r="C36" s="289" t="s">
        <v>426</v>
      </c>
      <c r="D36" s="290"/>
      <c r="E36" s="291" t="s">
        <v>427</v>
      </c>
      <c r="F36" s="292"/>
      <c r="G36" s="292"/>
      <c r="H36" s="292"/>
      <c r="I36" s="292"/>
      <c r="J36" s="292"/>
      <c r="K36" s="292"/>
      <c r="L36" s="292"/>
      <c r="M36" s="292"/>
      <c r="N36" s="292"/>
      <c r="O36" s="292"/>
    </row>
    <row r="37" spans="2:15" ht="42" customHeight="1" thickTop="1" x14ac:dyDescent="0.15">
      <c r="B37" s="153">
        <v>0.3</v>
      </c>
      <c r="C37" s="289" t="s">
        <v>452</v>
      </c>
      <c r="D37" s="290"/>
      <c r="E37" s="293" t="s">
        <v>428</v>
      </c>
      <c r="F37" s="294"/>
      <c r="G37" s="294"/>
      <c r="H37" s="294"/>
      <c r="I37" s="294"/>
      <c r="J37" s="294"/>
      <c r="K37" s="294"/>
      <c r="L37" s="294"/>
      <c r="M37" s="294"/>
      <c r="N37" s="294"/>
      <c r="O37" s="294"/>
    </row>
    <row r="39" spans="2:15" ht="25" x14ac:dyDescent="0.15">
      <c r="B39" s="11" t="s">
        <v>349</v>
      </c>
      <c r="C39" s="10"/>
      <c r="D39" s="10"/>
      <c r="E39" s="10"/>
      <c r="F39" s="10"/>
      <c r="G39" s="10"/>
      <c r="H39" s="10"/>
      <c r="I39" s="10"/>
      <c r="J39" s="10"/>
      <c r="K39" s="10"/>
      <c r="L39" s="10"/>
      <c r="M39" s="10"/>
      <c r="N39" s="10"/>
      <c r="O39" s="10"/>
    </row>
    <row r="41" spans="2:15" ht="19.5" customHeight="1" thickBot="1" x14ac:dyDescent="0.2">
      <c r="B41" s="152" t="s">
        <v>41</v>
      </c>
      <c r="C41" s="287" t="s">
        <v>42</v>
      </c>
      <c r="D41" s="288"/>
      <c r="E41" s="288"/>
      <c r="F41" s="288"/>
      <c r="G41" s="288"/>
      <c r="H41" s="288"/>
      <c r="I41" s="288"/>
      <c r="J41" s="288"/>
      <c r="K41" s="288"/>
      <c r="L41" s="288"/>
      <c r="M41" s="288"/>
      <c r="N41" s="288"/>
      <c r="O41" s="288"/>
    </row>
    <row r="42" spans="2:15" ht="19.5" customHeight="1" thickTop="1" thickBot="1" x14ac:dyDescent="0.2">
      <c r="B42" s="154" t="s">
        <v>379</v>
      </c>
      <c r="C42" s="283" t="s">
        <v>43</v>
      </c>
      <c r="D42" s="284"/>
      <c r="E42" s="284"/>
      <c r="F42" s="284"/>
      <c r="G42" s="284"/>
      <c r="H42" s="284"/>
      <c r="I42" s="284"/>
      <c r="J42" s="284"/>
      <c r="K42" s="284"/>
      <c r="L42" s="284"/>
      <c r="M42" s="284"/>
      <c r="N42" s="284"/>
      <c r="O42" s="284"/>
    </row>
    <row r="43" spans="2:15" ht="19.5" customHeight="1" thickTop="1" thickBot="1" x14ac:dyDescent="0.2">
      <c r="B43" s="154" t="s">
        <v>379</v>
      </c>
      <c r="C43" s="283" t="s">
        <v>380</v>
      </c>
      <c r="D43" s="284"/>
      <c r="E43" s="284"/>
      <c r="F43" s="284"/>
      <c r="G43" s="284"/>
      <c r="H43" s="284"/>
      <c r="I43" s="284"/>
      <c r="J43" s="284"/>
      <c r="K43" s="284"/>
      <c r="L43" s="284"/>
      <c r="M43" s="284"/>
      <c r="N43" s="284"/>
      <c r="O43" s="284"/>
    </row>
    <row r="44" spans="2:15" ht="19.5" customHeight="1" thickTop="1" thickBot="1" x14ac:dyDescent="0.2">
      <c r="B44" s="154" t="s">
        <v>381</v>
      </c>
      <c r="C44" s="283" t="s">
        <v>384</v>
      </c>
      <c r="D44" s="284"/>
      <c r="E44" s="284"/>
      <c r="F44" s="284"/>
      <c r="G44" s="284"/>
      <c r="H44" s="284"/>
      <c r="I44" s="284"/>
      <c r="J44" s="284"/>
      <c r="K44" s="284"/>
      <c r="L44" s="284"/>
      <c r="M44" s="284"/>
      <c r="N44" s="284"/>
      <c r="O44" s="284"/>
    </row>
    <row r="45" spans="2:15" ht="19.5" customHeight="1" thickTop="1" thickBot="1" x14ac:dyDescent="0.2">
      <c r="B45" s="154" t="s">
        <v>382</v>
      </c>
      <c r="C45" s="283" t="s">
        <v>383</v>
      </c>
      <c r="D45" s="284"/>
      <c r="E45" s="284"/>
      <c r="F45" s="284"/>
      <c r="G45" s="284"/>
      <c r="H45" s="284"/>
      <c r="I45" s="284"/>
      <c r="J45" s="284"/>
      <c r="K45" s="284"/>
      <c r="L45" s="284"/>
      <c r="M45" s="284"/>
      <c r="N45" s="284"/>
      <c r="O45" s="284"/>
    </row>
    <row r="46" spans="2:15" ht="19.25" customHeight="1" thickTop="1" thickBot="1" x14ac:dyDescent="0.2">
      <c r="B46" s="154" t="s">
        <v>244</v>
      </c>
      <c r="C46" s="283" t="s">
        <v>378</v>
      </c>
      <c r="D46" s="284"/>
      <c r="E46" s="284"/>
      <c r="F46" s="284"/>
      <c r="G46" s="284"/>
      <c r="H46" s="284"/>
      <c r="I46" s="284"/>
      <c r="J46" s="284"/>
      <c r="K46" s="284"/>
      <c r="L46" s="284"/>
      <c r="M46" s="284"/>
      <c r="N46" s="284"/>
      <c r="O46" s="284"/>
    </row>
    <row r="47" spans="2:15" ht="19.5" customHeight="1" thickTop="1" thickBot="1" x14ac:dyDescent="0.2">
      <c r="B47" s="154" t="s">
        <v>44</v>
      </c>
      <c r="C47" s="283" t="s">
        <v>40</v>
      </c>
      <c r="D47" s="284"/>
      <c r="E47" s="284"/>
      <c r="F47" s="284"/>
      <c r="G47" s="284"/>
      <c r="H47" s="284"/>
      <c r="I47" s="284"/>
      <c r="J47" s="284"/>
      <c r="K47" s="284"/>
      <c r="L47" s="284"/>
      <c r="M47" s="284"/>
      <c r="N47" s="284"/>
      <c r="O47" s="284"/>
    </row>
    <row r="48" spans="2:15" ht="19.5" customHeight="1" thickTop="1" thickBot="1" x14ac:dyDescent="0.2">
      <c r="B48" s="154" t="s">
        <v>45</v>
      </c>
      <c r="C48" s="283" t="s">
        <v>46</v>
      </c>
      <c r="D48" s="284"/>
      <c r="E48" s="284"/>
      <c r="F48" s="284"/>
      <c r="G48" s="284"/>
      <c r="H48" s="284"/>
      <c r="I48" s="284"/>
      <c r="J48" s="284"/>
      <c r="K48" s="284"/>
      <c r="L48" s="284"/>
      <c r="M48" s="284"/>
      <c r="N48" s="284"/>
      <c r="O48" s="284"/>
    </row>
    <row r="49" spans="2:15" ht="19.5" customHeight="1" thickTop="1" thickBot="1" x14ac:dyDescent="0.2">
      <c r="B49" s="154" t="s">
        <v>331</v>
      </c>
      <c r="C49" s="283" t="s">
        <v>391</v>
      </c>
      <c r="D49" s="284"/>
      <c r="E49" s="284"/>
      <c r="F49" s="284"/>
      <c r="G49" s="284"/>
      <c r="H49" s="284"/>
      <c r="I49" s="284"/>
      <c r="J49" s="284"/>
      <c r="K49" s="284"/>
      <c r="L49" s="284"/>
      <c r="M49" s="284"/>
      <c r="N49" s="284"/>
      <c r="O49" s="284"/>
    </row>
    <row r="50" spans="2:15" ht="19.5" customHeight="1" thickTop="1" thickBot="1" x14ac:dyDescent="0.2">
      <c r="B50" s="154" t="s">
        <v>420</v>
      </c>
      <c r="C50" s="283" t="s">
        <v>421</v>
      </c>
      <c r="D50" s="284"/>
      <c r="E50" s="284"/>
      <c r="F50" s="284"/>
      <c r="G50" s="284"/>
      <c r="H50" s="284"/>
      <c r="I50" s="284"/>
      <c r="J50" s="284"/>
      <c r="K50" s="284"/>
      <c r="L50" s="284"/>
      <c r="M50" s="284"/>
      <c r="N50" s="284"/>
      <c r="O50" s="284"/>
    </row>
    <row r="51" spans="2:15" ht="19.5" customHeight="1" thickTop="1" thickBot="1" x14ac:dyDescent="0.2">
      <c r="B51" s="154" t="s">
        <v>387</v>
      </c>
      <c r="C51" s="283" t="s">
        <v>388</v>
      </c>
      <c r="D51" s="284"/>
      <c r="E51" s="284"/>
      <c r="F51" s="284"/>
      <c r="G51" s="284"/>
      <c r="H51" s="284"/>
      <c r="I51" s="284"/>
      <c r="J51" s="284"/>
      <c r="K51" s="284"/>
      <c r="L51" s="284"/>
      <c r="M51" s="284"/>
      <c r="N51" s="284"/>
      <c r="O51" s="284"/>
    </row>
    <row r="52" spans="2:15" ht="19.5" customHeight="1" thickTop="1" thickBot="1" x14ac:dyDescent="0.2">
      <c r="B52" s="154" t="s">
        <v>389</v>
      </c>
      <c r="C52" s="283" t="s">
        <v>390</v>
      </c>
      <c r="D52" s="284"/>
      <c r="E52" s="284"/>
      <c r="F52" s="284"/>
      <c r="G52" s="284"/>
      <c r="H52" s="284"/>
      <c r="I52" s="284"/>
      <c r="J52" s="284"/>
      <c r="K52" s="284"/>
      <c r="L52" s="284"/>
      <c r="M52" s="284"/>
      <c r="N52" s="284"/>
      <c r="O52" s="284"/>
    </row>
    <row r="53" spans="2:15" ht="19.5" customHeight="1" thickTop="1" thickBot="1" x14ac:dyDescent="0.2">
      <c r="B53" s="154" t="s">
        <v>392</v>
      </c>
      <c r="C53" s="283" t="s">
        <v>395</v>
      </c>
      <c r="D53" s="284"/>
      <c r="E53" s="284"/>
      <c r="F53" s="284"/>
      <c r="G53" s="284"/>
      <c r="H53" s="284"/>
      <c r="I53" s="284"/>
      <c r="J53" s="284"/>
      <c r="K53" s="284"/>
      <c r="L53" s="284"/>
      <c r="M53" s="284"/>
      <c r="N53" s="284"/>
      <c r="O53" s="284"/>
    </row>
    <row r="54" spans="2:15" ht="19.5" customHeight="1" thickTop="1" thickBot="1" x14ac:dyDescent="0.2">
      <c r="B54" s="154" t="s">
        <v>393</v>
      </c>
      <c r="C54" s="283" t="s">
        <v>396</v>
      </c>
      <c r="D54" s="284"/>
      <c r="E54" s="284"/>
      <c r="F54" s="284"/>
      <c r="G54" s="284"/>
      <c r="H54" s="284"/>
      <c r="I54" s="284"/>
      <c r="J54" s="284"/>
      <c r="K54" s="284"/>
      <c r="L54" s="284"/>
      <c r="M54" s="284"/>
      <c r="N54" s="284"/>
      <c r="O54" s="284"/>
    </row>
    <row r="55" spans="2:15" ht="19.5" customHeight="1" thickTop="1" thickBot="1" x14ac:dyDescent="0.2">
      <c r="B55" s="154" t="s">
        <v>394</v>
      </c>
      <c r="C55" s="283" t="s">
        <v>397</v>
      </c>
      <c r="D55" s="284"/>
      <c r="E55" s="284"/>
      <c r="F55" s="284"/>
      <c r="G55" s="284"/>
      <c r="H55" s="284"/>
      <c r="I55" s="284"/>
      <c r="J55" s="284"/>
      <c r="K55" s="284"/>
      <c r="L55" s="284"/>
      <c r="M55" s="284"/>
      <c r="N55" s="284"/>
      <c r="O55" s="284"/>
    </row>
    <row r="56" spans="2:15" ht="19.5" customHeight="1" thickTop="1" thickBot="1" x14ac:dyDescent="0.2">
      <c r="B56" s="154" t="s">
        <v>47</v>
      </c>
      <c r="C56" s="283" t="s">
        <v>48</v>
      </c>
      <c r="D56" s="284"/>
      <c r="E56" s="284"/>
      <c r="F56" s="284"/>
      <c r="G56" s="284"/>
      <c r="H56" s="284"/>
      <c r="I56" s="284"/>
      <c r="J56" s="284"/>
      <c r="K56" s="284"/>
      <c r="L56" s="284"/>
      <c r="M56" s="284"/>
      <c r="N56" s="284"/>
      <c r="O56" s="284"/>
    </row>
    <row r="57" spans="2:15" ht="19.5" customHeight="1" thickTop="1" thickBot="1" x14ac:dyDescent="0.2">
      <c r="B57" s="154" t="s">
        <v>262</v>
      </c>
      <c r="C57" s="283" t="s">
        <v>385</v>
      </c>
      <c r="D57" s="284"/>
      <c r="E57" s="284"/>
      <c r="F57" s="284"/>
      <c r="G57" s="284"/>
      <c r="H57" s="284"/>
      <c r="I57" s="284"/>
      <c r="J57" s="284"/>
      <c r="K57" s="284"/>
      <c r="L57" s="284"/>
      <c r="M57" s="284"/>
      <c r="N57" s="284"/>
      <c r="O57" s="284"/>
    </row>
    <row r="58" spans="2:15" ht="19.5" customHeight="1" thickTop="1" thickBot="1" x14ac:dyDescent="0.2">
      <c r="B58" s="154" t="s">
        <v>377</v>
      </c>
      <c r="C58" s="283" t="s">
        <v>386</v>
      </c>
      <c r="D58" s="284"/>
      <c r="E58" s="284"/>
      <c r="F58" s="284"/>
      <c r="G58" s="284"/>
      <c r="H58" s="284"/>
      <c r="I58" s="284"/>
      <c r="J58" s="284"/>
      <c r="K58" s="284"/>
      <c r="L58" s="284"/>
      <c r="M58" s="284"/>
      <c r="N58" s="284"/>
      <c r="O58" s="284"/>
    </row>
    <row r="59" spans="2:15" ht="19.5" customHeight="1" thickTop="1" x14ac:dyDescent="0.15"/>
    <row r="60" spans="2:15" ht="19.5" customHeight="1" thickBot="1" x14ac:dyDescent="0.2">
      <c r="B60" s="287" t="s">
        <v>217</v>
      </c>
      <c r="C60" s="288"/>
      <c r="D60" s="288"/>
      <c r="E60" s="288"/>
      <c r="F60" s="288"/>
      <c r="G60" s="288"/>
      <c r="H60" s="288"/>
      <c r="I60" s="288"/>
      <c r="J60" s="288"/>
      <c r="K60" s="288"/>
      <c r="L60" s="288"/>
      <c r="M60" s="288"/>
      <c r="N60" s="288"/>
      <c r="O60" s="288"/>
    </row>
    <row r="61" spans="2:15" ht="19.5" customHeight="1" thickTop="1" x14ac:dyDescent="0.15"/>
  </sheetData>
  <sheetProtection algorithmName="SHA-512" hashValue="fgVs3qv4dITbZET/Snmaqv9evho/s8nzpLAF/xfZAU5kNsIsMg37Si8A+pvoqevPVxkyj3VwkPQT3j8nhXFVUw==" saltValue="vwndeZCU5p/9zC80d9SgsQ==" spinCount="100000" sheet="1" objects="1" scenarios="1" selectLockedCells="1" selectUnlockedCells="1"/>
  <mergeCells count="36">
    <mergeCell ref="C49:O49"/>
    <mergeCell ref="C53:O53"/>
    <mergeCell ref="C54:O54"/>
    <mergeCell ref="C35:D35"/>
    <mergeCell ref="E35:O35"/>
    <mergeCell ref="C36:D36"/>
    <mergeCell ref="E36:O36"/>
    <mergeCell ref="C37:D37"/>
    <mergeCell ref="E37:O37"/>
    <mergeCell ref="C55:O55"/>
    <mergeCell ref="C41:O41"/>
    <mergeCell ref="C42:O42"/>
    <mergeCell ref="C46:O46"/>
    <mergeCell ref="B60:O60"/>
    <mergeCell ref="C57:O57"/>
    <mergeCell ref="C47:O47"/>
    <mergeCell ref="C45:O45"/>
    <mergeCell ref="C48:O48"/>
    <mergeCell ref="C51:O51"/>
    <mergeCell ref="C56:O56"/>
    <mergeCell ref="C43:O43"/>
    <mergeCell ref="C44:O44"/>
    <mergeCell ref="C58:O58"/>
    <mergeCell ref="C50:O50"/>
    <mergeCell ref="C52:O52"/>
    <mergeCell ref="F3:O3"/>
    <mergeCell ref="E33:O33"/>
    <mergeCell ref="C34:D34"/>
    <mergeCell ref="C33:D33"/>
    <mergeCell ref="B20:O25"/>
    <mergeCell ref="B11:O11"/>
    <mergeCell ref="B14:O17"/>
    <mergeCell ref="E34:O34"/>
    <mergeCell ref="B28:O28"/>
    <mergeCell ref="B8:O8"/>
    <mergeCell ref="B29:O29"/>
  </mergeCells>
  <phoneticPr fontId="45" type="noConversion"/>
  <hyperlinks>
    <hyperlink ref="H6" r:id="rId1" xr:uid="{BF85DDF4-BEE5-442B-8AA8-239CA56F8E49}"/>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tabColor theme="0" tint="-0.249977111117893"/>
  </sheetPr>
  <dimension ref="A1:O37"/>
  <sheetViews>
    <sheetView zoomScale="85" zoomScaleNormal="85" workbookViewId="0">
      <selection activeCell="F4" sqref="F4"/>
    </sheetView>
  </sheetViews>
  <sheetFormatPr baseColWidth="10" defaultColWidth="36.5" defaultRowHeight="13" x14ac:dyDescent="0.15"/>
  <cols>
    <col min="1" max="1" width="9.33203125" bestFit="1" customWidth="1"/>
    <col min="2" max="2" width="19.5" customWidth="1"/>
    <col min="3" max="3" width="27.33203125" bestFit="1" customWidth="1"/>
    <col min="4" max="4" width="31.83203125" bestFit="1" customWidth="1"/>
    <col min="5" max="5" width="10.5" bestFit="1" customWidth="1"/>
    <col min="6" max="6" width="39.6640625" customWidth="1"/>
    <col min="7" max="7" width="9.83203125" bestFit="1" customWidth="1"/>
    <col min="8" max="8" width="11.1640625" bestFit="1" customWidth="1"/>
    <col min="9" max="9" width="16.5" bestFit="1" customWidth="1"/>
    <col min="10" max="10" width="35.83203125" bestFit="1" customWidth="1"/>
    <col min="11" max="11" width="13.5" customWidth="1"/>
    <col min="12" max="12" width="28.5" customWidth="1"/>
    <col min="13" max="13" width="11.5" bestFit="1" customWidth="1"/>
  </cols>
  <sheetData>
    <row r="1" spans="1:15" x14ac:dyDescent="0.15">
      <c r="A1" s="1" t="s">
        <v>2</v>
      </c>
      <c r="B1" s="1" t="s">
        <v>236</v>
      </c>
      <c r="C1" s="1" t="s">
        <v>287</v>
      </c>
      <c r="D1" s="1" t="s">
        <v>15</v>
      </c>
      <c r="E1" s="1" t="s">
        <v>266</v>
      </c>
      <c r="F1" s="1" t="s">
        <v>5</v>
      </c>
      <c r="G1" s="1" t="s">
        <v>0</v>
      </c>
      <c r="H1" s="1" t="s">
        <v>1</v>
      </c>
      <c r="I1" s="1" t="s">
        <v>269</v>
      </c>
      <c r="J1" s="1"/>
      <c r="L1" s="1"/>
      <c r="M1" s="1"/>
      <c r="N1" s="1"/>
    </row>
    <row r="2" spans="1:15" x14ac:dyDescent="0.15">
      <c r="A2" t="s">
        <v>52</v>
      </c>
      <c r="B2" t="s">
        <v>364</v>
      </c>
      <c r="C2" t="s">
        <v>299</v>
      </c>
      <c r="D2" t="s">
        <v>268</v>
      </c>
      <c r="E2" t="s">
        <v>262</v>
      </c>
      <c r="F2" t="s">
        <v>326</v>
      </c>
      <c r="G2">
        <v>2020</v>
      </c>
      <c r="H2">
        <v>2028</v>
      </c>
      <c r="I2">
        <f>Automakers!$D$23</f>
        <v>2022</v>
      </c>
    </row>
    <row r="3" spans="1:15" x14ac:dyDescent="0.15">
      <c r="B3" t="s">
        <v>234</v>
      </c>
      <c r="C3" t="s">
        <v>300</v>
      </c>
      <c r="D3" t="s">
        <v>267</v>
      </c>
      <c r="E3" t="s">
        <v>29</v>
      </c>
      <c r="F3" t="s">
        <v>413</v>
      </c>
      <c r="G3">
        <v>2021</v>
      </c>
      <c r="H3">
        <f>IF(H2&gt;=2060,"",H2+1)</f>
        <v>2029</v>
      </c>
      <c r="I3">
        <f>IF(ISNUMBER(I2),IF(I2+1&lt;=2028,I2+1,""),"")</f>
        <v>2023</v>
      </c>
    </row>
    <row r="4" spans="1:15" ht="14" x14ac:dyDescent="0.15">
      <c r="A4" s="64"/>
      <c r="B4" t="s">
        <v>331</v>
      </c>
      <c r="C4" t="s">
        <v>301</v>
      </c>
      <c r="E4" t="s">
        <v>377</v>
      </c>
      <c r="F4" s="67" t="s">
        <v>327</v>
      </c>
      <c r="G4">
        <v>2022</v>
      </c>
      <c r="H4">
        <f t="shared" ref="H4:H24" si="0">IF(H3&gt;=2060,"",H3+1)</f>
        <v>2030</v>
      </c>
      <c r="I4">
        <f t="shared" ref="I4:I10" si="1">IF(ISNUMBER(I3),IF(I3+1&lt;=2028,I3+1,""),"")</f>
        <v>2024</v>
      </c>
    </row>
    <row r="5" spans="1:15" x14ac:dyDescent="0.15">
      <c r="B5" t="s">
        <v>365</v>
      </c>
      <c r="F5" t="s">
        <v>233</v>
      </c>
      <c r="G5">
        <v>2023</v>
      </c>
      <c r="H5">
        <f t="shared" si="0"/>
        <v>2031</v>
      </c>
      <c r="I5">
        <f t="shared" si="1"/>
        <v>2025</v>
      </c>
    </row>
    <row r="6" spans="1:15" x14ac:dyDescent="0.15">
      <c r="B6" t="s">
        <v>329</v>
      </c>
      <c r="G6">
        <v>2024</v>
      </c>
      <c r="H6">
        <f t="shared" si="0"/>
        <v>2032</v>
      </c>
      <c r="I6">
        <f t="shared" si="1"/>
        <v>2026</v>
      </c>
      <c r="O6" s="2" t="e">
        <f>IF(HLOOKUP(Automakers!$D$26,#REF!,ROW(#REF!),)&lt;0,"CAGR not calculated for negative target year emission","")</f>
        <v>#REF!</v>
      </c>
    </row>
    <row r="7" spans="1:15" x14ac:dyDescent="0.15">
      <c r="B7" t="s">
        <v>330</v>
      </c>
      <c r="G7">
        <v>2025</v>
      </c>
      <c r="H7">
        <f t="shared" si="0"/>
        <v>2033</v>
      </c>
      <c r="I7">
        <f t="shared" si="1"/>
        <v>2027</v>
      </c>
      <c r="O7" t="e">
        <f>IF(HLOOKUP(Automakers!$D$26,#REF!,ROW(#REF!),)&lt;0,"CAGR not calculated for negative target year emission","")</f>
        <v>#REF!</v>
      </c>
    </row>
    <row r="8" spans="1:15" x14ac:dyDescent="0.15">
      <c r="B8" s="4"/>
      <c r="G8">
        <v>2026</v>
      </c>
      <c r="H8">
        <f t="shared" si="0"/>
        <v>2034</v>
      </c>
      <c r="I8">
        <f t="shared" si="1"/>
        <v>2028</v>
      </c>
    </row>
    <row r="9" spans="1:15" x14ac:dyDescent="0.15">
      <c r="G9">
        <v>2027</v>
      </c>
      <c r="H9">
        <f t="shared" si="0"/>
        <v>2035</v>
      </c>
      <c r="I9" t="str">
        <f t="shared" si="1"/>
        <v/>
      </c>
    </row>
    <row r="10" spans="1:15" x14ac:dyDescent="0.15">
      <c r="G10">
        <v>2028</v>
      </c>
      <c r="H10">
        <f t="shared" si="0"/>
        <v>2036</v>
      </c>
      <c r="I10" t="str">
        <f t="shared" si="1"/>
        <v/>
      </c>
    </row>
    <row r="11" spans="1:15" x14ac:dyDescent="0.15">
      <c r="G11">
        <v>2029</v>
      </c>
      <c r="H11">
        <f t="shared" si="0"/>
        <v>2037</v>
      </c>
      <c r="I11" s="2"/>
    </row>
    <row r="12" spans="1:15" x14ac:dyDescent="0.15">
      <c r="G12">
        <v>2030</v>
      </c>
      <c r="H12">
        <f t="shared" si="0"/>
        <v>2038</v>
      </c>
      <c r="I12" s="2"/>
    </row>
    <row r="13" spans="1:15" x14ac:dyDescent="0.15">
      <c r="H13">
        <f t="shared" si="0"/>
        <v>2039</v>
      </c>
      <c r="I13" s="2"/>
    </row>
    <row r="14" spans="1:15" x14ac:dyDescent="0.15">
      <c r="H14">
        <f t="shared" si="0"/>
        <v>2040</v>
      </c>
      <c r="I14" s="2"/>
    </row>
    <row r="15" spans="1:15" x14ac:dyDescent="0.15">
      <c r="H15">
        <f t="shared" si="0"/>
        <v>2041</v>
      </c>
      <c r="I15" s="2"/>
    </row>
    <row r="16" spans="1:15" x14ac:dyDescent="0.15">
      <c r="H16">
        <f t="shared" si="0"/>
        <v>2042</v>
      </c>
    </row>
    <row r="17" spans="8:10" x14ac:dyDescent="0.15">
      <c r="H17">
        <f t="shared" si="0"/>
        <v>2043</v>
      </c>
    </row>
    <row r="18" spans="8:10" x14ac:dyDescent="0.15">
      <c r="H18">
        <f t="shared" si="0"/>
        <v>2044</v>
      </c>
    </row>
    <row r="19" spans="8:10" x14ac:dyDescent="0.15">
      <c r="H19">
        <f t="shared" si="0"/>
        <v>2045</v>
      </c>
    </row>
    <row r="20" spans="8:10" x14ac:dyDescent="0.15">
      <c r="H20">
        <f t="shared" si="0"/>
        <v>2046</v>
      </c>
    </row>
    <row r="21" spans="8:10" x14ac:dyDescent="0.15">
      <c r="H21">
        <f t="shared" si="0"/>
        <v>2047</v>
      </c>
    </row>
    <row r="22" spans="8:10" x14ac:dyDescent="0.15">
      <c r="H22">
        <f t="shared" si="0"/>
        <v>2048</v>
      </c>
    </row>
    <row r="23" spans="8:10" x14ac:dyDescent="0.15">
      <c r="H23">
        <f t="shared" si="0"/>
        <v>2049</v>
      </c>
    </row>
    <row r="24" spans="8:10" x14ac:dyDescent="0.15">
      <c r="H24">
        <f t="shared" si="0"/>
        <v>2050</v>
      </c>
    </row>
    <row r="27" spans="8:10" x14ac:dyDescent="0.15">
      <c r="J27" t="str">
        <f>IF(ISNUMBER(I7),IF(I7+1&lt;=2025,I7+1,""),"")</f>
        <v/>
      </c>
    </row>
    <row r="28" spans="8:10" x14ac:dyDescent="0.15">
      <c r="J28" t="str">
        <f t="shared" ref="J28:J29" si="2">IF(ISNUMBER(J27),IF(J27+1&lt;=2025,J27+1,""),"")</f>
        <v/>
      </c>
    </row>
    <row r="29" spans="8:10" x14ac:dyDescent="0.15">
      <c r="J29" t="str">
        <f t="shared" si="2"/>
        <v/>
      </c>
    </row>
    <row r="30" spans="8:10" x14ac:dyDescent="0.15">
      <c r="J30" t="str">
        <f t="shared" ref="J30:J31" si="3">IF(ISNUMBER(J29),IF(J29+1&lt;=2025,J29+1,""),"")</f>
        <v/>
      </c>
    </row>
    <row r="31" spans="8:10" x14ac:dyDescent="0.15">
      <c r="J31" t="str">
        <f t="shared" si="3"/>
        <v/>
      </c>
    </row>
    <row r="37" spans="2:2" x14ac:dyDescent="0.15">
      <c r="B37" s="97"/>
    </row>
  </sheetData>
  <conditionalFormatting sqref="B8">
    <cfRule type="cellIs" dxfId="31" priority="3" operator="equal">
      <formula>0</formula>
    </cfRule>
    <cfRule type="cellIs" dxfId="30" priority="4" operator="greaterThanOrEqual">
      <formula>10</formula>
    </cfRule>
  </conditionalFormatting>
  <conditionalFormatting sqref="O6">
    <cfRule type="expression" dxfId="29" priority="21">
      <formula>ISNA(O6)</formula>
    </cfRule>
    <cfRule type="cellIs" dxfId="28" priority="22" operator="equal">
      <formula>0</formula>
    </cfRule>
    <cfRule type="cellIs" dxfId="27" priority="23" operator="lessThan">
      <formula>10</formula>
    </cfRule>
  </conditionalFormatting>
  <pageMargins left="0.7" right="0.7" top="0.75" bottom="0.75" header="0.3" footer="0.3"/>
  <pageSetup paperSize="9" orientation="portrait" horizont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1D742-04C8-4F56-BE1B-4BA40E68ED82}">
  <sheetPr codeName="Sheet10">
    <tabColor theme="0" tint="-0.249977111117893"/>
  </sheetPr>
  <dimension ref="A3:AQ66"/>
  <sheetViews>
    <sheetView topLeftCell="A3" zoomScale="96" zoomScaleNormal="96" workbookViewId="0">
      <selection activeCell="D15" sqref="D15"/>
    </sheetView>
  </sheetViews>
  <sheetFormatPr baseColWidth="10" defaultColWidth="8.83203125" defaultRowHeight="13" x14ac:dyDescent="0.15"/>
  <cols>
    <col min="1" max="1" width="5.5" customWidth="1"/>
    <col min="2" max="2" width="27.83203125" bestFit="1" customWidth="1"/>
  </cols>
  <sheetData>
    <row r="3" spans="1:43" ht="20" x14ac:dyDescent="0.2">
      <c r="B3" s="90" t="s">
        <v>242</v>
      </c>
    </row>
    <row r="6" spans="1:43" ht="15" x14ac:dyDescent="0.2">
      <c r="B6" s="1" t="s">
        <v>238</v>
      </c>
      <c r="C6" s="86">
        <v>2010</v>
      </c>
      <c r="D6" s="86">
        <v>2011</v>
      </c>
      <c r="E6" s="86">
        <v>2012</v>
      </c>
      <c r="F6" s="86">
        <v>2013</v>
      </c>
      <c r="G6" s="86">
        <v>2014</v>
      </c>
      <c r="H6" s="86">
        <v>2015</v>
      </c>
      <c r="I6" s="86">
        <v>2016</v>
      </c>
      <c r="J6" s="86">
        <v>2017</v>
      </c>
      <c r="K6" s="88">
        <v>2018</v>
      </c>
      <c r="L6" s="86">
        <v>2019</v>
      </c>
      <c r="M6" s="86">
        <v>2020</v>
      </c>
      <c r="N6" s="86">
        <v>2021</v>
      </c>
      <c r="O6" s="86">
        <v>2022</v>
      </c>
      <c r="P6" s="86">
        <v>2023</v>
      </c>
      <c r="Q6" s="86">
        <v>2024</v>
      </c>
      <c r="R6" s="86">
        <v>2025</v>
      </c>
      <c r="S6" s="86">
        <v>2026</v>
      </c>
      <c r="T6" s="86">
        <v>2027</v>
      </c>
      <c r="U6" s="86">
        <v>2028</v>
      </c>
      <c r="V6" s="86">
        <v>2029</v>
      </c>
      <c r="W6" s="86">
        <v>2030</v>
      </c>
      <c r="X6" s="86">
        <v>2031</v>
      </c>
      <c r="Y6" s="86">
        <v>2032</v>
      </c>
      <c r="Z6" s="86">
        <v>2033</v>
      </c>
      <c r="AA6" s="86">
        <v>2034</v>
      </c>
      <c r="AB6" s="86">
        <v>2035</v>
      </c>
      <c r="AC6" s="86">
        <v>2036</v>
      </c>
      <c r="AD6" s="86">
        <v>2037</v>
      </c>
      <c r="AE6" s="86">
        <v>2038</v>
      </c>
      <c r="AF6" s="86">
        <v>2039</v>
      </c>
      <c r="AG6" s="86">
        <v>2040</v>
      </c>
      <c r="AH6" s="86">
        <v>2041</v>
      </c>
      <c r="AI6" s="86">
        <v>2042</v>
      </c>
      <c r="AJ6" s="86">
        <v>2043</v>
      </c>
      <c r="AK6" s="86">
        <v>2044</v>
      </c>
      <c r="AL6" s="86">
        <v>2045</v>
      </c>
      <c r="AM6" s="86">
        <v>2046</v>
      </c>
      <c r="AN6" s="86">
        <v>2047</v>
      </c>
      <c r="AO6" s="86">
        <v>2048</v>
      </c>
      <c r="AP6" s="86">
        <v>2049</v>
      </c>
      <c r="AQ6" s="86">
        <v>2050</v>
      </c>
    </row>
    <row r="7" spans="1:43" x14ac:dyDescent="0.15">
      <c r="A7" s="63" t="s">
        <v>244</v>
      </c>
      <c r="B7" t="s">
        <v>230</v>
      </c>
      <c r="C7">
        <v>340.30075256954802</v>
      </c>
      <c r="D7">
        <v>335.37497123501601</v>
      </c>
      <c r="E7">
        <v>343.63343525830197</v>
      </c>
      <c r="F7">
        <v>348.16283241518101</v>
      </c>
      <c r="G7">
        <v>326.72583100087098</v>
      </c>
      <c r="H7">
        <v>316.20581249728002</v>
      </c>
      <c r="I7">
        <v>310.81146132921799</v>
      </c>
      <c r="J7">
        <v>316.89668143311098</v>
      </c>
      <c r="K7" s="65">
        <v>289.60928509321502</v>
      </c>
      <c r="L7">
        <v>287.18794343757003</v>
      </c>
      <c r="M7">
        <v>287.73256143562003</v>
      </c>
      <c r="N7">
        <v>289.04919651703801</v>
      </c>
      <c r="O7">
        <v>275.10654315324001</v>
      </c>
      <c r="P7">
        <v>271.48373718553802</v>
      </c>
      <c r="Q7">
        <v>272.552121229043</v>
      </c>
      <c r="R7">
        <v>217.36878332154001</v>
      </c>
      <c r="S7">
        <v>191.927654746961</v>
      </c>
      <c r="T7">
        <v>165.59616070912</v>
      </c>
      <c r="U7">
        <v>132.21622316924899</v>
      </c>
      <c r="V7">
        <v>104.613947281604</v>
      </c>
      <c r="W7">
        <v>81.754819378508799</v>
      </c>
      <c r="X7">
        <v>58.24682815757</v>
      </c>
      <c r="Y7">
        <v>36.229757807218398</v>
      </c>
      <c r="Z7">
        <v>26.690551567513801</v>
      </c>
      <c r="AA7">
        <v>17.877985219193</v>
      </c>
      <c r="AB7">
        <v>15.952021455648399</v>
      </c>
      <c r="AC7">
        <v>13.751851233476801</v>
      </c>
      <c r="AD7">
        <v>12.137853074393201</v>
      </c>
      <c r="AE7">
        <v>10.661707512978801</v>
      </c>
      <c r="AF7">
        <v>9.3339374344665007</v>
      </c>
      <c r="AG7">
        <v>8.1030105306981302</v>
      </c>
      <c r="AH7">
        <v>7.2910062630343599</v>
      </c>
      <c r="AI7">
        <v>6.2318155037137801</v>
      </c>
      <c r="AJ7">
        <v>5.5738195553430803</v>
      </c>
      <c r="AK7">
        <v>4.6666213140707899</v>
      </c>
      <c r="AL7">
        <v>4.1218259732884697</v>
      </c>
      <c r="AM7">
        <v>3.6114017418548499</v>
      </c>
      <c r="AN7">
        <v>3.1835135116688802</v>
      </c>
      <c r="AO7">
        <v>2.7528223208160201</v>
      </c>
      <c r="AP7">
        <v>2.5870085112394698</v>
      </c>
      <c r="AQ7">
        <v>2.24146618824778</v>
      </c>
    </row>
    <row r="8" spans="1:43" x14ac:dyDescent="0.15">
      <c r="A8" s="63" t="s">
        <v>244</v>
      </c>
      <c r="B8" t="s">
        <v>231</v>
      </c>
      <c r="C8">
        <v>279.71071118901102</v>
      </c>
      <c r="D8">
        <v>270.690849053786</v>
      </c>
      <c r="E8">
        <v>258.65906757035799</v>
      </c>
      <c r="F8">
        <v>259.20695447402699</v>
      </c>
      <c r="G8">
        <v>255.591118429777</v>
      </c>
      <c r="H8">
        <v>253.807955376873</v>
      </c>
      <c r="I8">
        <v>248.39016572365699</v>
      </c>
      <c r="J8">
        <v>237.48843913906299</v>
      </c>
      <c r="K8" s="65">
        <v>224.25216231674199</v>
      </c>
      <c r="L8">
        <v>221.84776188751101</v>
      </c>
      <c r="M8">
        <v>218.85526937020899</v>
      </c>
      <c r="N8">
        <v>215.60416456457401</v>
      </c>
      <c r="O8">
        <v>211.12072817692399</v>
      </c>
      <c r="P8">
        <v>208.449458129546</v>
      </c>
      <c r="Q8">
        <v>205.85695683715801</v>
      </c>
      <c r="R8">
        <v>190.405187777778</v>
      </c>
      <c r="S8">
        <v>173.43706235294101</v>
      </c>
      <c r="T8">
        <v>155.90169131560901</v>
      </c>
      <c r="U8">
        <v>132.70891217778501</v>
      </c>
      <c r="V8">
        <v>112.006838891134</v>
      </c>
      <c r="W8">
        <v>93.4606080586357</v>
      </c>
      <c r="X8">
        <v>74.597139288292396</v>
      </c>
      <c r="Y8">
        <v>57.051329583805199</v>
      </c>
      <c r="Z8">
        <v>45.612352784440397</v>
      </c>
      <c r="AA8">
        <v>34.902000000000001</v>
      </c>
      <c r="AB8">
        <v>30.565999999999999</v>
      </c>
      <c r="AC8">
        <v>27.108000000000001</v>
      </c>
      <c r="AD8">
        <v>23.422000000000001</v>
      </c>
      <c r="AE8">
        <v>20.52</v>
      </c>
      <c r="AF8">
        <v>18.228000000000002</v>
      </c>
      <c r="AG8">
        <v>15.694000000000001</v>
      </c>
      <c r="AH8">
        <v>13.79</v>
      </c>
      <c r="AI8">
        <v>12</v>
      </c>
      <c r="AJ8">
        <v>10.71</v>
      </c>
      <c r="AK8">
        <v>9.52</v>
      </c>
      <c r="AL8">
        <v>8.1</v>
      </c>
      <c r="AM8">
        <v>7.0839999999999996</v>
      </c>
      <c r="AN8">
        <v>6.1740000000000004</v>
      </c>
      <c r="AO8">
        <v>5.6</v>
      </c>
      <c r="AP8">
        <v>4.7880000000000003</v>
      </c>
      <c r="AQ8">
        <v>4.3179999999999996</v>
      </c>
    </row>
    <row r="9" spans="1:43" x14ac:dyDescent="0.15">
      <c r="A9" s="63" t="s">
        <v>244</v>
      </c>
      <c r="B9" t="s">
        <v>232</v>
      </c>
      <c r="C9">
        <v>232.55034620154299</v>
      </c>
      <c r="D9">
        <v>233.881231011789</v>
      </c>
      <c r="E9">
        <v>227.04902694891001</v>
      </c>
      <c r="F9">
        <v>224.03679930621701</v>
      </c>
      <c r="G9">
        <v>235.11290209153401</v>
      </c>
      <c r="H9">
        <v>229.33356779492601</v>
      </c>
      <c r="I9">
        <v>216.508369821646</v>
      </c>
      <c r="J9">
        <v>213.59076625620301</v>
      </c>
      <c r="K9" s="65">
        <v>239.43156326405401</v>
      </c>
      <c r="L9">
        <v>237.83052712298399</v>
      </c>
      <c r="M9">
        <v>234.01740814231101</v>
      </c>
      <c r="N9">
        <v>231.66398529401499</v>
      </c>
      <c r="O9">
        <v>230.67485174981999</v>
      </c>
      <c r="P9">
        <v>228.83711957713101</v>
      </c>
      <c r="Q9">
        <v>229.31889841096299</v>
      </c>
      <c r="R9">
        <v>196.66144857414301</v>
      </c>
      <c r="S9">
        <v>183.75232296700401</v>
      </c>
      <c r="T9">
        <v>167.45273824658801</v>
      </c>
      <c r="U9">
        <v>147.80120052752801</v>
      </c>
      <c r="V9">
        <v>129.97383319564099</v>
      </c>
      <c r="W9">
        <v>113.757152565564</v>
      </c>
      <c r="X9">
        <v>98.882406970798201</v>
      </c>
      <c r="Y9">
        <v>84.199787741482396</v>
      </c>
      <c r="Z9">
        <v>72.648958138113301</v>
      </c>
      <c r="AA9">
        <v>61.852271824987199</v>
      </c>
      <c r="AB9">
        <v>50.900247109480901</v>
      </c>
      <c r="AC9">
        <v>40.809848733947597</v>
      </c>
      <c r="AD9">
        <v>31.136482638039599</v>
      </c>
      <c r="AE9">
        <v>22.380672947654698</v>
      </c>
      <c r="AF9">
        <v>16.853170695442302</v>
      </c>
      <c r="AG9">
        <v>11.7861195884706</v>
      </c>
      <c r="AH9">
        <v>10.4797101805199</v>
      </c>
      <c r="AI9">
        <v>9.2056111992744505</v>
      </c>
      <c r="AJ9">
        <v>7.9898496883312999</v>
      </c>
      <c r="AK9">
        <v>7.0262481417144498</v>
      </c>
      <c r="AL9">
        <v>6.1518380416241598</v>
      </c>
      <c r="AM9">
        <v>5.3630382139753801</v>
      </c>
      <c r="AN9">
        <v>4.80208384942883</v>
      </c>
      <c r="AO9">
        <v>4.2034708252154402</v>
      </c>
      <c r="AP9">
        <v>3.61768192448839</v>
      </c>
      <c r="AQ9">
        <v>3.1551110598868699</v>
      </c>
    </row>
    <row r="10" spans="1:43" ht="12.5" customHeight="1" x14ac:dyDescent="0.15">
      <c r="A10" s="63" t="s">
        <v>244</v>
      </c>
      <c r="B10" t="s">
        <v>233</v>
      </c>
      <c r="C10">
        <v>302.843358405054</v>
      </c>
      <c r="D10">
        <v>299.342689311171</v>
      </c>
      <c r="E10">
        <v>298.93173774982699</v>
      </c>
      <c r="F10">
        <v>304.14121107782501</v>
      </c>
      <c r="G10">
        <v>294.10490701978699</v>
      </c>
      <c r="H10">
        <v>287.71343541769801</v>
      </c>
      <c r="I10">
        <v>282.25174166420402</v>
      </c>
      <c r="J10">
        <v>283.21265588833103</v>
      </c>
      <c r="K10" s="65">
        <v>268.88118009632097</v>
      </c>
      <c r="L10">
        <v>266.06524544219099</v>
      </c>
      <c r="M10">
        <v>263.930296613672</v>
      </c>
      <c r="N10">
        <v>277.04526903134598</v>
      </c>
      <c r="O10">
        <v>260.95961323490201</v>
      </c>
      <c r="P10">
        <v>257.493178828721</v>
      </c>
      <c r="Q10">
        <v>258.289079672095</v>
      </c>
      <c r="R10">
        <v>211.37712554481899</v>
      </c>
      <c r="S10">
        <v>187.96679971389901</v>
      </c>
      <c r="T10">
        <v>164.17564720061301</v>
      </c>
      <c r="U10">
        <v>134.426607373563</v>
      </c>
      <c r="V10">
        <v>109.497711448091</v>
      </c>
      <c r="W10">
        <v>88.125862880659497</v>
      </c>
      <c r="X10">
        <v>66.917173778236503</v>
      </c>
      <c r="Y10">
        <v>46.930251840469303</v>
      </c>
      <c r="Z10">
        <v>36.952784637224298</v>
      </c>
      <c r="AA10">
        <v>27.586559567610699</v>
      </c>
      <c r="AB10">
        <v>23.843453734008801</v>
      </c>
      <c r="AC10">
        <v>20.215585198349899</v>
      </c>
      <c r="AD10">
        <v>17.031719408237699</v>
      </c>
      <c r="AE10">
        <v>14.1928727493219</v>
      </c>
      <c r="AF10">
        <v>12.0405194920294</v>
      </c>
      <c r="AG10">
        <v>9.9776488394367</v>
      </c>
      <c r="AH10">
        <v>8.8441383818707209</v>
      </c>
      <c r="AI10">
        <v>7.6264548417738602</v>
      </c>
      <c r="AJ10">
        <v>6.7779652737811897</v>
      </c>
      <c r="AK10">
        <v>5.8150368114845099</v>
      </c>
      <c r="AL10">
        <v>5.0767665524380101</v>
      </c>
      <c r="AM10">
        <v>4.4425175570198903</v>
      </c>
      <c r="AN10">
        <v>3.9146745080329102</v>
      </c>
      <c r="AO10">
        <v>3.43473035452288</v>
      </c>
      <c r="AP10">
        <v>3.0999615877960398</v>
      </c>
      <c r="AQ10">
        <v>2.7152177589126798</v>
      </c>
    </row>
    <row r="11" spans="1:43" ht="12.5" customHeight="1" x14ac:dyDescent="0.15">
      <c r="A11" s="63" t="s">
        <v>244</v>
      </c>
      <c r="B11" t="s">
        <v>237</v>
      </c>
      <c r="C11">
        <v>221.78746307046302</v>
      </c>
      <c r="D11">
        <v>219.48117848393764</v>
      </c>
      <c r="E11">
        <v>217.17489389741226</v>
      </c>
      <c r="F11">
        <v>214.86860931088688</v>
      </c>
      <c r="G11">
        <v>212.5623247243615</v>
      </c>
      <c r="H11">
        <v>210.25604013783612</v>
      </c>
      <c r="I11">
        <v>198.27239179276123</v>
      </c>
      <c r="J11">
        <v>186.28874344768633</v>
      </c>
      <c r="K11" s="65">
        <v>174.30509510261146</v>
      </c>
      <c r="L11">
        <v>162.32144675753656</v>
      </c>
      <c r="M11">
        <v>150.33779841246167</v>
      </c>
      <c r="N11">
        <v>147.13312548786433</v>
      </c>
      <c r="O11">
        <v>143.92845256326703</v>
      </c>
      <c r="P11">
        <v>140.7237796386697</v>
      </c>
      <c r="Q11">
        <v>137.51910671407239</v>
      </c>
      <c r="R11">
        <v>134.31443378947506</v>
      </c>
      <c r="S11">
        <v>131.09462859952592</v>
      </c>
      <c r="T11">
        <v>127.87482340957679</v>
      </c>
      <c r="U11">
        <v>124.65501821962766</v>
      </c>
      <c r="V11">
        <v>121.43521302967852</v>
      </c>
      <c r="W11">
        <v>118.21540783972939</v>
      </c>
      <c r="X11">
        <v>112.80705098087475</v>
      </c>
      <c r="Y11">
        <v>107.3986941220201</v>
      </c>
      <c r="Z11">
        <v>101.99033726316546</v>
      </c>
      <c r="AA11">
        <v>96.581980404310798</v>
      </c>
      <c r="AB11">
        <v>91.173623545456152</v>
      </c>
      <c r="AC11">
        <v>85.740560474128117</v>
      </c>
      <c r="AD11">
        <v>80.307497402800081</v>
      </c>
      <c r="AE11">
        <v>74.874434331472045</v>
      </c>
      <c r="AF11">
        <v>69.44137126014401</v>
      </c>
      <c r="AG11">
        <v>64.008308188815974</v>
      </c>
      <c r="AH11">
        <v>59.550485485533969</v>
      </c>
      <c r="AI11">
        <v>55.092662782251956</v>
      </c>
      <c r="AJ11">
        <v>50.634840078969951</v>
      </c>
      <c r="AK11">
        <v>46.177017375687939</v>
      </c>
      <c r="AL11">
        <v>41.719194672405933</v>
      </c>
      <c r="AM11">
        <v>38.955824766841815</v>
      </c>
      <c r="AN11">
        <v>36.192454861277696</v>
      </c>
      <c r="AO11">
        <v>33.429084955713577</v>
      </c>
      <c r="AP11">
        <v>30.665715050149458</v>
      </c>
      <c r="AQ11">
        <v>27.90234514458534</v>
      </c>
    </row>
    <row r="12" spans="1:43" x14ac:dyDescent="0.15">
      <c r="A12" s="63" t="s">
        <v>244</v>
      </c>
      <c r="B12" t="s">
        <v>243</v>
      </c>
      <c r="K12" s="65">
        <f>+K10</f>
        <v>268.88118009632097</v>
      </c>
      <c r="R12">
        <v>132.65</v>
      </c>
      <c r="W12">
        <v>107.49326946410154</v>
      </c>
      <c r="AG12">
        <v>50.085527269979693</v>
      </c>
      <c r="AQ12">
        <v>27.90234514458534</v>
      </c>
    </row>
    <row r="14" spans="1:43" x14ac:dyDescent="0.15">
      <c r="B14" s="1" t="s">
        <v>240</v>
      </c>
      <c r="C14">
        <v>2025</v>
      </c>
      <c r="D14">
        <v>2030</v>
      </c>
      <c r="E14">
        <v>2035</v>
      </c>
      <c r="F14">
        <v>2040</v>
      </c>
    </row>
    <row r="15" spans="1:43" x14ac:dyDescent="0.15">
      <c r="A15" s="63" t="s">
        <v>244</v>
      </c>
      <c r="B15" t="s">
        <v>230</v>
      </c>
      <c r="C15" s="87">
        <f>1-R7/$K7</f>
        <v>0.24944124891722086</v>
      </c>
      <c r="D15" s="87">
        <f>1-W7/$K7</f>
        <v>0.71770649773126305</v>
      </c>
      <c r="E15" s="87">
        <f>1-AB7/$K7</f>
        <v>0.94491881898567576</v>
      </c>
      <c r="F15" s="87">
        <f>1-AG7/$K7</f>
        <v>0.97202088832169153</v>
      </c>
    </row>
    <row r="16" spans="1:43" x14ac:dyDescent="0.15">
      <c r="A16" s="63" t="s">
        <v>244</v>
      </c>
      <c r="B16" t="s">
        <v>231</v>
      </c>
      <c r="C16" s="87">
        <f>1-R8/$K8</f>
        <v>0.15093265629767838</v>
      </c>
      <c r="D16" s="87">
        <f>1-W8/$K8</f>
        <v>0.58323430600134629</v>
      </c>
      <c r="E16" s="87">
        <f>1-AB8/$K8</f>
        <v>0.86369808128392778</v>
      </c>
      <c r="F16" s="87">
        <f>1-AG8/$K8</f>
        <v>0.93001628239448941</v>
      </c>
    </row>
    <row r="17" spans="1:6" x14ac:dyDescent="0.15">
      <c r="A17" s="63" t="s">
        <v>244</v>
      </c>
      <c r="B17" t="s">
        <v>232</v>
      </c>
      <c r="C17" s="87">
        <f>1-R9/$K9</f>
        <v>0.17863189842995986</v>
      </c>
      <c r="D17" s="87">
        <f>1-W9/$K9</f>
        <v>0.52488656460005489</v>
      </c>
      <c r="E17" s="87">
        <f>1-AB9/$K9</f>
        <v>0.78741212555444817</v>
      </c>
      <c r="F17" s="87">
        <f>1-AG9/$K9</f>
        <v>0.95077457864035897</v>
      </c>
    </row>
    <row r="18" spans="1:6" x14ac:dyDescent="0.15">
      <c r="A18" s="63" t="s">
        <v>244</v>
      </c>
      <c r="B18" t="s">
        <v>233</v>
      </c>
      <c r="C18" s="89">
        <f>1-R10/$K10</f>
        <v>0.21386418540301844</v>
      </c>
      <c r="D18" s="87">
        <f>1-W10/$K10</f>
        <v>0.67224979134244256</v>
      </c>
      <c r="E18" s="87">
        <f>1-AB10/$K10</f>
        <v>0.91132345623644095</v>
      </c>
      <c r="F18" s="87">
        <f>1-AG10/$K10</f>
        <v>0.96289197765398671</v>
      </c>
    </row>
    <row r="19" spans="1:6" x14ac:dyDescent="0.15">
      <c r="A19" s="63" t="s">
        <v>244</v>
      </c>
      <c r="B19" t="s">
        <v>237</v>
      </c>
      <c r="C19" s="89">
        <f>1-R11/$K11</f>
        <v>0.22942910125257299</v>
      </c>
      <c r="D19" s="87">
        <f>1-W11/$K11</f>
        <v>0.32179029092559053</v>
      </c>
      <c r="E19" s="87">
        <f>1-AB11/$K11</f>
        <v>0.4769308178181294</v>
      </c>
      <c r="F19" s="87">
        <f>1-AG11/$K11</f>
        <v>0.63278005068563825</v>
      </c>
    </row>
    <row r="20" spans="1:6" x14ac:dyDescent="0.15">
      <c r="A20" s="63" t="s">
        <v>244</v>
      </c>
    </row>
    <row r="21" spans="1:6" x14ac:dyDescent="0.15">
      <c r="B21" s="1" t="s">
        <v>239</v>
      </c>
      <c r="C21">
        <v>2025</v>
      </c>
      <c r="D21">
        <v>2030</v>
      </c>
      <c r="E21">
        <v>2035</v>
      </c>
      <c r="F21">
        <v>2040</v>
      </c>
    </row>
    <row r="22" spans="1:6" x14ac:dyDescent="0.15">
      <c r="A22" s="63" t="s">
        <v>244</v>
      </c>
      <c r="B22" t="s">
        <v>230</v>
      </c>
      <c r="C22" s="87">
        <f>1-R7/$M7</f>
        <v>0.24454576069877265</v>
      </c>
      <c r="D22" s="87">
        <f>1-W7/$M7</f>
        <v>0.71586525011073032</v>
      </c>
      <c r="E22" s="87">
        <f>1-AB7/$M7</f>
        <v>0.94455955427478566</v>
      </c>
      <c r="F22" s="87">
        <f>1-AG7/$M7</f>
        <v>0.97183839573015729</v>
      </c>
    </row>
    <row r="23" spans="1:6" x14ac:dyDescent="0.15">
      <c r="A23" s="63" t="s">
        <v>244</v>
      </c>
      <c r="B23" t="s">
        <v>231</v>
      </c>
      <c r="C23" s="87">
        <f>1-R8/$M8</f>
        <v>0.12999495819452123</v>
      </c>
      <c r="D23" s="87">
        <f>1-W8/$M8</f>
        <v>0.572957012515241</v>
      </c>
      <c r="E23" s="87">
        <f>1-AB8/$M8</f>
        <v>0.86033692454397581</v>
      </c>
      <c r="F23" s="87">
        <f>1-AG8/$M8</f>
        <v>0.92829050885929321</v>
      </c>
    </row>
    <row r="24" spans="1:6" x14ac:dyDescent="0.15">
      <c r="A24" s="63" t="s">
        <v>244</v>
      </c>
      <c r="B24" t="s">
        <v>232</v>
      </c>
      <c r="C24" s="87">
        <f>1-R9/$M9</f>
        <v>0.15962897745389537</v>
      </c>
      <c r="D24" s="87">
        <f>1-W9/$M9</f>
        <v>0.51389448559149142</v>
      </c>
      <c r="E24" s="87">
        <f>1-AB9/$M9</f>
        <v>0.78249375756470485</v>
      </c>
      <c r="F24" s="87">
        <f>1-AG9/$M9</f>
        <v>0.94963571435974881</v>
      </c>
    </row>
    <row r="25" spans="1:6" x14ac:dyDescent="0.15">
      <c r="A25" s="63" t="s">
        <v>244</v>
      </c>
      <c r="B25" t="s">
        <v>233</v>
      </c>
      <c r="C25" s="87">
        <f>1-R10/$M10</f>
        <v>0.19911761454872956</v>
      </c>
      <c r="D25" s="87">
        <f>1-W10/$M10</f>
        <v>0.66610175485213907</v>
      </c>
      <c r="E25" s="87">
        <f>1-AB10/$M10</f>
        <v>0.90966003509286519</v>
      </c>
      <c r="F25" s="87">
        <f>1-AG10/$M10</f>
        <v>0.96219589426657792</v>
      </c>
    </row>
    <row r="26" spans="1:6" x14ac:dyDescent="0.15">
      <c r="A26" s="63" t="s">
        <v>244</v>
      </c>
      <c r="B26" t="s">
        <v>237</v>
      </c>
      <c r="C26" s="87">
        <f>1-R11/$M11</f>
        <v>0.10658240836429866</v>
      </c>
      <c r="D26" s="87">
        <f>1-W11/$M11</f>
        <v>0.21366809220261673</v>
      </c>
      <c r="E26" s="87">
        <f>1-AB11/$M11</f>
        <v>0.3935415809714381</v>
      </c>
      <c r="F26" s="87">
        <f>1-AG11/$M11</f>
        <v>0.57423675971890342</v>
      </c>
    </row>
    <row r="27" spans="1:6" x14ac:dyDescent="0.15">
      <c r="A27" s="63" t="s">
        <v>244</v>
      </c>
    </row>
    <row r="28" spans="1:6" x14ac:dyDescent="0.15">
      <c r="B28" s="1" t="s">
        <v>241</v>
      </c>
      <c r="C28">
        <v>2025</v>
      </c>
      <c r="D28">
        <v>2030</v>
      </c>
      <c r="E28">
        <v>2035</v>
      </c>
      <c r="F28">
        <v>2040</v>
      </c>
    </row>
    <row r="29" spans="1:6" x14ac:dyDescent="0.15">
      <c r="A29" s="63" t="s">
        <v>244</v>
      </c>
      <c r="B29" t="s">
        <v>230</v>
      </c>
      <c r="C29" s="87">
        <f>1-R7/$O7</f>
        <v>0.20987417881783665</v>
      </c>
      <c r="D29" s="87">
        <f>1-W7/$O7</f>
        <v>0.70282488216585359</v>
      </c>
      <c r="E29" s="87">
        <f>1-AB7/$O7</f>
        <v>0.9420151143160459</v>
      </c>
      <c r="F29" s="87">
        <f>1-AG7/$O7</f>
        <v>0.97054591854551209</v>
      </c>
    </row>
    <row r="30" spans="1:6" x14ac:dyDescent="0.15">
      <c r="A30" s="63" t="s">
        <v>244</v>
      </c>
      <c r="B30" t="s">
        <v>231</v>
      </c>
      <c r="C30" s="87">
        <f>1-R8/$O8</f>
        <v>9.8121774105410897E-2</v>
      </c>
      <c r="D30" s="87">
        <f>1-W8/$O8</f>
        <v>0.55731202300366456</v>
      </c>
      <c r="E30" s="87">
        <f>1-AB8/$O8</f>
        <v>0.85522027958152458</v>
      </c>
      <c r="F30" s="87">
        <f>1-AG8/$O8</f>
        <v>0.9256633863689212</v>
      </c>
    </row>
    <row r="31" spans="1:6" x14ac:dyDescent="0.15">
      <c r="A31" s="63" t="s">
        <v>244</v>
      </c>
      <c r="B31" t="s">
        <v>232</v>
      </c>
      <c r="C31" s="87">
        <f>1-R9/$O9</f>
        <v>0.14745171793831457</v>
      </c>
      <c r="D31" s="87">
        <f>1-W9/$O9</f>
        <v>0.50685065275802099</v>
      </c>
      <c r="E31" s="87">
        <f>1-AB9/$O9</f>
        <v>0.77934201876204034</v>
      </c>
      <c r="F31" s="87">
        <f>1-AG9/$O9</f>
        <v>0.94890591887643949</v>
      </c>
    </row>
    <row r="32" spans="1:6" x14ac:dyDescent="0.15">
      <c r="A32" s="63" t="s">
        <v>244</v>
      </c>
      <c r="B32" t="s">
        <v>233</v>
      </c>
      <c r="C32" s="87">
        <f>1-R10/$O10</f>
        <v>0.19000061762603659</v>
      </c>
      <c r="D32" s="87">
        <f>1-W10/$O10</f>
        <v>0.66230076068769583</v>
      </c>
      <c r="E32" s="87">
        <f>1-AB10/$O10</f>
        <v>0.90863163292418669</v>
      </c>
      <c r="F32" s="87">
        <f>1-AG10/$O10</f>
        <v>0.96176554404050507</v>
      </c>
    </row>
    <row r="33" spans="1:43" x14ac:dyDescent="0.15">
      <c r="A33" s="63" t="s">
        <v>244</v>
      </c>
      <c r="B33" t="s">
        <v>237</v>
      </c>
      <c r="C33" s="87">
        <f>1-R11/$O11</f>
        <v>6.6797207936116099E-2</v>
      </c>
      <c r="D33" s="87">
        <f>1-W11/$O11</f>
        <v>0.17865157490132033</v>
      </c>
      <c r="E33" s="87">
        <f>1-AB11/$O11</f>
        <v>0.36653509489113201</v>
      </c>
      <c r="F33" s="87">
        <f>1-AG11/$O11</f>
        <v>0.55527689592382945</v>
      </c>
    </row>
    <row r="34" spans="1:43" x14ac:dyDescent="0.15">
      <c r="A34" s="63" t="s">
        <v>244</v>
      </c>
    </row>
    <row r="35" spans="1:43" x14ac:dyDescent="0.15">
      <c r="A35" s="63"/>
    </row>
    <row r="36" spans="1:43" x14ac:dyDescent="0.15">
      <c r="A36" s="63"/>
    </row>
    <row r="37" spans="1:43" x14ac:dyDescent="0.15">
      <c r="A37" s="63"/>
    </row>
    <row r="38" spans="1:43" x14ac:dyDescent="0.15">
      <c r="A38" s="63"/>
    </row>
    <row r="39" spans="1:43" ht="15" x14ac:dyDescent="0.2">
      <c r="B39" s="1" t="s">
        <v>238</v>
      </c>
      <c r="C39" s="86">
        <v>2010</v>
      </c>
      <c r="D39" s="86">
        <v>2011</v>
      </c>
      <c r="E39" s="86">
        <v>2012</v>
      </c>
      <c r="F39" s="86">
        <v>2013</v>
      </c>
      <c r="G39" s="86">
        <v>2014</v>
      </c>
      <c r="H39" s="86">
        <v>2015</v>
      </c>
      <c r="I39" s="86">
        <v>2016</v>
      </c>
      <c r="J39" s="86">
        <v>2017</v>
      </c>
      <c r="K39" s="86">
        <v>2018</v>
      </c>
      <c r="L39" s="86">
        <v>2019</v>
      </c>
      <c r="M39" s="86">
        <v>2020</v>
      </c>
      <c r="N39" s="86">
        <v>2021</v>
      </c>
      <c r="O39" s="86">
        <v>2022</v>
      </c>
      <c r="P39" s="86">
        <v>2023</v>
      </c>
      <c r="Q39" s="86">
        <v>2024</v>
      </c>
      <c r="R39" s="86">
        <v>2025</v>
      </c>
      <c r="S39" s="86">
        <v>2026</v>
      </c>
      <c r="T39" s="86">
        <v>2027</v>
      </c>
      <c r="U39" s="86">
        <v>2028</v>
      </c>
      <c r="V39" s="86">
        <v>2029</v>
      </c>
      <c r="W39" s="86">
        <v>2030</v>
      </c>
      <c r="X39" s="86">
        <v>2031</v>
      </c>
      <c r="Y39" s="86">
        <v>2032</v>
      </c>
      <c r="Z39" s="86">
        <v>2033</v>
      </c>
      <c r="AA39" s="86">
        <v>2034</v>
      </c>
      <c r="AB39" s="86">
        <v>2035</v>
      </c>
      <c r="AC39" s="86">
        <v>2036</v>
      </c>
      <c r="AD39" s="86">
        <v>2037</v>
      </c>
      <c r="AE39" s="86">
        <v>2038</v>
      </c>
      <c r="AF39" s="86">
        <v>2039</v>
      </c>
      <c r="AG39" s="86">
        <v>2040</v>
      </c>
      <c r="AH39" s="86">
        <v>2041</v>
      </c>
      <c r="AI39" s="86">
        <v>2042</v>
      </c>
      <c r="AJ39" s="86">
        <v>2043</v>
      </c>
      <c r="AK39" s="86">
        <v>2044</v>
      </c>
      <c r="AL39" s="86">
        <v>2045</v>
      </c>
      <c r="AM39" s="86">
        <v>2046</v>
      </c>
      <c r="AN39" s="86">
        <v>2047</v>
      </c>
      <c r="AO39" s="86">
        <v>2048</v>
      </c>
      <c r="AP39" s="86">
        <v>2049</v>
      </c>
      <c r="AQ39" s="86">
        <v>2050</v>
      </c>
    </row>
    <row r="40" spans="1:43" x14ac:dyDescent="0.15">
      <c r="A40" s="63" t="s">
        <v>245</v>
      </c>
      <c r="B40" t="s">
        <v>230</v>
      </c>
      <c r="C40">
        <v>261.07568290944147</v>
      </c>
      <c r="D40">
        <v>260.16535182239909</v>
      </c>
      <c r="E40">
        <v>255.29151448592049</v>
      </c>
      <c r="F40">
        <v>255.01145752690707</v>
      </c>
      <c r="G40">
        <v>249.53040535484061</v>
      </c>
      <c r="H40">
        <v>248.86306937555864</v>
      </c>
      <c r="I40">
        <v>248.60716092272358</v>
      </c>
      <c r="J40">
        <v>250.01979433186656</v>
      </c>
      <c r="K40">
        <v>238.73058348078573</v>
      </c>
      <c r="L40">
        <v>235.93468477095647</v>
      </c>
      <c r="M40">
        <v>232.14998753297175</v>
      </c>
      <c r="N40">
        <v>215.62348128573672</v>
      </c>
      <c r="O40">
        <v>221.29898819996367</v>
      </c>
      <c r="P40">
        <v>217.33601871485342</v>
      </c>
      <c r="Q40">
        <v>213.76394176787156</v>
      </c>
      <c r="R40">
        <v>167.57476675842426</v>
      </c>
      <c r="S40">
        <v>139.95352338331097</v>
      </c>
      <c r="T40">
        <v>111.02840578537005</v>
      </c>
      <c r="U40">
        <v>82.219394440830385</v>
      </c>
      <c r="V40">
        <v>51.733234900405726</v>
      </c>
      <c r="W40">
        <v>26.611125851299789</v>
      </c>
      <c r="X40">
        <v>22.932413319214955</v>
      </c>
      <c r="Y40">
        <v>19.80485717711872</v>
      </c>
      <c r="Z40">
        <v>17.32107126833402</v>
      </c>
      <c r="AA40">
        <v>15.114270809549843</v>
      </c>
      <c r="AB40">
        <v>13.329420126049902</v>
      </c>
      <c r="AC40">
        <v>11.463697186043525</v>
      </c>
      <c r="AD40">
        <v>10.049531523435171</v>
      </c>
      <c r="AE40">
        <v>8.7171681124704374</v>
      </c>
      <c r="AF40">
        <v>7.6520309782847624</v>
      </c>
      <c r="AG40">
        <v>6.6407650236304141</v>
      </c>
      <c r="AH40">
        <v>5.7922618019932797</v>
      </c>
      <c r="AI40">
        <v>5.0072695241543856</v>
      </c>
      <c r="AJ40">
        <v>4.4248765424397396</v>
      </c>
      <c r="AK40">
        <v>3.7581542388609939</v>
      </c>
      <c r="AL40">
        <v>3.2710660179735922</v>
      </c>
      <c r="AM40">
        <v>2.8481980576211545</v>
      </c>
      <c r="AN40">
        <v>2.52657474622404</v>
      </c>
      <c r="AO40">
        <v>2.1706066839001892</v>
      </c>
      <c r="AP40">
        <v>1.9601356445024503</v>
      </c>
      <c r="AQ40">
        <v>1.7106363774012181</v>
      </c>
    </row>
    <row r="41" spans="1:43" x14ac:dyDescent="0.15">
      <c r="A41" s="63" t="s">
        <v>245</v>
      </c>
      <c r="B41" t="s">
        <v>231</v>
      </c>
      <c r="C41">
        <v>293.71955438792793</v>
      </c>
      <c r="D41">
        <v>294.83566821060805</v>
      </c>
      <c r="E41">
        <v>292.06312863055479</v>
      </c>
      <c r="F41">
        <v>289.54827607166635</v>
      </c>
      <c r="G41">
        <v>281.88938367211824</v>
      </c>
      <c r="H41">
        <v>278.37391203574856</v>
      </c>
      <c r="I41">
        <v>271.14128773720796</v>
      </c>
      <c r="J41">
        <v>271.25559556742309</v>
      </c>
      <c r="K41">
        <v>214.22772364899902</v>
      </c>
      <c r="L41">
        <v>212.53408294502432</v>
      </c>
      <c r="M41">
        <v>210.17615130194369</v>
      </c>
      <c r="N41">
        <v>203.03322245702532</v>
      </c>
      <c r="O41">
        <v>194.85004787076807</v>
      </c>
      <c r="P41">
        <v>190.3109528872333</v>
      </c>
      <c r="Q41">
        <v>186.62379567727038</v>
      </c>
      <c r="R41">
        <v>149.55110183000923</v>
      </c>
      <c r="S41">
        <v>127.96232736706588</v>
      </c>
      <c r="T41">
        <v>106.63769366024253</v>
      </c>
      <c r="U41">
        <v>85.812407706535538</v>
      </c>
      <c r="V41">
        <v>61.945519137955387</v>
      </c>
      <c r="W41">
        <v>46.045015011859583</v>
      </c>
      <c r="X41">
        <v>40.308840368800716</v>
      </c>
      <c r="Y41">
        <v>35.498845040514183</v>
      </c>
      <c r="Z41">
        <v>30.988150258156637</v>
      </c>
      <c r="AA41">
        <v>26.884286666295292</v>
      </c>
      <c r="AB41">
        <v>23.463634486326349</v>
      </c>
      <c r="AC41">
        <v>20.780657464446534</v>
      </c>
      <c r="AD41">
        <v>17.897789671425908</v>
      </c>
      <c r="AE41">
        <v>15.614261444403988</v>
      </c>
      <c r="AF41">
        <v>13.811327030473045</v>
      </c>
      <c r="AG41">
        <v>11.854606259823051</v>
      </c>
      <c r="AH41">
        <v>10.37174482464239</v>
      </c>
      <c r="AI41">
        <v>9.0222038857372553</v>
      </c>
      <c r="AJ41">
        <v>8.0295090438199868</v>
      </c>
      <c r="AK41">
        <v>7.1280415259743481</v>
      </c>
      <c r="AL41">
        <v>6.0395214968934781</v>
      </c>
      <c r="AM41">
        <v>5.2594370854456347</v>
      </c>
      <c r="AN41">
        <v>4.5793892826303013</v>
      </c>
      <c r="AO41">
        <v>4.1283364742711628</v>
      </c>
      <c r="AP41">
        <v>3.5269774211968357</v>
      </c>
      <c r="AQ41">
        <v>3.1727920363531217</v>
      </c>
    </row>
    <row r="42" spans="1:43" x14ac:dyDescent="0.15">
      <c r="A42" s="63" t="s">
        <v>245</v>
      </c>
      <c r="B42" t="s">
        <v>232</v>
      </c>
      <c r="C42">
        <v>252.73450695128761</v>
      </c>
      <c r="D42">
        <v>251.69086304076723</v>
      </c>
      <c r="E42">
        <v>245.76427911319212</v>
      </c>
      <c r="F42">
        <v>244.90293756987035</v>
      </c>
      <c r="G42">
        <v>239.36650355882313</v>
      </c>
      <c r="H42">
        <v>235.17833508921669</v>
      </c>
      <c r="I42">
        <v>234.82070741551826</v>
      </c>
      <c r="J42">
        <v>235.57599160885013</v>
      </c>
      <c r="K42">
        <v>221.02018631403854</v>
      </c>
      <c r="L42">
        <v>218.93391462698133</v>
      </c>
      <c r="M42">
        <v>218.26333454110687</v>
      </c>
      <c r="N42">
        <v>215.61336612318459</v>
      </c>
      <c r="O42">
        <v>213.23000775040833</v>
      </c>
      <c r="P42">
        <v>210.203956990872</v>
      </c>
      <c r="Q42">
        <v>207.38618626028517</v>
      </c>
      <c r="R42">
        <v>195.1809162571368</v>
      </c>
      <c r="S42">
        <v>157.03711685851232</v>
      </c>
      <c r="T42">
        <v>115.83463262565672</v>
      </c>
      <c r="U42">
        <v>101.83691693330015</v>
      </c>
      <c r="V42">
        <v>78.800532160540499</v>
      </c>
      <c r="W42">
        <v>67.848368750270694</v>
      </c>
      <c r="X42">
        <v>58.880284012317894</v>
      </c>
      <c r="Y42">
        <v>50.287956710449627</v>
      </c>
      <c r="Z42">
        <v>42.057888741878962</v>
      </c>
      <c r="AA42">
        <v>34.577979006762035</v>
      </c>
      <c r="AB42">
        <v>27.427407321985086</v>
      </c>
      <c r="AC42">
        <v>22.616663957258716</v>
      </c>
      <c r="AD42">
        <v>18.837569626435123</v>
      </c>
      <c r="AE42">
        <v>15.696390510334382</v>
      </c>
      <c r="AF42">
        <v>12.612894627340445</v>
      </c>
      <c r="AG42">
        <v>9.9118266988721437</v>
      </c>
      <c r="AH42">
        <v>8.7016901155233306</v>
      </c>
      <c r="AI42">
        <v>7.6549186930992263</v>
      </c>
      <c r="AJ42">
        <v>6.6272961585664136</v>
      </c>
      <c r="AK42">
        <v>5.7953138019731743</v>
      </c>
      <c r="AL42">
        <v>5.0508299471343259</v>
      </c>
      <c r="AM42">
        <v>4.4141092121304517</v>
      </c>
      <c r="AN42">
        <v>3.9473028461140531</v>
      </c>
      <c r="AO42">
        <v>3.3978577231240257</v>
      </c>
      <c r="AP42">
        <v>2.951253871186494</v>
      </c>
      <c r="AQ42">
        <v>2.5533341274394914</v>
      </c>
    </row>
    <row r="43" spans="1:43" ht="12.5" customHeight="1" x14ac:dyDescent="0.15">
      <c r="A43" s="63" t="s">
        <v>245</v>
      </c>
      <c r="B43" t="s">
        <v>233</v>
      </c>
      <c r="C43">
        <v>259.74790695366477</v>
      </c>
      <c r="D43">
        <v>258.82136630227137</v>
      </c>
      <c r="E43">
        <v>253.86853870043194</v>
      </c>
      <c r="F43">
        <v>253.59047329551967</v>
      </c>
      <c r="G43">
        <v>248.36349713709598</v>
      </c>
      <c r="H43">
        <v>246.93677743301953</v>
      </c>
      <c r="I43">
        <v>246.57152082435294</v>
      </c>
      <c r="J43">
        <v>247.62308103714534</v>
      </c>
      <c r="K43">
        <v>230.95187602497427</v>
      </c>
      <c r="L43">
        <v>228.63422094779008</v>
      </c>
      <c r="M43">
        <v>225.13916747786843</v>
      </c>
      <c r="N43">
        <v>215.48285417590279</v>
      </c>
      <c r="O43">
        <v>218.08195888401897</v>
      </c>
      <c r="P43">
        <v>214.03032596882377</v>
      </c>
      <c r="Q43">
        <v>210.72249561820811</v>
      </c>
      <c r="R43">
        <v>174.49509079914841</v>
      </c>
      <c r="S43">
        <v>144.8387244832758</v>
      </c>
      <c r="T43">
        <v>111.49549562754237</v>
      </c>
      <c r="U43">
        <v>89.032962329441517</v>
      </c>
      <c r="V43">
        <v>62.400787240603606</v>
      </c>
      <c r="W43">
        <v>44.292462574498913</v>
      </c>
      <c r="X43">
        <v>36.987670858359515</v>
      </c>
      <c r="Y43">
        <v>31.850870447567068</v>
      </c>
      <c r="Z43">
        <v>27.255977956538317</v>
      </c>
      <c r="AA43">
        <v>23.14593943414647</v>
      </c>
      <c r="AB43">
        <v>19.356402562217351</v>
      </c>
      <c r="AC43">
        <v>16.21429459126939</v>
      </c>
      <c r="AD43">
        <v>13.866266740945347</v>
      </c>
      <c r="AE43">
        <v>11.810656179365555</v>
      </c>
      <c r="AF43">
        <v>9.9552991373072768</v>
      </c>
      <c r="AG43">
        <v>8.2498690456876496</v>
      </c>
      <c r="AH43">
        <v>7.4333997752360972</v>
      </c>
      <c r="AI43">
        <v>6.5053804296953111</v>
      </c>
      <c r="AJ43">
        <v>5.7066171882095302</v>
      </c>
      <c r="AK43">
        <v>4.9581165976632624</v>
      </c>
      <c r="AL43">
        <v>4.3042218062738167</v>
      </c>
      <c r="AM43">
        <v>3.7772529538631692</v>
      </c>
      <c r="AN43">
        <v>3.362402637421019</v>
      </c>
      <c r="AO43">
        <v>2.9127943525782931</v>
      </c>
      <c r="AP43">
        <v>2.5591031015974415</v>
      </c>
      <c r="AQ43">
        <v>2.2344028108858289</v>
      </c>
    </row>
    <row r="44" spans="1:43" ht="12.5" customHeight="1" x14ac:dyDescent="0.15">
      <c r="A44" s="63" t="s">
        <v>245</v>
      </c>
      <c r="B44" t="s">
        <v>237</v>
      </c>
      <c r="C44">
        <v>221.78746307046302</v>
      </c>
      <c r="D44">
        <v>219.48117848393764</v>
      </c>
      <c r="E44">
        <v>217.17489389741226</v>
      </c>
      <c r="F44">
        <v>214.86860931088688</v>
      </c>
      <c r="G44">
        <v>212.5623247243615</v>
      </c>
      <c r="H44">
        <v>210.25604013783612</v>
      </c>
      <c r="I44">
        <v>198.27239179276123</v>
      </c>
      <c r="J44">
        <v>186.28874344768633</v>
      </c>
      <c r="K44">
        <v>174.30509510261146</v>
      </c>
      <c r="L44">
        <v>162.32144675753656</v>
      </c>
      <c r="M44">
        <v>150.33779841246167</v>
      </c>
      <c r="N44">
        <v>147.13312548786433</v>
      </c>
      <c r="O44">
        <v>143.92845256326703</v>
      </c>
      <c r="P44">
        <v>140.7237796386697</v>
      </c>
      <c r="Q44">
        <v>137.51910671407239</v>
      </c>
      <c r="R44">
        <v>134.31443378947506</v>
      </c>
      <c r="S44">
        <v>131.09462859952592</v>
      </c>
      <c r="T44">
        <v>127.87482340957679</v>
      </c>
      <c r="U44">
        <v>124.65501821962766</v>
      </c>
      <c r="V44">
        <v>121.43521302967852</v>
      </c>
      <c r="W44">
        <v>118.21540783972939</v>
      </c>
      <c r="X44">
        <v>112.80705098087475</v>
      </c>
      <c r="Y44">
        <v>107.3986941220201</v>
      </c>
      <c r="Z44">
        <v>101.99033726316546</v>
      </c>
      <c r="AA44">
        <v>96.581980404310798</v>
      </c>
      <c r="AB44">
        <v>91.173623545456152</v>
      </c>
      <c r="AC44">
        <v>85.740560474128117</v>
      </c>
      <c r="AD44">
        <v>80.307497402800081</v>
      </c>
      <c r="AE44">
        <v>74.874434331472045</v>
      </c>
      <c r="AF44">
        <v>69.44137126014401</v>
      </c>
      <c r="AG44">
        <v>64.008308188815974</v>
      </c>
      <c r="AH44">
        <v>59.550485485533969</v>
      </c>
      <c r="AI44">
        <v>55.092662782251956</v>
      </c>
      <c r="AJ44">
        <v>50.634840078969951</v>
      </c>
      <c r="AK44">
        <v>46.177017375687939</v>
      </c>
      <c r="AL44">
        <v>41.719194672405933</v>
      </c>
      <c r="AM44">
        <v>38.955824766841815</v>
      </c>
      <c r="AN44">
        <v>36.192454861277696</v>
      </c>
      <c r="AO44">
        <v>33.429084955713577</v>
      </c>
      <c r="AP44">
        <v>30.665715050149458</v>
      </c>
      <c r="AQ44">
        <v>27.90234514458534</v>
      </c>
    </row>
    <row r="45" spans="1:43" x14ac:dyDescent="0.15">
      <c r="A45" s="63" t="s">
        <v>245</v>
      </c>
      <c r="B45" t="s">
        <v>246</v>
      </c>
      <c r="I45">
        <f t="shared" ref="I45" si="0">+I43</f>
        <v>246.57152082435294</v>
      </c>
      <c r="R45">
        <v>123.3</v>
      </c>
      <c r="W45">
        <v>100.4</v>
      </c>
      <c r="AG45">
        <v>48</v>
      </c>
      <c r="AQ45">
        <v>27.90234514458534</v>
      </c>
    </row>
    <row r="47" spans="1:43" x14ac:dyDescent="0.15">
      <c r="B47" s="1" t="s">
        <v>247</v>
      </c>
      <c r="C47">
        <v>2025</v>
      </c>
      <c r="D47">
        <v>2030</v>
      </c>
      <c r="E47">
        <v>2035</v>
      </c>
      <c r="F47">
        <v>2040</v>
      </c>
    </row>
    <row r="48" spans="1:43" x14ac:dyDescent="0.15">
      <c r="A48" s="63" t="s">
        <v>245</v>
      </c>
      <c r="B48" t="s">
        <v>230</v>
      </c>
      <c r="C48" s="87">
        <f>1-R40/$K40</f>
        <v>0.29805907431248102</v>
      </c>
      <c r="D48" s="87">
        <f>1-W40/$K40</f>
        <v>0.88853072168928204</v>
      </c>
      <c r="E48" s="87">
        <f>1-AB40/$K40</f>
        <v>0.94416542727076813</v>
      </c>
      <c r="F48" s="87">
        <f>1-AG40/$K40</f>
        <v>0.97218301515119909</v>
      </c>
    </row>
    <row r="49" spans="1:6" x14ac:dyDescent="0.15">
      <c r="A49" s="63" t="s">
        <v>245</v>
      </c>
      <c r="B49" t="s">
        <v>231</v>
      </c>
      <c r="C49" s="87">
        <f>1-R41/$K41</f>
        <v>0.30190593783724773</v>
      </c>
      <c r="D49" s="87">
        <f>1-W41/$K41</f>
        <v>0.78506509695588256</v>
      </c>
      <c r="E49" s="87">
        <f>1-AB41/$K41</f>
        <v>0.89047339864951236</v>
      </c>
      <c r="F49" s="87">
        <f>1-AG41/$K41</f>
        <v>0.94466352880056648</v>
      </c>
    </row>
    <row r="50" spans="1:6" x14ac:dyDescent="0.15">
      <c r="A50" s="63" t="s">
        <v>245</v>
      </c>
      <c r="B50" t="s">
        <v>232</v>
      </c>
      <c r="C50" s="87">
        <f>1-R42/$K42</f>
        <v>0.11690909544428574</v>
      </c>
      <c r="D50" s="87">
        <f>1-W42/$K42</f>
        <v>0.69302184618617724</v>
      </c>
      <c r="E50" s="87">
        <f>1-AB42/$K42</f>
        <v>0.87590541941262046</v>
      </c>
      <c r="F50" s="87">
        <f>1-AG42/$K42</f>
        <v>0.95515420168550202</v>
      </c>
    </row>
    <row r="51" spans="1:6" x14ac:dyDescent="0.15">
      <c r="A51" s="63" t="s">
        <v>245</v>
      </c>
      <c r="B51" t="s">
        <v>233</v>
      </c>
      <c r="C51" s="91">
        <f>1-R43/$I43</f>
        <v>0.29231449676034849</v>
      </c>
      <c r="D51" s="87">
        <f>1-W43/$K43</f>
        <v>0.80821778399535804</v>
      </c>
      <c r="E51" s="87">
        <f>1-AB43/$K43</f>
        <v>0.91618858917550328</v>
      </c>
      <c r="F51" s="87">
        <f>1-AG43/$K43</f>
        <v>0.96427883943754789</v>
      </c>
    </row>
    <row r="52" spans="1:6" x14ac:dyDescent="0.15">
      <c r="A52" s="63" t="s">
        <v>245</v>
      </c>
      <c r="B52" t="s">
        <v>237</v>
      </c>
      <c r="C52" s="91">
        <f>1-R44/$I44</f>
        <v>0.32257621661283264</v>
      </c>
      <c r="D52" s="87">
        <f>1-W44/$K44</f>
        <v>0.32179029092559053</v>
      </c>
      <c r="E52" s="87">
        <f>1-AB44/$K44</f>
        <v>0.4769308178181294</v>
      </c>
      <c r="F52" s="87">
        <f>1-AG44/$K44</f>
        <v>0.63278005068563825</v>
      </c>
    </row>
    <row r="53" spans="1:6" x14ac:dyDescent="0.15">
      <c r="A53" s="63"/>
    </row>
    <row r="54" spans="1:6" x14ac:dyDescent="0.15">
      <c r="B54" s="1" t="s">
        <v>239</v>
      </c>
      <c r="C54">
        <v>2025</v>
      </c>
      <c r="D54">
        <v>2030</v>
      </c>
      <c r="E54">
        <v>2035</v>
      </c>
      <c r="F54">
        <v>2040</v>
      </c>
    </row>
    <row r="55" spans="1:6" x14ac:dyDescent="0.15">
      <c r="A55" s="63" t="s">
        <v>245</v>
      </c>
      <c r="B55" t="s">
        <v>230</v>
      </c>
      <c r="C55" s="87">
        <f>1-R40/$M40</f>
        <v>0.278161637916849</v>
      </c>
      <c r="D55" s="87">
        <f>1-W40/$M40</f>
        <v>0.88537097876208037</v>
      </c>
      <c r="E55" s="87">
        <f>1-AB40/$M40</f>
        <v>0.94258272305891566</v>
      </c>
      <c r="F55" s="87">
        <f>1-AG40/$M40</f>
        <v>0.97139450622332146</v>
      </c>
    </row>
    <row r="56" spans="1:6" x14ac:dyDescent="0.15">
      <c r="A56" s="63" t="s">
        <v>245</v>
      </c>
      <c r="B56" t="s">
        <v>231</v>
      </c>
      <c r="C56" s="87">
        <f>1-R41/$M41</f>
        <v>0.28844875641879641</v>
      </c>
      <c r="D56" s="87">
        <f>1-W41/$M41</f>
        <v>0.78092179000028272</v>
      </c>
      <c r="E56" s="87">
        <f>1-AB41/$M41</f>
        <v>0.88836205087503972</v>
      </c>
      <c r="F56" s="87">
        <f>1-AG41/$M41</f>
        <v>0.94359680588692263</v>
      </c>
    </row>
    <row r="57" spans="1:6" x14ac:dyDescent="0.15">
      <c r="A57" s="63" t="s">
        <v>245</v>
      </c>
      <c r="B57" t="s">
        <v>232</v>
      </c>
      <c r="C57" s="87">
        <f>1-R42/$M42</f>
        <v>0.1057549053417528</v>
      </c>
      <c r="D57" s="87">
        <f>1-W42/$M42</f>
        <v>0.68914445070254171</v>
      </c>
      <c r="E57" s="87">
        <f>1-AB42/$M42</f>
        <v>0.87433799918960042</v>
      </c>
      <c r="F57" s="87">
        <f>1-AG42/$M42</f>
        <v>0.95458776106526777</v>
      </c>
    </row>
    <row r="58" spans="1:6" x14ac:dyDescent="0.15">
      <c r="A58" s="63" t="s">
        <v>245</v>
      </c>
      <c r="B58" t="s">
        <v>233</v>
      </c>
      <c r="C58" s="87">
        <f>1-R43/$M43</f>
        <v>0.22494565137671307</v>
      </c>
      <c r="D58" s="87">
        <f>1-W43/$M43</f>
        <v>0.80326629492910007</v>
      </c>
      <c r="E58" s="87">
        <f>1-AB43/$M43</f>
        <v>0.91402472177960714</v>
      </c>
      <c r="F58" s="87">
        <f>1-AG43/$M43</f>
        <v>0.96335658011838998</v>
      </c>
    </row>
    <row r="59" spans="1:6" x14ac:dyDescent="0.15">
      <c r="A59" s="63" t="s">
        <v>245</v>
      </c>
      <c r="B59" t="s">
        <v>237</v>
      </c>
      <c r="C59" s="87">
        <f>1-R44/$M44</f>
        <v>0.10658240836429866</v>
      </c>
      <c r="D59" s="87">
        <f>1-W44/$M44</f>
        <v>0.21366809220261673</v>
      </c>
      <c r="E59" s="87">
        <f>1-AB44/$M44</f>
        <v>0.3935415809714381</v>
      </c>
      <c r="F59" s="87">
        <f>1-AG44/$M44</f>
        <v>0.57423675971890342</v>
      </c>
    </row>
    <row r="60" spans="1:6" x14ac:dyDescent="0.15">
      <c r="A60" s="63"/>
    </row>
    <row r="61" spans="1:6" x14ac:dyDescent="0.15">
      <c r="B61" s="1" t="s">
        <v>241</v>
      </c>
      <c r="C61">
        <v>2025</v>
      </c>
      <c r="D61">
        <v>2030</v>
      </c>
      <c r="E61">
        <v>2035</v>
      </c>
      <c r="F61">
        <v>2040</v>
      </c>
    </row>
    <row r="62" spans="1:6" x14ac:dyDescent="0.15">
      <c r="A62" s="63" t="s">
        <v>245</v>
      </c>
      <c r="B62" t="s">
        <v>230</v>
      </c>
      <c r="C62" s="87">
        <f>1-R40/$O40</f>
        <v>0.24276758731944459</v>
      </c>
      <c r="D62" s="87">
        <f>1-W40/$O40</f>
        <v>0.87975035011342106</v>
      </c>
      <c r="E62" s="87">
        <f>1-AB40/$O40</f>
        <v>0.93976736977213127</v>
      </c>
      <c r="F62" s="87">
        <f>1-AG40/$O40</f>
        <v>0.96999188709516426</v>
      </c>
    </row>
    <row r="63" spans="1:6" x14ac:dyDescent="0.15">
      <c r="A63" s="63" t="s">
        <v>245</v>
      </c>
      <c r="B63" t="s">
        <v>231</v>
      </c>
      <c r="C63" s="87">
        <f>1-R41/$O41</f>
        <v>0.23248106190254991</v>
      </c>
      <c r="D63" s="87">
        <f>1-W41/$O41</f>
        <v>0.7636899989760414</v>
      </c>
      <c r="E63" s="87">
        <f>1-AB41/$O41</f>
        <v>0.87958106891568066</v>
      </c>
      <c r="F63" s="87">
        <f>1-AG41/$O41</f>
        <v>0.93916036260003655</v>
      </c>
    </row>
    <row r="64" spans="1:6" x14ac:dyDescent="0.15">
      <c r="A64" s="63" t="s">
        <v>245</v>
      </c>
      <c r="B64" t="s">
        <v>232</v>
      </c>
      <c r="C64" s="87">
        <f>1-R42/$O42</f>
        <v>8.4646113760866615E-2</v>
      </c>
      <c r="D64" s="87">
        <f>1-W42/$O42</f>
        <v>0.6818066581431208</v>
      </c>
      <c r="E64" s="87">
        <f>1-AB42/$O42</f>
        <v>0.87137172853227285</v>
      </c>
      <c r="F64" s="87">
        <f>1-AG42/$O42</f>
        <v>0.95351579825258825</v>
      </c>
    </row>
    <row r="65" spans="1:6" x14ac:dyDescent="0.15">
      <c r="A65" s="63" t="s">
        <v>245</v>
      </c>
      <c r="B65" t="s">
        <v>233</v>
      </c>
      <c r="C65" s="87">
        <f>1-R43/$O43</f>
        <v>0.19986462111728853</v>
      </c>
      <c r="D65" s="87">
        <f>1-W43/$O43</f>
        <v>0.79689992330794013</v>
      </c>
      <c r="E65" s="87">
        <f>1-AB43/$O43</f>
        <v>0.91124253165521352</v>
      </c>
      <c r="F65" s="87">
        <f>1-AG43/$O43</f>
        <v>0.96217078621310848</v>
      </c>
    </row>
    <row r="66" spans="1:6" x14ac:dyDescent="0.15">
      <c r="A66" s="63" t="s">
        <v>245</v>
      </c>
      <c r="B66" t="s">
        <v>237</v>
      </c>
      <c r="C66" s="87">
        <f>1-R44/$O44</f>
        <v>6.6797207936116099E-2</v>
      </c>
      <c r="D66" s="87">
        <f>1-W44/$O44</f>
        <v>0.17865157490132033</v>
      </c>
      <c r="E66" s="87">
        <f>1-AB44/$O44</f>
        <v>0.36653509489113201</v>
      </c>
      <c r="F66" s="87">
        <f>1-AG44/$O44</f>
        <v>0.55527689592382945</v>
      </c>
    </row>
  </sheetData>
  <phoneticPr fontId="45" type="noConversion"/>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0000"/>
  </sheetPr>
  <dimension ref="B1:O48"/>
  <sheetViews>
    <sheetView topLeftCell="C1" zoomScale="90" zoomScaleNormal="90" workbookViewId="0">
      <selection activeCell="O154" sqref="O154"/>
    </sheetView>
  </sheetViews>
  <sheetFormatPr baseColWidth="10" defaultColWidth="9.1640625" defaultRowHeight="13" x14ac:dyDescent="0.15"/>
  <cols>
    <col min="1" max="1" width="4.5" customWidth="1"/>
    <col min="2" max="2" width="75" style="67" customWidth="1"/>
    <col min="3" max="3" width="48.5" bestFit="1" customWidth="1"/>
    <col min="4" max="4" width="45.5" style="67" customWidth="1"/>
    <col min="5" max="5" width="26.83203125" customWidth="1"/>
  </cols>
  <sheetData>
    <row r="1" spans="2:6" ht="24" x14ac:dyDescent="0.25">
      <c r="B1" s="77" t="s">
        <v>102</v>
      </c>
      <c r="C1" s="73" t="s">
        <v>133</v>
      </c>
      <c r="D1" s="79" t="s">
        <v>180</v>
      </c>
      <c r="F1" s="1" t="s">
        <v>207</v>
      </c>
    </row>
    <row r="3" spans="2:6" ht="16" x14ac:dyDescent="0.2">
      <c r="B3" s="78" t="s">
        <v>103</v>
      </c>
    </row>
    <row r="4" spans="2:6" ht="14" x14ac:dyDescent="0.15">
      <c r="B4" s="67" t="s">
        <v>104</v>
      </c>
      <c r="C4" s="74" t="s">
        <v>148</v>
      </c>
      <c r="E4" t="s">
        <v>182</v>
      </c>
    </row>
    <row r="5" spans="2:6" ht="28" x14ac:dyDescent="0.15">
      <c r="B5" s="67" t="s">
        <v>132</v>
      </c>
      <c r="C5" s="74" t="s">
        <v>134</v>
      </c>
      <c r="E5" t="s">
        <v>182</v>
      </c>
    </row>
    <row r="6" spans="2:6" ht="28" x14ac:dyDescent="0.15">
      <c r="B6" s="67" t="s">
        <v>131</v>
      </c>
      <c r="C6" s="75" t="s">
        <v>149</v>
      </c>
      <c r="D6" s="67" t="s">
        <v>163</v>
      </c>
      <c r="E6" s="67" t="s">
        <v>181</v>
      </c>
    </row>
    <row r="7" spans="2:6" x14ac:dyDescent="0.15">
      <c r="E7" s="67"/>
    </row>
    <row r="8" spans="2:6" ht="16" x14ac:dyDescent="0.2">
      <c r="B8" s="78" t="s">
        <v>105</v>
      </c>
      <c r="E8" s="67"/>
    </row>
    <row r="9" spans="2:6" ht="56" x14ac:dyDescent="0.15">
      <c r="B9" s="67" t="s">
        <v>106</v>
      </c>
      <c r="C9" s="75" t="s">
        <v>135</v>
      </c>
      <c r="D9" s="67" t="s">
        <v>166</v>
      </c>
      <c r="E9" s="67" t="s">
        <v>203</v>
      </c>
      <c r="F9" s="67" t="s">
        <v>208</v>
      </c>
    </row>
    <row r="10" spans="2:6" ht="42" x14ac:dyDescent="0.15">
      <c r="B10" s="67" t="s">
        <v>107</v>
      </c>
      <c r="C10" s="75" t="s">
        <v>136</v>
      </c>
      <c r="D10" s="67" t="s">
        <v>165</v>
      </c>
      <c r="E10" s="67" t="s">
        <v>204</v>
      </c>
      <c r="F10" s="67" t="s">
        <v>208</v>
      </c>
    </row>
    <row r="11" spans="2:6" ht="42" x14ac:dyDescent="0.15">
      <c r="B11" s="67" t="s">
        <v>108</v>
      </c>
      <c r="C11" t="s">
        <v>136</v>
      </c>
      <c r="D11" s="67" t="s">
        <v>167</v>
      </c>
      <c r="E11" s="67" t="s">
        <v>183</v>
      </c>
    </row>
    <row r="12" spans="2:6" ht="14" x14ac:dyDescent="0.15">
      <c r="B12" s="67" t="s">
        <v>109</v>
      </c>
      <c r="C12" t="s">
        <v>136</v>
      </c>
      <c r="E12" s="67"/>
    </row>
    <row r="13" spans="2:6" ht="42" x14ac:dyDescent="0.15">
      <c r="B13" s="67" t="s">
        <v>110</v>
      </c>
      <c r="C13" s="76" t="s">
        <v>137</v>
      </c>
      <c r="D13" s="67" t="s">
        <v>168</v>
      </c>
      <c r="E13" s="80" t="s">
        <v>205</v>
      </c>
      <c r="F13" t="s">
        <v>209</v>
      </c>
    </row>
    <row r="14" spans="2:6" ht="42" x14ac:dyDescent="0.15">
      <c r="B14" s="67" t="s">
        <v>111</v>
      </c>
      <c r="C14" t="s">
        <v>136</v>
      </c>
      <c r="D14" s="67" t="s">
        <v>167</v>
      </c>
      <c r="E14" s="67" t="s">
        <v>183</v>
      </c>
    </row>
    <row r="15" spans="2:6" ht="42" x14ac:dyDescent="0.15">
      <c r="B15" s="67" t="s">
        <v>112</v>
      </c>
      <c r="C15" s="75" t="s">
        <v>136</v>
      </c>
      <c r="D15" s="67" t="s">
        <v>169</v>
      </c>
      <c r="E15" s="67" t="s">
        <v>184</v>
      </c>
      <c r="F15" s="67" t="s">
        <v>210</v>
      </c>
    </row>
    <row r="16" spans="2:6" ht="14" x14ac:dyDescent="0.15">
      <c r="B16" s="67" t="s">
        <v>113</v>
      </c>
      <c r="C16" t="s">
        <v>138</v>
      </c>
      <c r="E16" s="67"/>
    </row>
    <row r="17" spans="2:6" ht="42" x14ac:dyDescent="0.15">
      <c r="B17" s="67" t="s">
        <v>157</v>
      </c>
      <c r="C17" t="s">
        <v>158</v>
      </c>
      <c r="E17" s="67" t="s">
        <v>185</v>
      </c>
    </row>
    <row r="18" spans="2:6" ht="14" x14ac:dyDescent="0.15">
      <c r="B18" s="67" t="s">
        <v>114</v>
      </c>
      <c r="C18" t="s">
        <v>139</v>
      </c>
      <c r="E18" s="67"/>
    </row>
    <row r="19" spans="2:6" x14ac:dyDescent="0.15">
      <c r="E19" s="67"/>
    </row>
    <row r="20" spans="2:6" ht="16" x14ac:dyDescent="0.2">
      <c r="B20" s="78" t="s">
        <v>115</v>
      </c>
      <c r="E20" s="67"/>
    </row>
    <row r="21" spans="2:6" ht="28" x14ac:dyDescent="0.15">
      <c r="B21" s="67" t="s">
        <v>116</v>
      </c>
      <c r="C21" s="75" t="s">
        <v>140</v>
      </c>
      <c r="D21" s="67" t="s">
        <v>164</v>
      </c>
      <c r="E21" s="67" t="s">
        <v>186</v>
      </c>
    </row>
    <row r="22" spans="2:6" ht="70" x14ac:dyDescent="0.15">
      <c r="B22" s="67" t="s">
        <v>117</v>
      </c>
      <c r="C22" s="76" t="s">
        <v>141</v>
      </c>
      <c r="D22" s="67" t="s">
        <v>160</v>
      </c>
      <c r="E22" s="67" t="s">
        <v>187</v>
      </c>
    </row>
    <row r="23" spans="2:6" ht="14" x14ac:dyDescent="0.15">
      <c r="B23" s="67" t="s">
        <v>118</v>
      </c>
      <c r="C23" t="s">
        <v>142</v>
      </c>
      <c r="E23" s="67"/>
    </row>
    <row r="24" spans="2:6" ht="28" x14ac:dyDescent="0.15">
      <c r="B24" s="67" t="s">
        <v>119</v>
      </c>
      <c r="C24" t="s">
        <v>140</v>
      </c>
      <c r="E24" s="67"/>
    </row>
    <row r="25" spans="2:6" ht="14" x14ac:dyDescent="0.15">
      <c r="B25" s="67" t="s">
        <v>120</v>
      </c>
      <c r="C25" t="s">
        <v>143</v>
      </c>
      <c r="E25" s="67"/>
    </row>
    <row r="26" spans="2:6" x14ac:dyDescent="0.15">
      <c r="E26" s="67"/>
    </row>
    <row r="27" spans="2:6" ht="16" x14ac:dyDescent="0.2">
      <c r="B27" s="78" t="s">
        <v>121</v>
      </c>
      <c r="E27" s="67"/>
    </row>
    <row r="28" spans="2:6" ht="14" x14ac:dyDescent="0.15">
      <c r="B28" s="67" t="s">
        <v>122</v>
      </c>
      <c r="C28" t="s">
        <v>140</v>
      </c>
      <c r="E28" s="67"/>
    </row>
    <row r="29" spans="2:6" ht="14" x14ac:dyDescent="0.15">
      <c r="B29" s="67" t="s">
        <v>123</v>
      </c>
      <c r="C29" t="s">
        <v>144</v>
      </c>
      <c r="E29" s="67"/>
    </row>
    <row r="30" spans="2:6" ht="42" x14ac:dyDescent="0.15">
      <c r="B30" s="67" t="s">
        <v>124</v>
      </c>
      <c r="C30" t="s">
        <v>140</v>
      </c>
      <c r="D30" s="67" t="s">
        <v>162</v>
      </c>
      <c r="E30" s="67" t="s">
        <v>206</v>
      </c>
      <c r="F30" s="67" t="s">
        <v>211</v>
      </c>
    </row>
    <row r="31" spans="2:6" ht="16" x14ac:dyDescent="0.2">
      <c r="B31" s="67" t="s">
        <v>125</v>
      </c>
      <c r="C31" t="s">
        <v>144</v>
      </c>
      <c r="E31" s="67"/>
    </row>
    <row r="32" spans="2:6" x14ac:dyDescent="0.15">
      <c r="E32" s="67"/>
    </row>
    <row r="33" spans="2:15" ht="14" x14ac:dyDescent="0.15">
      <c r="B33" s="61" t="s">
        <v>126</v>
      </c>
      <c r="E33" s="67"/>
    </row>
    <row r="34" spans="2:15" ht="14" x14ac:dyDescent="0.15">
      <c r="B34" s="67" t="s">
        <v>127</v>
      </c>
      <c r="C34" t="s">
        <v>145</v>
      </c>
      <c r="E34" s="67"/>
    </row>
    <row r="35" spans="2:15" ht="14" x14ac:dyDescent="0.15">
      <c r="B35" s="67" t="s">
        <v>128</v>
      </c>
      <c r="C35" t="s">
        <v>146</v>
      </c>
      <c r="E35" s="67" t="s">
        <v>199</v>
      </c>
    </row>
    <row r="36" spans="2:15" ht="28" x14ac:dyDescent="0.15">
      <c r="B36" s="67" t="s">
        <v>130</v>
      </c>
      <c r="C36" t="s">
        <v>147</v>
      </c>
      <c r="E36" s="67"/>
    </row>
    <row r="37" spans="2:15" ht="14" x14ac:dyDescent="0.15">
      <c r="B37" s="67" t="s">
        <v>129</v>
      </c>
      <c r="C37" t="s">
        <v>147</v>
      </c>
      <c r="E37" s="67" t="s">
        <v>200</v>
      </c>
    </row>
    <row r="38" spans="2:15" ht="16" x14ac:dyDescent="0.2">
      <c r="C38" s="353" t="s">
        <v>177</v>
      </c>
      <c r="D38" s="353"/>
      <c r="E38" s="67"/>
      <c r="F38" s="67"/>
      <c r="G38" s="67"/>
      <c r="H38" s="67"/>
      <c r="I38" s="67"/>
      <c r="J38" s="67"/>
      <c r="K38" s="67"/>
      <c r="L38" s="67"/>
      <c r="M38" s="67"/>
      <c r="N38" s="67"/>
      <c r="O38" s="67"/>
    </row>
    <row r="39" spans="2:15" ht="42" x14ac:dyDescent="0.15">
      <c r="C39" s="75"/>
      <c r="D39" s="67" t="s">
        <v>161</v>
      </c>
      <c r="E39" t="s">
        <v>188</v>
      </c>
    </row>
    <row r="40" spans="2:15" ht="42" x14ac:dyDescent="0.15">
      <c r="C40" s="75"/>
      <c r="D40" s="67" t="s">
        <v>170</v>
      </c>
      <c r="E40" t="s">
        <v>189</v>
      </c>
    </row>
    <row r="41" spans="2:15" ht="42" x14ac:dyDescent="0.15">
      <c r="C41" s="75"/>
      <c r="D41" s="67" t="s">
        <v>171</v>
      </c>
      <c r="E41" t="s">
        <v>190</v>
      </c>
    </row>
    <row r="42" spans="2:15" ht="56" x14ac:dyDescent="0.15">
      <c r="C42" s="76"/>
      <c r="D42" s="67" t="s">
        <v>172</v>
      </c>
      <c r="E42" s="67" t="s">
        <v>191</v>
      </c>
      <c r="F42" t="s">
        <v>212</v>
      </c>
    </row>
    <row r="43" spans="2:15" ht="14" x14ac:dyDescent="0.15">
      <c r="C43" s="76"/>
      <c r="D43" s="67" t="s">
        <v>173</v>
      </c>
      <c r="E43" t="s">
        <v>192</v>
      </c>
    </row>
    <row r="44" spans="2:15" ht="28" x14ac:dyDescent="0.15">
      <c r="C44" s="76"/>
      <c r="D44" s="67" t="s">
        <v>174</v>
      </c>
      <c r="E44" s="67" t="s">
        <v>193</v>
      </c>
    </row>
    <row r="45" spans="2:15" ht="28" x14ac:dyDescent="0.15">
      <c r="C45" s="76"/>
      <c r="D45" s="67" t="s">
        <v>175</v>
      </c>
      <c r="E45" s="67" t="s">
        <v>193</v>
      </c>
    </row>
    <row r="46" spans="2:15" ht="28" x14ac:dyDescent="0.15">
      <c r="C46" s="75"/>
      <c r="D46" s="67" t="s">
        <v>176</v>
      </c>
      <c r="E46" s="67" t="s">
        <v>201</v>
      </c>
      <c r="F46" t="s">
        <v>213</v>
      </c>
    </row>
    <row r="47" spans="2:15" ht="42" x14ac:dyDescent="0.15">
      <c r="C47" s="75"/>
      <c r="D47" s="67" t="s">
        <v>178</v>
      </c>
      <c r="E47" s="67" t="s">
        <v>194</v>
      </c>
      <c r="F47" t="s">
        <v>212</v>
      </c>
    </row>
    <row r="48" spans="2:15" ht="14" x14ac:dyDescent="0.15">
      <c r="C48" s="75"/>
      <c r="D48" s="67" t="s">
        <v>179</v>
      </c>
    </row>
  </sheetData>
  <mergeCells count="1">
    <mergeCell ref="C38:D38"/>
  </mergeCells>
  <pageMargins left="0.7" right="0.7" top="0.75" bottom="0.75" header="0.3" footer="0.3"/>
  <pageSetup paperSize="9" orientation="portrait" horizont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B356E-16C2-4484-B854-0CFFBF173D81}">
  <sheetPr codeName="Sheet5">
    <tabColor rgb="FF00546E"/>
  </sheetPr>
  <dimension ref="B2:BD169"/>
  <sheetViews>
    <sheetView showGridLines="0" topLeftCell="A11" zoomScaleNormal="100" workbookViewId="0">
      <selection activeCell="D18" sqref="D18"/>
    </sheetView>
  </sheetViews>
  <sheetFormatPr baseColWidth="10" defaultColWidth="9.1640625" defaultRowHeight="13" x14ac:dyDescent="0.15"/>
  <cols>
    <col min="1" max="1" width="2.5" customWidth="1"/>
    <col min="2" max="2" width="55.5" customWidth="1"/>
    <col min="3" max="3" width="3" customWidth="1"/>
    <col min="4" max="4" width="31.1640625" customWidth="1"/>
    <col min="5" max="5" width="2.83203125" customWidth="1"/>
    <col min="6" max="6" width="31.1640625" customWidth="1"/>
    <col min="7" max="7" width="2.83203125" customWidth="1"/>
    <col min="8" max="8" width="31.1640625" customWidth="1"/>
    <col min="9" max="9" width="2.83203125" customWidth="1"/>
    <col min="10" max="12" width="14.5" customWidth="1"/>
    <col min="13" max="34" width="11.5" customWidth="1"/>
  </cols>
  <sheetData>
    <row r="2" spans="2:26" ht="20" customHeight="1" x14ac:dyDescent="0.25">
      <c r="C2" s="33"/>
    </row>
    <row r="3" spans="2:26" ht="20" customHeight="1" x14ac:dyDescent="0.15">
      <c r="D3" s="116" t="str">
        <f>+README!F3</f>
        <v>SBTi Automotive Target-Setting Tool | DRAFT VERSION</v>
      </c>
      <c r="E3" s="116"/>
      <c r="F3" s="116"/>
      <c r="G3" s="116"/>
      <c r="H3" s="116"/>
      <c r="I3" s="116"/>
      <c r="J3" s="116"/>
      <c r="K3" s="116"/>
      <c r="L3" s="116"/>
      <c r="M3" s="116"/>
    </row>
    <row r="4" spans="2:26" ht="20" customHeight="1" x14ac:dyDescent="0.15">
      <c r="D4" s="35" t="s">
        <v>28</v>
      </c>
      <c r="E4" s="34"/>
      <c r="F4" s="34">
        <f>+README!H5</f>
        <v>0.3</v>
      </c>
    </row>
    <row r="5" spans="2:26" ht="20" customHeight="1" x14ac:dyDescent="0.15">
      <c r="D5" s="35" t="s">
        <v>26</v>
      </c>
      <c r="E5" s="34"/>
      <c r="F5" s="36" t="s">
        <v>27</v>
      </c>
    </row>
    <row r="6" spans="2:26" ht="12.75" customHeight="1" x14ac:dyDescent="0.2">
      <c r="B6" s="24"/>
      <c r="C6" s="24"/>
      <c r="D6" s="24"/>
      <c r="E6" s="24"/>
      <c r="F6" s="24"/>
      <c r="G6" s="24"/>
      <c r="H6" s="24"/>
      <c r="I6" s="24"/>
      <c r="J6" s="24"/>
      <c r="K6" s="24"/>
      <c r="L6" s="24"/>
      <c r="M6" s="24"/>
      <c r="N6" s="24"/>
      <c r="O6" s="24"/>
      <c r="P6" s="24"/>
      <c r="Q6" s="24"/>
      <c r="R6" s="24"/>
      <c r="S6" s="24"/>
      <c r="T6" s="24"/>
      <c r="U6" s="24"/>
      <c r="V6" s="24"/>
      <c r="W6" s="24"/>
      <c r="X6" s="24"/>
      <c r="Y6" s="24"/>
      <c r="Z6" s="24"/>
    </row>
    <row r="7" spans="2:26" ht="20" customHeight="1" x14ac:dyDescent="0.2">
      <c r="B7" s="8"/>
    </row>
    <row r="8" spans="2:26" ht="20" customHeight="1" thickBot="1" x14ac:dyDescent="0.2">
      <c r="B8" s="133" t="s">
        <v>295</v>
      </c>
      <c r="C8" s="109"/>
      <c r="D8" s="109"/>
      <c r="E8" s="109"/>
      <c r="F8" s="109"/>
    </row>
    <row r="9" spans="2:26" ht="15" customHeight="1" x14ac:dyDescent="0.15">
      <c r="B9" s="107" t="s">
        <v>290</v>
      </c>
      <c r="C9" s="106"/>
      <c r="D9" s="308" t="s">
        <v>302</v>
      </c>
      <c r="E9" s="308"/>
      <c r="F9" s="308"/>
      <c r="G9" s="308"/>
      <c r="H9" s="308"/>
      <c r="I9" s="308"/>
      <c r="J9" s="308"/>
      <c r="K9" s="308"/>
    </row>
    <row r="10" spans="2:26" ht="30" customHeight="1" x14ac:dyDescent="0.15">
      <c r="B10" s="107" t="s">
        <v>291</v>
      </c>
      <c r="C10" s="106"/>
      <c r="D10" s="308" t="s">
        <v>303</v>
      </c>
      <c r="E10" s="308"/>
      <c r="F10" s="308"/>
      <c r="G10" s="308"/>
      <c r="H10" s="308"/>
      <c r="I10" s="308"/>
      <c r="J10" s="308"/>
      <c r="K10" s="308"/>
    </row>
    <row r="11" spans="2:26" ht="30" customHeight="1" x14ac:dyDescent="0.15">
      <c r="B11" s="107" t="s">
        <v>292</v>
      </c>
      <c r="C11" s="106"/>
      <c r="D11" s="308" t="s">
        <v>332</v>
      </c>
      <c r="E11" s="308"/>
      <c r="F11" s="308"/>
      <c r="G11" s="308"/>
      <c r="H11" s="308"/>
      <c r="I11" s="308"/>
      <c r="J11" s="308"/>
      <c r="K11" s="308"/>
    </row>
    <row r="12" spans="2:26" ht="14" x14ac:dyDescent="0.15">
      <c r="B12" s="107" t="s">
        <v>293</v>
      </c>
      <c r="C12" s="106"/>
      <c r="D12" s="308" t="s">
        <v>294</v>
      </c>
      <c r="E12" s="308"/>
      <c r="F12" s="308"/>
      <c r="G12" s="308"/>
      <c r="H12" s="308"/>
      <c r="I12" s="308"/>
      <c r="J12" s="308"/>
      <c r="K12" s="308"/>
    </row>
    <row r="13" spans="2:26" x14ac:dyDescent="0.15">
      <c r="B13" s="107"/>
      <c r="C13" s="106"/>
      <c r="D13" s="93"/>
      <c r="E13" s="93"/>
      <c r="F13" s="93"/>
      <c r="G13" s="93"/>
      <c r="H13" s="93"/>
      <c r="I13" s="93"/>
      <c r="J13" s="93"/>
      <c r="K13" s="93"/>
    </row>
    <row r="14" spans="2:26" ht="15" x14ac:dyDescent="0.15">
      <c r="B14" s="107"/>
      <c r="C14" s="106"/>
      <c r="D14" s="135" t="s">
        <v>296</v>
      </c>
      <c r="E14" s="93"/>
      <c r="F14" s="134" t="s">
        <v>297</v>
      </c>
      <c r="G14" s="93"/>
      <c r="H14" s="136" t="s">
        <v>322</v>
      </c>
      <c r="I14" s="93"/>
      <c r="J14" s="93"/>
      <c r="K14" s="93"/>
    </row>
    <row r="15" spans="2:26" ht="20" customHeight="1" x14ac:dyDescent="0.2">
      <c r="B15" s="8"/>
    </row>
    <row r="16" spans="2:26" ht="12.75" customHeight="1" x14ac:dyDescent="0.2">
      <c r="B16" s="37"/>
      <c r="C16" s="37"/>
      <c r="D16" s="37"/>
      <c r="E16" s="37"/>
      <c r="F16" s="37"/>
      <c r="G16" s="37"/>
      <c r="H16" s="37"/>
      <c r="I16" s="37"/>
      <c r="J16" s="37"/>
      <c r="K16" s="37"/>
      <c r="L16" s="37"/>
      <c r="M16" s="37"/>
      <c r="N16" s="37"/>
      <c r="O16" s="37"/>
      <c r="P16" s="37"/>
      <c r="Q16" s="37"/>
      <c r="R16" s="37"/>
      <c r="S16" s="37"/>
      <c r="T16" s="37"/>
      <c r="U16" s="37"/>
      <c r="V16" s="37"/>
      <c r="W16" s="37"/>
      <c r="X16" s="37"/>
      <c r="Y16" s="37"/>
      <c r="Z16" s="37"/>
    </row>
    <row r="17" spans="2:20" ht="20" customHeight="1" x14ac:dyDescent="0.2">
      <c r="B17" s="8"/>
    </row>
    <row r="18" spans="2:20" ht="20" customHeight="1" x14ac:dyDescent="0.25">
      <c r="B18" s="7" t="s">
        <v>342</v>
      </c>
      <c r="D18" s="54"/>
    </row>
    <row r="19" spans="2:20" ht="12.75" customHeight="1" x14ac:dyDescent="0.15">
      <c r="D19" s="55"/>
      <c r="J19" s="1"/>
    </row>
    <row r="20" spans="2:20" ht="18" customHeight="1" x14ac:dyDescent="0.15">
      <c r="B20" s="311" t="s">
        <v>323</v>
      </c>
      <c r="C20" s="311"/>
      <c r="D20" s="311"/>
      <c r="E20" s="311"/>
      <c r="F20" s="311"/>
      <c r="G20" s="311"/>
      <c r="H20" s="311"/>
      <c r="J20" s="1"/>
    </row>
    <row r="21" spans="2:20" ht="12.75" customHeight="1" thickBot="1" x14ac:dyDescent="0.2">
      <c r="D21" s="55"/>
      <c r="J21" s="1"/>
    </row>
    <row r="22" spans="2:20" ht="20" customHeight="1" thickTop="1" thickBot="1" x14ac:dyDescent="0.2">
      <c r="B22" s="38" t="s">
        <v>222</v>
      </c>
      <c r="D22" s="50" t="s">
        <v>321</v>
      </c>
      <c r="F22" t="s">
        <v>222</v>
      </c>
      <c r="K22" s="1"/>
      <c r="R22" s="41"/>
      <c r="S22" s="41"/>
      <c r="T22" s="41"/>
    </row>
    <row r="23" spans="2:20" ht="20" customHeight="1" thickTop="1" thickBot="1" x14ac:dyDescent="0.2">
      <c r="B23" s="40" t="s">
        <v>0</v>
      </c>
      <c r="C23" s="3" t="str">
        <f>""</f>
        <v/>
      </c>
      <c r="D23" s="49">
        <v>2022</v>
      </c>
      <c r="E23" s="3" t="str">
        <f>""</f>
        <v/>
      </c>
      <c r="F23" s="39" t="s">
        <v>197</v>
      </c>
      <c r="H23" s="85"/>
      <c r="J23" s="314"/>
      <c r="K23" s="314"/>
      <c r="L23" s="314"/>
      <c r="M23" s="314"/>
      <c r="N23" s="314"/>
      <c r="O23" s="314"/>
      <c r="P23" s="314"/>
      <c r="Q23" s="314"/>
      <c r="R23" s="41"/>
      <c r="S23" s="41"/>
      <c r="T23" s="41"/>
    </row>
    <row r="24" spans="2:20" ht="20" customHeight="1" thickTop="1" thickBot="1" x14ac:dyDescent="0.2">
      <c r="B24" s="68" t="s">
        <v>261</v>
      </c>
      <c r="C24" s="3" t="str">
        <f>""</f>
        <v/>
      </c>
      <c r="D24" s="50">
        <v>100000</v>
      </c>
      <c r="E24" s="3" t="str">
        <f>""</f>
        <v/>
      </c>
      <c r="F24" s="39" t="s">
        <v>47</v>
      </c>
      <c r="H24" s="85"/>
      <c r="J24" s="314"/>
      <c r="K24" s="314"/>
      <c r="L24" s="314"/>
      <c r="M24" s="314"/>
      <c r="N24" s="314"/>
      <c r="O24" s="314"/>
      <c r="P24" s="314"/>
      <c r="Q24" s="314"/>
      <c r="R24" s="41"/>
      <c r="S24" s="41"/>
      <c r="T24" s="41"/>
    </row>
    <row r="25" spans="2:20" ht="20" customHeight="1" thickTop="1" thickBot="1" x14ac:dyDescent="0.2">
      <c r="B25" s="69" t="s">
        <v>91</v>
      </c>
      <c r="C25" s="3" t="str">
        <f>""</f>
        <v/>
      </c>
      <c r="D25" s="50">
        <v>500000</v>
      </c>
      <c r="E25" s="3" t="str">
        <f>""</f>
        <v/>
      </c>
      <c r="F25" s="39" t="s">
        <v>47</v>
      </c>
      <c r="H25" s="85"/>
      <c r="J25" s="314"/>
      <c r="K25" s="314"/>
      <c r="L25" s="314"/>
      <c r="M25" s="314"/>
      <c r="N25" s="314"/>
      <c r="O25" s="314"/>
      <c r="P25" s="314"/>
      <c r="Q25" s="314"/>
      <c r="R25" s="41"/>
      <c r="S25" s="41"/>
      <c r="T25" s="41"/>
    </row>
    <row r="26" spans="2:20" ht="20" customHeight="1" thickTop="1" thickBot="1" x14ac:dyDescent="0.2">
      <c r="B26" s="40" t="s">
        <v>1</v>
      </c>
      <c r="C26" s="3" t="str">
        <f>""</f>
        <v/>
      </c>
      <c r="D26" s="49">
        <v>2033</v>
      </c>
      <c r="E26" s="3"/>
      <c r="F26" s="39" t="s">
        <v>198</v>
      </c>
      <c r="J26" s="314"/>
      <c r="K26" s="314"/>
      <c r="L26" s="314"/>
      <c r="M26" s="314"/>
      <c r="N26" s="314"/>
      <c r="O26" s="314"/>
      <c r="P26" s="314"/>
      <c r="Q26" s="314"/>
      <c r="R26" s="41"/>
      <c r="S26" s="41"/>
      <c r="T26" s="41"/>
    </row>
    <row r="27" spans="2:20" ht="20" customHeight="1" thickTop="1" thickBot="1" x14ac:dyDescent="0.2">
      <c r="B27" s="40" t="s">
        <v>90</v>
      </c>
      <c r="C27" s="3" t="str">
        <f>""</f>
        <v/>
      </c>
      <c r="D27" s="49">
        <v>2022</v>
      </c>
      <c r="E27" s="3" t="str">
        <f>""</f>
        <v/>
      </c>
      <c r="F27" s="39" t="s">
        <v>305</v>
      </c>
      <c r="H27" s="85"/>
      <c r="J27" s="314"/>
      <c r="K27" s="314"/>
      <c r="L27" s="314"/>
      <c r="M27" s="314"/>
      <c r="N27" s="314"/>
      <c r="O27" s="314"/>
      <c r="P27" s="314"/>
      <c r="Q27" s="314"/>
    </row>
    <row r="28" spans="2:20" ht="20" customHeight="1" thickTop="1" thickBot="1" x14ac:dyDescent="0.2">
      <c r="B28" s="68" t="s">
        <v>202</v>
      </c>
      <c r="C28" s="3" t="str">
        <f>""</f>
        <v/>
      </c>
      <c r="D28" s="50">
        <v>95000</v>
      </c>
      <c r="E28" s="3" t="str">
        <f>""</f>
        <v/>
      </c>
      <c r="F28" s="39" t="str">
        <f>IF(D27&lt;=D23,"If selected base year is the most recent year available, no input is required","tCO2e")</f>
        <v>If selected base year is the most recent year available, no input is required</v>
      </c>
      <c r="J28" s="314"/>
      <c r="K28" s="314"/>
      <c r="L28" s="314"/>
      <c r="M28" s="314"/>
      <c r="N28" s="314"/>
      <c r="O28" s="314"/>
      <c r="P28" s="314"/>
      <c r="Q28" s="314"/>
    </row>
    <row r="29" spans="2:20" ht="20" customHeight="1" thickTop="1" thickBot="1" x14ac:dyDescent="0.2">
      <c r="B29" s="68" t="s">
        <v>92</v>
      </c>
      <c r="C29" s="3" t="str">
        <f>""</f>
        <v/>
      </c>
      <c r="D29" s="50">
        <v>550000</v>
      </c>
      <c r="E29" s="3" t="str">
        <f>""</f>
        <v/>
      </c>
      <c r="F29" s="39" t="str">
        <f>IF(D27&lt;=D23,"If selected base year is the most recent year available, no input is required","tCO2e")</f>
        <v>If selected base year is the most recent year available, no input is required</v>
      </c>
      <c r="J29" s="314"/>
      <c r="K29" s="314"/>
      <c r="L29" s="314"/>
      <c r="M29" s="314"/>
      <c r="N29" s="314"/>
      <c r="O29" s="314"/>
      <c r="P29" s="314"/>
      <c r="Q29" s="314"/>
    </row>
    <row r="30" spans="2:20" ht="20" customHeight="1" thickTop="1" x14ac:dyDescent="0.15">
      <c r="K30" s="41"/>
      <c r="L30" s="41"/>
      <c r="M30" s="41"/>
      <c r="N30" s="41"/>
      <c r="O30" s="41"/>
      <c r="P30" s="41"/>
      <c r="Q30" s="41"/>
      <c r="R30" s="72"/>
      <c r="S30" s="72"/>
      <c r="T30" s="72"/>
    </row>
    <row r="31" spans="2:20" ht="20" customHeight="1" x14ac:dyDescent="0.2">
      <c r="B31" s="100" t="s">
        <v>285</v>
      </c>
      <c r="K31" s="41"/>
      <c r="L31" s="41"/>
      <c r="M31" s="41"/>
      <c r="N31" s="41"/>
      <c r="O31" s="41"/>
      <c r="P31" s="41"/>
      <c r="Q31" s="41"/>
      <c r="R31" s="72"/>
      <c r="S31" s="72"/>
      <c r="T31" s="72"/>
    </row>
    <row r="32" spans="2:20" x14ac:dyDescent="0.15">
      <c r="B32" s="138" t="s">
        <v>32</v>
      </c>
      <c r="K32" s="41"/>
      <c r="L32" s="41"/>
      <c r="M32" s="41"/>
      <c r="N32" s="41"/>
      <c r="O32" s="41"/>
      <c r="P32" s="41"/>
      <c r="Q32" s="41"/>
      <c r="R32" s="72"/>
      <c r="S32" s="72"/>
      <c r="T32" s="72"/>
    </row>
    <row r="33" spans="2:13" ht="37.5" customHeight="1" x14ac:dyDescent="0.15">
      <c r="B33" s="1"/>
      <c r="D33" s="43" t="str">
        <f>+CONCATENATE("Base year ","(",D23,")")</f>
        <v>Base year (2022)</v>
      </c>
      <c r="E33" s="44"/>
      <c r="F33" s="43" t="str">
        <f>IF(D27&gt;D23,CONCATENATE("Most recent year ","(",D27,")"),CONCATENATE("Same as base year ","(",D27,")"))</f>
        <v>Same as base year (2022)</v>
      </c>
      <c r="G33" s="34"/>
      <c r="H33" s="43" t="str">
        <f>+CONCATENATE("Target year ","(",D26,")")</f>
        <v>Target year (2033)</v>
      </c>
      <c r="I33" s="34"/>
      <c r="J33" s="70" t="s">
        <v>196</v>
      </c>
      <c r="K33" s="70" t="s">
        <v>195</v>
      </c>
      <c r="L33" s="70" t="s">
        <v>101</v>
      </c>
      <c r="M33" s="71"/>
    </row>
    <row r="34" spans="2:13" ht="19.5" customHeight="1" thickBot="1" x14ac:dyDescent="0.2">
      <c r="B34" s="38" t="str">
        <f>IF(ISNUMBER($D$24)=TRUE,"Scope 1 emissions (tCO2e)","enter emissions data")</f>
        <v>Scope 1 emissions (tCO2e)</v>
      </c>
      <c r="D34" s="56">
        <f>IF(D24="","",D24)</f>
        <v>100000</v>
      </c>
      <c r="E34" s="51"/>
      <c r="F34" s="56" t="str">
        <f>IF(AND(ISNUMBER(D27),D27&gt;D23,D24&gt;=0,ISNUMBER(D28),D28&gt;=0),D28,"-----")</f>
        <v>-----</v>
      </c>
      <c r="G34" s="52"/>
      <c r="H34" s="56">
        <f>+IF(D24="","",D34*(1-L34))</f>
        <v>45399.999999999993</v>
      </c>
      <c r="I34" s="52"/>
      <c r="J34" s="82" t="str">
        <f>IF(Calculations!D9&gt;0,Calculations!D9,"-----")</f>
        <v>-----</v>
      </c>
      <c r="K34" s="82" t="str">
        <f>IF(Calculations!$D$9&gt;=0.9,"Maint. target",IF(AND($D$27&gt;$D$23,Calculations!$D$9&gt;0,Calculations!$D$15&gt;0),Calculations!$D$15,"Not required"))</f>
        <v>Not required</v>
      </c>
      <c r="L34" s="82">
        <f>+IF($D$34="","",Calculations!$D$18)</f>
        <v>0.54600000000000004</v>
      </c>
      <c r="M34" s="71"/>
    </row>
    <row r="35" spans="2:13" ht="19.5" customHeight="1" thickTop="1" thickBot="1" x14ac:dyDescent="0.2">
      <c r="B35" s="38" t="str">
        <f>IF(ISNUMBER($D$25)=TRUE,"Scope 2 emissions (tCO2e)","enter emissions data")</f>
        <v>Scope 2 emissions (tCO2e)</v>
      </c>
      <c r="D35" s="57">
        <f>IF(D25="","",D25)</f>
        <v>500000</v>
      </c>
      <c r="E35" s="51"/>
      <c r="F35" s="57" t="str">
        <f>IF(AND(ISNUMBER(D27),D27&gt;D23,D25&gt;=0,ISNUMBER(D29),D29&gt;=0),D29,"-----")</f>
        <v>-----</v>
      </c>
      <c r="G35" s="52"/>
      <c r="H35" s="57">
        <f>+IF(D25="","",D35*(1-L35))</f>
        <v>226999.99999999997</v>
      </c>
      <c r="I35" s="52"/>
      <c r="J35" s="82" t="str">
        <f>IF(Calculations!D10&gt;0,Calculations!D10,"-----")</f>
        <v>-----</v>
      </c>
      <c r="K35" s="82" t="str">
        <f>IF(Calculations!$D$10&gt;=0.9,"Maint. target",IF(AND($D$27&gt;$D$23,Calculations!$D$10&gt;0,Calculations!$D$22&gt;0),Calculations!$D$22,"Not required"))</f>
        <v>Not required</v>
      </c>
      <c r="L35" s="82">
        <f>+IF($D$35="","",Calculations!$D$25)</f>
        <v>0.54600000000000004</v>
      </c>
      <c r="M35" s="71"/>
    </row>
    <row r="36" spans="2:13" ht="9" customHeight="1" thickTop="1" thickBot="1" x14ac:dyDescent="0.2">
      <c r="B36" s="71"/>
      <c r="C36" s="71"/>
      <c r="D36" s="71"/>
      <c r="E36" s="71"/>
      <c r="F36" s="71"/>
      <c r="G36" s="71"/>
      <c r="H36" s="71"/>
      <c r="I36" s="71"/>
      <c r="J36" s="71"/>
      <c r="K36" s="71"/>
      <c r="L36" s="71"/>
      <c r="M36" s="71"/>
    </row>
    <row r="37" spans="2:13" ht="19.5" customHeight="1" thickTop="1" thickBot="1" x14ac:dyDescent="0.2">
      <c r="B37" s="38" t="str">
        <f>IF(AND(ISNUMBER($D$24),ISNUMBER($D$25))=TRUE,"Scope 1+2 emissions (tCO2e)","enter emissions data")</f>
        <v>Scope 1+2 emissions (tCO2e)</v>
      </c>
      <c r="D37" s="58">
        <f>IF(OR(D24="",D25=""),"",$D$34+$D$35)</f>
        <v>600000</v>
      </c>
      <c r="E37" s="51"/>
      <c r="F37" s="58" t="str">
        <f>IF(AND(ISNUMBER(F34),ISNUMBER(F35)),F34+F35,"----")</f>
        <v>----</v>
      </c>
      <c r="G37" s="52"/>
      <c r="H37" s="58">
        <f>IF(OR(D24="",D25=""),"",H34+H35)</f>
        <v>272399.99999999994</v>
      </c>
      <c r="I37" s="52"/>
      <c r="J37" s="82" t="str">
        <f>IF(ISNUMBER(F37),(1-F37/D37),"----")</f>
        <v>----</v>
      </c>
      <c r="K37" s="82">
        <f>IF(OR($D$28="",$D$29=""),"-----",$L$37-(1-(Calculations!D16+Calculations!D23)/$D$37))</f>
        <v>0</v>
      </c>
      <c r="L37" s="82">
        <f>+IF(OR($D$37="",$H$37=""),"",1-$H$37/$D$37)</f>
        <v>0.54600000000000004</v>
      </c>
    </row>
    <row r="38" spans="2:13" ht="9" customHeight="1" thickTop="1" thickBot="1" x14ac:dyDescent="0.2"/>
    <row r="39" spans="2:13" ht="19.5" customHeight="1" thickTop="1" thickBot="1" x14ac:dyDescent="0.2">
      <c r="B39" s="38" t="s">
        <v>223</v>
      </c>
      <c r="D39" s="315" t="str">
        <f>IF(OR(ISBLANK($D$22),ISBLANK($D$23),ISBLANK($D$24),ISBLANK($D$26)), "Enter data in Section 1", $D$22&amp;" commits to reduce Scope 1 emissions "&amp;(ROUNDUP(TRUNC($L$34,4),3)*100)&amp;"%"&amp;" by "&amp;$D$26&amp;" from a "&amp;$D$23&amp;" base year.")</f>
        <v>ABC Motors commits to reduce Scope 1 emissions 54.6% by 2033 from a 2022 base year.</v>
      </c>
      <c r="E39" s="315"/>
      <c r="F39" s="315"/>
      <c r="G39" s="315"/>
      <c r="H39" s="315"/>
      <c r="I39" s="315"/>
      <c r="J39" s="315"/>
      <c r="K39" s="315"/>
      <c r="L39" s="315"/>
    </row>
    <row r="40" spans="2:13" ht="19.5" customHeight="1" thickTop="1" thickBot="1" x14ac:dyDescent="0.2">
      <c r="B40" s="40" t="s">
        <v>224</v>
      </c>
      <c r="D40" s="313" t="str">
        <f>IF(OR(ISBLANK($D$22),ISBLANK($D$23),ISBLANK($D$25),ISBLANK($D$26)), "Enter data in Section 1", $D$22&amp;" commits to reduce Scope 2 emissions "&amp;(ROUNDUP(TRUNC($L$35,4),3)*100)&amp;"%"&amp;" by "&amp;$D$26&amp;" from a "&amp;$D$23&amp;" base year.")</f>
        <v>ABC Motors commits to reduce Scope 2 emissions 54.6% by 2033 from a 2022 base year.</v>
      </c>
      <c r="E40" s="313"/>
      <c r="F40" s="313"/>
      <c r="G40" s="313"/>
      <c r="H40" s="313"/>
      <c r="I40" s="313"/>
      <c r="J40" s="313"/>
      <c r="K40" s="313"/>
      <c r="L40" s="313"/>
    </row>
    <row r="41" spans="2:13" ht="9.5" customHeight="1" thickTop="1" thickBot="1" x14ac:dyDescent="0.2">
      <c r="B41" s="108"/>
      <c r="D41" s="102"/>
      <c r="E41" s="102"/>
      <c r="F41" s="102"/>
      <c r="G41" s="102"/>
      <c r="H41" s="102"/>
      <c r="I41" s="102"/>
      <c r="J41" s="102"/>
      <c r="K41" s="62"/>
      <c r="L41" s="62"/>
    </row>
    <row r="42" spans="2:13" ht="19.5" customHeight="1" thickTop="1" thickBot="1" x14ac:dyDescent="0.2">
      <c r="B42" s="38" t="s">
        <v>225</v>
      </c>
      <c r="D42" s="315" t="str" cm="1">
        <f t="array" ref="D42">IF(OR(ISBLANK($D$22),ISBLANK($D$23),ISBLANK($D$24:$D$26)), "Enter data in Section 1", $D$22&amp;" commits to reduce scope 1 and 2 emissions "&amp;(ROUNDUP(TRUNC($L$37,4),3)*100)&amp;"%"&amp;" by "&amp;$D$26&amp;" from a "&amp;$D$23&amp;" base year.")</f>
        <v>ABC Motors commits to reduce scope 1 and 2 emissions 54.6% by 2033 from a 2022 base year.</v>
      </c>
      <c r="E42" s="315"/>
      <c r="F42" s="315"/>
      <c r="G42" s="315"/>
      <c r="H42" s="315"/>
      <c r="I42" s="315"/>
      <c r="J42" s="315"/>
      <c r="K42" s="315"/>
      <c r="L42" s="315"/>
    </row>
    <row r="43" spans="2:13" ht="19.5" customHeight="1" thickTop="1" x14ac:dyDescent="0.15">
      <c r="B43" s="94" t="s">
        <v>339</v>
      </c>
      <c r="D43" s="316" t="s">
        <v>340</v>
      </c>
      <c r="E43" s="316"/>
      <c r="F43" s="316"/>
      <c r="G43" s="316"/>
      <c r="H43" s="316"/>
      <c r="I43" s="316"/>
      <c r="J43" s="316"/>
      <c r="K43" s="316"/>
      <c r="L43" s="316"/>
    </row>
    <row r="44" spans="2:13" ht="19.5" customHeight="1" x14ac:dyDescent="0.15">
      <c r="K44" s="66"/>
    </row>
    <row r="45" spans="2:13" ht="19.5" customHeight="1" x14ac:dyDescent="0.15"/>
    <row r="46" spans="2:13" ht="19.5" customHeight="1" x14ac:dyDescent="0.15"/>
    <row r="47" spans="2:13" ht="19.5" customHeight="1" x14ac:dyDescent="0.15"/>
    <row r="48" spans="2:13" ht="19.5" customHeight="1" x14ac:dyDescent="0.15"/>
    <row r="49" spans="2:26" ht="19.5" customHeight="1" x14ac:dyDescent="0.15"/>
    <row r="50" spans="2:26" ht="19.5" customHeight="1" x14ac:dyDescent="0.15"/>
    <row r="51" spans="2:26" ht="19.5" customHeight="1" x14ac:dyDescent="0.15"/>
    <row r="52" spans="2:26" ht="19.5" customHeight="1" x14ac:dyDescent="0.15"/>
    <row r="53" spans="2:26" ht="19.5" customHeight="1" x14ac:dyDescent="0.15"/>
    <row r="54" spans="2:26" ht="19.5" customHeight="1" x14ac:dyDescent="0.15"/>
    <row r="55" spans="2:26" ht="19.5" customHeight="1" x14ac:dyDescent="0.15"/>
    <row r="56" spans="2:26" ht="19.5" customHeight="1" x14ac:dyDescent="0.15"/>
    <row r="57" spans="2:26" ht="19.5" customHeight="1" x14ac:dyDescent="0.15"/>
    <row r="58" spans="2:26" ht="19.5" customHeight="1" x14ac:dyDescent="0.15"/>
    <row r="59" spans="2:26" ht="19.5" customHeight="1" x14ac:dyDescent="0.15"/>
    <row r="60" spans="2:26" ht="19.5" customHeight="1" x14ac:dyDescent="0.15"/>
    <row r="61" spans="2:26" ht="19.5" customHeight="1" x14ac:dyDescent="0.15"/>
    <row r="62" spans="2:26" ht="19.5" customHeight="1" x14ac:dyDescent="0.15"/>
    <row r="63" spans="2:26" ht="12.75" customHeight="1" x14ac:dyDescent="0.2">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2:26" ht="12.75" customHeight="1" x14ac:dyDescent="0.15">
      <c r="D64" s="42"/>
      <c r="F64" s="5"/>
      <c r="S64" s="64"/>
    </row>
    <row r="65" spans="2:13" ht="20" customHeight="1" x14ac:dyDescent="0.2">
      <c r="B65" s="7" t="s">
        <v>334</v>
      </c>
    </row>
    <row r="66" spans="2:13" ht="18" customHeight="1" x14ac:dyDescent="0.2">
      <c r="B66" s="7"/>
    </row>
    <row r="67" spans="2:13" ht="18" customHeight="1" x14ac:dyDescent="0.15">
      <c r="B67" s="311" t="s">
        <v>325</v>
      </c>
      <c r="C67" s="311"/>
      <c r="D67" s="311"/>
      <c r="E67" s="311"/>
      <c r="F67" s="311"/>
      <c r="G67" s="311"/>
      <c r="H67" s="311"/>
    </row>
    <row r="68" spans="2:13" ht="36" customHeight="1" x14ac:dyDescent="0.15">
      <c r="B68" s="311" t="s">
        <v>324</v>
      </c>
      <c r="C68" s="311"/>
      <c r="D68" s="311"/>
      <c r="E68" s="311"/>
      <c r="F68" s="311"/>
      <c r="G68" s="311"/>
      <c r="H68" s="311"/>
    </row>
    <row r="69" spans="2:13" ht="18" customHeight="1" thickBot="1" x14ac:dyDescent="0.2"/>
    <row r="70" spans="2:13" ht="20" customHeight="1" thickTop="1" thickBot="1" x14ac:dyDescent="0.2">
      <c r="B70" s="38" t="s">
        <v>3</v>
      </c>
      <c r="C70" s="3"/>
      <c r="D70" s="50" t="s">
        <v>326</v>
      </c>
      <c r="E70" s="3"/>
      <c r="F70" s="39" t="str">
        <f>IF(ISTEXT($D$22)=TRUE,"Select a geography","")</f>
        <v>Select a geography</v>
      </c>
    </row>
    <row r="71" spans="2:13" ht="20" customHeight="1" thickTop="1" thickBot="1" x14ac:dyDescent="0.2">
      <c r="B71" s="40" t="s">
        <v>236</v>
      </c>
      <c r="C71" s="3" t="str">
        <f>""</f>
        <v/>
      </c>
      <c r="D71" s="49" t="s">
        <v>333</v>
      </c>
      <c r="E71" s="3" t="str">
        <f>""</f>
        <v/>
      </c>
      <c r="F71" s="39" t="str">
        <f>IF(ISTEXT($D$22)=TRUE,"Select a vehicle category","")</f>
        <v>Select a vehicle category</v>
      </c>
    </row>
    <row r="72" spans="2:13" ht="20" hidden="1" customHeight="1" thickTop="1" thickBot="1" x14ac:dyDescent="0.2">
      <c r="B72" s="38" t="s">
        <v>31</v>
      </c>
      <c r="C72" s="3" t="str">
        <f>""</f>
        <v/>
      </c>
      <c r="D72" s="101" t="str">
        <f>Lists!C3</f>
        <v>Convergence approach</v>
      </c>
      <c r="F72" s="39" t="s">
        <v>289</v>
      </c>
    </row>
    <row r="73" spans="2:13" ht="20" customHeight="1" thickTop="1" thickBot="1" x14ac:dyDescent="0.2">
      <c r="B73" s="38" t="s">
        <v>265</v>
      </c>
      <c r="C73" s="3"/>
      <c r="D73" s="101">
        <f>+D23</f>
        <v>2022</v>
      </c>
      <c r="E73" s="3"/>
      <c r="F73" s="137" t="s">
        <v>298</v>
      </c>
    </row>
    <row r="74" spans="2:13" ht="20" customHeight="1" thickTop="1" thickBot="1" x14ac:dyDescent="0.2">
      <c r="B74" s="38" t="s">
        <v>259</v>
      </c>
      <c r="C74" s="3"/>
      <c r="D74" s="101">
        <f>+D26</f>
        <v>2033</v>
      </c>
      <c r="E74" s="3"/>
      <c r="F74" s="137" t="s">
        <v>298</v>
      </c>
    </row>
    <row r="75" spans="2:13" ht="20" customHeight="1" thickTop="1" thickBot="1" x14ac:dyDescent="0.2">
      <c r="B75" s="40" t="s">
        <v>274</v>
      </c>
      <c r="C75" s="3"/>
      <c r="D75" s="95">
        <v>120</v>
      </c>
      <c r="F75" s="39" t="str">
        <f>IF(ISTEXT($D$22)=TRUE,"gCO2e/vkm")</f>
        <v>gCO2e/vkm</v>
      </c>
    </row>
    <row r="76" spans="2:13" ht="20" customHeight="1" thickTop="1" thickBot="1" x14ac:dyDescent="0.2">
      <c r="B76" s="40" t="s">
        <v>275</v>
      </c>
      <c r="C76" s="3"/>
      <c r="D76" s="96">
        <v>0.6</v>
      </c>
      <c r="F76" s="39" t="s">
        <v>286</v>
      </c>
    </row>
    <row r="77" spans="2:13" ht="20" customHeight="1" thickTop="1" x14ac:dyDescent="0.15"/>
    <row r="78" spans="2:13" ht="20" customHeight="1" x14ac:dyDescent="0.2">
      <c r="B78" s="100" t="str">
        <f>CONCATENATE("Near-term targets: ",D71&amp;" | "&amp;D70)</f>
        <v>Near-term targets: PLDVs | Advanced Economies</v>
      </c>
      <c r="D78" s="64"/>
      <c r="E78" s="64"/>
      <c r="F78" s="64"/>
    </row>
    <row r="79" spans="2:13" x14ac:dyDescent="0.15">
      <c r="B79" s="138" t="s">
        <v>32</v>
      </c>
    </row>
    <row r="80" spans="2:13" ht="37.5" customHeight="1" x14ac:dyDescent="0.15">
      <c r="B80" s="1"/>
      <c r="D80" s="43" t="str">
        <f>+CONCATENATE("Base year ","(",D23,")")</f>
        <v>Base year (2022)</v>
      </c>
      <c r="E80" s="44"/>
      <c r="F80" s="43" t="str">
        <f>+CONCATENATE("Target year ","(",D26,")")</f>
        <v>Target year (2033)</v>
      </c>
      <c r="G80" s="34"/>
      <c r="H80" s="43" t="s">
        <v>278</v>
      </c>
      <c r="I80" s="34"/>
      <c r="J80" s="70"/>
      <c r="K80" s="70"/>
      <c r="L80" s="70"/>
      <c r="M80" s="71"/>
    </row>
    <row r="81" spans="2:12" ht="20" customHeight="1" thickBot="1" x14ac:dyDescent="0.2">
      <c r="B81" s="38" t="str">
        <f>+Calculations!B109</f>
        <v>select a LDV category</v>
      </c>
      <c r="D81" s="59">
        <f>+IF(AND(D73="",D75=""),"",D75)</f>
        <v>120</v>
      </c>
      <c r="E81" s="53"/>
      <c r="F81" s="59" t="e">
        <f>+IF(AND(D73="",D75=""),"",Calculations!D111)</f>
        <v>#N/A</v>
      </c>
      <c r="G81" s="52"/>
      <c r="H81" s="105" t="e">
        <f>IF(F81&lt;=0,100%,IF(AND(D81="",F81=""),"",ROUNDUP(TRUNC(1-F81/D81,4),3)))</f>
        <v>#N/A</v>
      </c>
      <c r="I81" s="52"/>
    </row>
    <row r="82" spans="2:12" ht="20" customHeight="1" thickTop="1" thickBot="1" x14ac:dyDescent="0.2">
      <c r="B82" s="38" t="str">
        <f>Calculations!B114</f>
        <v>select a LDV category</v>
      </c>
      <c r="D82" s="98">
        <f>+IF(AND(D73="",D76=""),"",D76)</f>
        <v>0.6</v>
      </c>
      <c r="E82" s="60"/>
      <c r="F82" s="98" t="e">
        <f>+IF(AND(D73="",D75=""),"",ROUNDUP(TRUNC(Calculations!D116,4),3))</f>
        <v>#N/A</v>
      </c>
      <c r="G82" s="52"/>
      <c r="H82" s="104" t="e">
        <f>+IF(AND(D82="",F82=""),"",F82/D82-1)</f>
        <v>#N/A</v>
      </c>
      <c r="I82" s="52"/>
    </row>
    <row r="83" spans="2:12" ht="9" customHeight="1" thickTop="1" thickBot="1" x14ac:dyDescent="0.2"/>
    <row r="84" spans="2:12" ht="20" customHeight="1" thickTop="1" thickBot="1" x14ac:dyDescent="0.2">
      <c r="B84" s="38" t="s">
        <v>279</v>
      </c>
      <c r="D84" s="354" t="e" cm="1">
        <f t="array" ref="D84">IF(OR(ISBLANK(D70:D76),ISBLANK(F81:F82)),"Enter data in Section 1",$D$22&amp;" commits to reduce the average life-cycle GHG emission intensity for its vehicles sold in "&amp;D71&amp;" and "&amp;D70&amp;" by "&amp;(ROUNDUP(TRUNC(H81,4),3)*100)&amp;"%"&amp;" by "&amp;D74&amp;" relative to a "&amp;D73)</f>
        <v>#N/A</v>
      </c>
      <c r="E84" s="354"/>
      <c r="F84" s="354"/>
      <c r="G84" s="354"/>
      <c r="H84" s="354"/>
      <c r="I84" s="354"/>
      <c r="J84" s="354"/>
      <c r="K84" s="354"/>
      <c r="L84" s="354"/>
    </row>
    <row r="85" spans="2:12" ht="20" customHeight="1" thickTop="1" thickBot="1" x14ac:dyDescent="0.2">
      <c r="B85" s="40" t="s">
        <v>280</v>
      </c>
      <c r="D85" s="313" t="e" cm="1">
        <f t="array" ref="D85">IF(OR(ISBLANK(D70:D76),ISBLANK(F81:F82)),"Enter data in Section 1",$D$22&amp;" commits to increase the sales share of its low-emission vehicles in "&amp;D71&amp;" across all countries by "&amp;(ROUNDUP(TRUNC(F82,4),3)*100)&amp;"%"&amp;" in "&amp;D74&amp;" relative to "&amp;D73)</f>
        <v>#N/A</v>
      </c>
      <c r="E85" s="313"/>
      <c r="F85" s="313"/>
      <c r="G85" s="313"/>
      <c r="H85" s="313"/>
      <c r="I85" s="313"/>
      <c r="J85" s="313"/>
      <c r="K85" s="313"/>
      <c r="L85" s="313"/>
    </row>
    <row r="86" spans="2:12" ht="20" customHeight="1" thickTop="1" x14ac:dyDescent="0.15">
      <c r="D86" s="99"/>
    </row>
    <row r="87" spans="2:12" ht="20" customHeight="1" x14ac:dyDescent="0.15"/>
    <row r="88" spans="2:12" ht="20" customHeight="1" x14ac:dyDescent="0.15"/>
    <row r="89" spans="2:12" ht="20" customHeight="1" x14ac:dyDescent="0.15"/>
    <row r="90" spans="2:12" ht="20" customHeight="1" x14ac:dyDescent="0.15"/>
    <row r="91" spans="2:12" ht="20" customHeight="1" x14ac:dyDescent="0.15"/>
    <row r="92" spans="2:12" ht="20" customHeight="1" x14ac:dyDescent="0.15"/>
    <row r="93" spans="2:12" ht="20" customHeight="1" x14ac:dyDescent="0.15"/>
    <row r="94" spans="2:12" ht="20" customHeight="1" x14ac:dyDescent="0.15"/>
    <row r="95" spans="2:12" ht="20" customHeight="1" x14ac:dyDescent="0.15"/>
    <row r="96" spans="2:12" ht="20" customHeight="1" x14ac:dyDescent="0.15"/>
    <row r="97" spans="2:26" ht="20" customHeight="1" x14ac:dyDescent="0.15"/>
    <row r="98" spans="2:26" ht="20" customHeight="1" x14ac:dyDescent="0.15"/>
    <row r="99" spans="2:26" ht="20" customHeight="1" x14ac:dyDescent="0.15"/>
    <row r="100" spans="2:26" ht="20" customHeight="1" x14ac:dyDescent="0.15"/>
    <row r="101" spans="2:26" ht="20" customHeight="1" x14ac:dyDescent="0.15">
      <c r="J101" s="46"/>
    </row>
    <row r="102" spans="2:26" ht="19.5" customHeight="1" x14ac:dyDescent="0.15"/>
    <row r="103" spans="2:26" ht="12.75" customHeight="1" x14ac:dyDescent="0.2">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2:26" ht="12.75" customHeight="1" x14ac:dyDescent="0.15">
      <c r="D104" s="42"/>
      <c r="F104" s="5"/>
      <c r="S104" s="64"/>
    </row>
    <row r="105" spans="2:26" ht="20" customHeight="1" x14ac:dyDescent="0.2">
      <c r="B105" s="7" t="s">
        <v>335</v>
      </c>
    </row>
    <row r="106" spans="2:26" ht="18" customHeight="1" x14ac:dyDescent="0.2">
      <c r="B106" s="7"/>
    </row>
    <row r="107" spans="2:26" ht="18" customHeight="1" x14ac:dyDescent="0.15">
      <c r="B107" s="311" t="s">
        <v>325</v>
      </c>
      <c r="C107" s="311"/>
      <c r="D107" s="311"/>
      <c r="E107" s="311"/>
      <c r="F107" s="311"/>
      <c r="G107" s="311"/>
      <c r="H107" s="311"/>
    </row>
    <row r="108" spans="2:26" ht="36" customHeight="1" x14ac:dyDescent="0.15">
      <c r="B108" s="311" t="s">
        <v>324</v>
      </c>
      <c r="C108" s="311"/>
      <c r="D108" s="311"/>
      <c r="E108" s="311"/>
      <c r="F108" s="311"/>
      <c r="G108" s="311"/>
      <c r="H108" s="311"/>
    </row>
    <row r="109" spans="2:26" ht="18" customHeight="1" thickBot="1" x14ac:dyDescent="0.2">
      <c r="J109" s="46"/>
    </row>
    <row r="110" spans="2:26" ht="20" customHeight="1" thickTop="1" thickBot="1" x14ac:dyDescent="0.2">
      <c r="B110" s="38" t="s">
        <v>3</v>
      </c>
      <c r="C110" s="3"/>
      <c r="D110" s="50" t="s">
        <v>326</v>
      </c>
      <c r="E110" s="3"/>
      <c r="F110" s="39" t="str">
        <f>IF(ISTEXT($D$22)=TRUE,"Select a geography","")</f>
        <v>Select a geography</v>
      </c>
      <c r="J110" s="46"/>
    </row>
    <row r="111" spans="2:26" ht="20" customHeight="1" thickTop="1" thickBot="1" x14ac:dyDescent="0.2">
      <c r="B111" s="40" t="s">
        <v>236</v>
      </c>
      <c r="C111" s="3" t="str">
        <f>""</f>
        <v/>
      </c>
      <c r="D111" s="49" t="s">
        <v>328</v>
      </c>
      <c r="E111" s="3" t="str">
        <f>""</f>
        <v/>
      </c>
      <c r="F111" s="39" t="str">
        <f>IF(ISTEXT($D$22)=TRUE,"Select a vehicle category","")</f>
        <v>Select a vehicle category</v>
      </c>
      <c r="J111" s="46"/>
    </row>
    <row r="112" spans="2:26" ht="20" hidden="1" customHeight="1" thickTop="1" thickBot="1" x14ac:dyDescent="0.2">
      <c r="B112" s="38" t="s">
        <v>31</v>
      </c>
      <c r="C112" s="3" t="str">
        <f>""</f>
        <v/>
      </c>
      <c r="D112" s="101" t="str">
        <f>Lists!C4</f>
        <v>Percent improvement approach</v>
      </c>
      <c r="F112" s="39" t="s">
        <v>289</v>
      </c>
      <c r="J112" s="46"/>
    </row>
    <row r="113" spans="2:13" ht="20" customHeight="1" thickTop="1" thickBot="1" x14ac:dyDescent="0.2">
      <c r="B113" s="38" t="s">
        <v>265</v>
      </c>
      <c r="C113" s="3"/>
      <c r="D113" s="101">
        <f>+D23</f>
        <v>2022</v>
      </c>
      <c r="E113" s="3"/>
      <c r="F113" s="137" t="s">
        <v>288</v>
      </c>
      <c r="J113" s="46"/>
    </row>
    <row r="114" spans="2:13" ht="20" customHeight="1" thickTop="1" thickBot="1" x14ac:dyDescent="0.2">
      <c r="B114" s="38" t="s">
        <v>259</v>
      </c>
      <c r="C114" s="3"/>
      <c r="D114" s="101">
        <f>+D74</f>
        <v>2033</v>
      </c>
      <c r="E114" s="3"/>
      <c r="F114" s="137" t="s">
        <v>288</v>
      </c>
      <c r="J114" s="46"/>
    </row>
    <row r="115" spans="2:13" ht="20" customHeight="1" thickTop="1" thickBot="1" x14ac:dyDescent="0.2">
      <c r="B115" s="40" t="s">
        <v>274</v>
      </c>
      <c r="C115" s="3"/>
      <c r="D115" s="95">
        <v>900</v>
      </c>
      <c r="F115" s="39" t="str">
        <f>IF(ISTEXT($D$22)=TRUE,"gCO2e/vkm")</f>
        <v>gCO2e/vkm</v>
      </c>
      <c r="J115" s="46"/>
    </row>
    <row r="116" spans="2:13" ht="20" customHeight="1" thickTop="1" thickBot="1" x14ac:dyDescent="0.2">
      <c r="B116" s="40" t="s">
        <v>275</v>
      </c>
      <c r="C116" s="3"/>
      <c r="D116" s="96">
        <v>0.02</v>
      </c>
      <c r="F116" s="39" t="s">
        <v>286</v>
      </c>
      <c r="J116" s="46"/>
    </row>
    <row r="117" spans="2:13" ht="20" customHeight="1" thickTop="1" x14ac:dyDescent="0.15">
      <c r="F117" s="39"/>
      <c r="J117" s="46"/>
    </row>
    <row r="118" spans="2:13" ht="20" customHeight="1" x14ac:dyDescent="0.2">
      <c r="B118" s="100" t="str">
        <f>CONCATENATE("Near-term targets: ",D111&amp;" | "&amp;D110)</f>
        <v>Near-term targets: Medium Duty Trucks | Advanced Economies</v>
      </c>
      <c r="D118" s="8"/>
      <c r="F118" s="64"/>
    </row>
    <row r="119" spans="2:13" x14ac:dyDescent="0.15">
      <c r="B119" s="138" t="s">
        <v>32</v>
      </c>
    </row>
    <row r="120" spans="2:13" ht="37.5" customHeight="1" x14ac:dyDescent="0.15">
      <c r="B120" s="1"/>
      <c r="D120" s="43" t="str">
        <f>+CONCATENATE("Base year ","(",D61,")")</f>
        <v>Base year ()</v>
      </c>
      <c r="E120" s="44"/>
      <c r="F120" s="43" t="str">
        <f>+CONCATENATE("Target year ","(",D64,")")</f>
        <v>Target year ()</v>
      </c>
      <c r="G120" s="34"/>
      <c r="H120" s="43" t="s">
        <v>278</v>
      </c>
      <c r="I120" s="34"/>
      <c r="J120" s="70"/>
      <c r="K120" s="70"/>
      <c r="L120" s="70"/>
      <c r="M120" s="71"/>
    </row>
    <row r="121" spans="2:13" ht="20" customHeight="1" thickBot="1" x14ac:dyDescent="0.2">
      <c r="B121" s="38" t="str">
        <f>Calculations!B119</f>
        <v>select a non-LDV vehicle category</v>
      </c>
      <c r="D121" s="59">
        <f>+IF(AND(D113="",D115=""),"",D115)</f>
        <v>900</v>
      </c>
      <c r="E121" s="53"/>
      <c r="F121" s="59" t="e">
        <f>+IF(AND(D113="",D115=""),"",Calculations!D121)</f>
        <v>#N/A</v>
      </c>
      <c r="G121" s="52"/>
      <c r="H121" s="105" t="e">
        <f>IF(F121&lt;=0,100%,IF(AND(D121="",F121=""),"",ROUNDUP(TRUNC(1-F121/D121,4),3)))</f>
        <v>#N/A</v>
      </c>
      <c r="I121" s="52"/>
    </row>
    <row r="122" spans="2:13" ht="20" customHeight="1" thickTop="1" thickBot="1" x14ac:dyDescent="0.2">
      <c r="B122" s="38" t="str">
        <f>Calculations!B124</f>
        <v>select a vehicle category</v>
      </c>
      <c r="D122" s="98">
        <f>+IF(AND(D113="",D116=""),"",D116)</f>
        <v>0.02</v>
      </c>
      <c r="E122" s="60"/>
      <c r="F122" s="98" t="e">
        <f>+IF(AND(D113="",D115=""),"",ROUNDUP(TRUNC(Calculations!D126,4),3))</f>
        <v>#N/A</v>
      </c>
      <c r="G122" s="52"/>
      <c r="H122" s="104" t="e">
        <f>+IF(AND(D122="",F122=""),"",F122/D122-1)</f>
        <v>#N/A</v>
      </c>
      <c r="I122" s="52"/>
    </row>
    <row r="123" spans="2:13" ht="20" customHeight="1" thickTop="1" thickBot="1" x14ac:dyDescent="0.2"/>
    <row r="124" spans="2:13" ht="20" customHeight="1" thickTop="1" thickBot="1" x14ac:dyDescent="0.2">
      <c r="B124" s="38" t="s">
        <v>279</v>
      </c>
      <c r="D124" s="354" t="e" cm="1">
        <f t="array" ref="D124">IF(OR(ISBLANK(D110:D116),ISBLANK(F121:F122)),"Enter data in Section 1",$D$22&amp;" commits to reduce the average life-cycle GHG emission intensity for its vehicles sold in "&amp;D111&amp;" and "&amp;D110&amp;" by "&amp;(ROUNDUP(TRUNC(H121,4),3)*100)&amp;"%"&amp;" by "&amp;D114&amp;" relative to "&amp;D113)</f>
        <v>#N/A</v>
      </c>
      <c r="E124" s="354"/>
      <c r="F124" s="354"/>
      <c r="G124" s="354"/>
      <c r="H124" s="354"/>
      <c r="I124" s="354"/>
      <c r="J124" s="354"/>
      <c r="K124" s="354"/>
      <c r="L124" s="354"/>
    </row>
    <row r="125" spans="2:13" ht="20" customHeight="1" thickTop="1" thickBot="1" x14ac:dyDescent="0.2">
      <c r="B125" s="40" t="s">
        <v>280</v>
      </c>
      <c r="D125" s="313" t="e" cm="1">
        <f t="array" ref="D125">IF(OR(ISBLANK(D110:D116),ISBLANK(F121:F122)),"Enter data in Section 1",$D$22&amp;" commits to increase the sales share of its low-emission "&amp;D111&amp;" sold in "&amp;D110&amp;" region to "&amp;(ROUNDUP(TRUNC(F122,4),3)*100)&amp;"%"&amp;" of total vehicle sales by "&amp;D114&amp;" from a "&amp;D113&amp;" base year.")</f>
        <v>#N/A</v>
      </c>
      <c r="E125" s="313"/>
      <c r="F125" s="313"/>
      <c r="G125" s="313"/>
      <c r="H125" s="313"/>
      <c r="I125" s="313"/>
      <c r="J125" s="313"/>
      <c r="K125" s="313"/>
      <c r="L125" s="313"/>
    </row>
    <row r="126" spans="2:13" ht="20" customHeight="1" thickTop="1" x14ac:dyDescent="0.15">
      <c r="F126" s="39"/>
      <c r="J126" s="46"/>
    </row>
    <row r="127" spans="2:13" ht="20" customHeight="1" x14ac:dyDescent="0.15">
      <c r="F127" s="39"/>
      <c r="J127" s="46"/>
    </row>
    <row r="128" spans="2:13" ht="20" customHeight="1" x14ac:dyDescent="0.15">
      <c r="F128" s="39"/>
      <c r="J128" s="46"/>
    </row>
    <row r="129" spans="2:26" ht="20" customHeight="1" x14ac:dyDescent="0.15">
      <c r="F129" s="39"/>
      <c r="J129" s="46"/>
    </row>
    <row r="130" spans="2:26" ht="20" customHeight="1" x14ac:dyDescent="0.15">
      <c r="F130" s="39"/>
      <c r="J130" s="46"/>
    </row>
    <row r="131" spans="2:26" ht="20" customHeight="1" x14ac:dyDescent="0.15">
      <c r="F131" s="39"/>
      <c r="J131" s="46"/>
    </row>
    <row r="132" spans="2:26" ht="20" customHeight="1" x14ac:dyDescent="0.15">
      <c r="F132" s="39"/>
      <c r="J132" s="46"/>
    </row>
    <row r="133" spans="2:26" ht="20" customHeight="1" x14ac:dyDescent="0.15">
      <c r="F133" s="39"/>
      <c r="J133" s="46"/>
    </row>
    <row r="134" spans="2:26" ht="20" customHeight="1" x14ac:dyDescent="0.15">
      <c r="F134" s="39"/>
      <c r="J134" s="46"/>
    </row>
    <row r="135" spans="2:26" ht="20" customHeight="1" x14ac:dyDescent="0.15">
      <c r="F135" s="39"/>
      <c r="J135" s="46"/>
    </row>
    <row r="136" spans="2:26" ht="20" customHeight="1" x14ac:dyDescent="0.15">
      <c r="F136" s="39"/>
      <c r="J136" s="46"/>
    </row>
    <row r="137" spans="2:26" ht="20" customHeight="1" x14ac:dyDescent="0.15">
      <c r="F137" s="39"/>
      <c r="J137" s="46"/>
    </row>
    <row r="138" spans="2:26" ht="20" customHeight="1" x14ac:dyDescent="0.15">
      <c r="F138" s="39"/>
      <c r="J138" s="46"/>
    </row>
    <row r="139" spans="2:26" ht="20" customHeight="1" x14ac:dyDescent="0.15">
      <c r="J139" s="46"/>
    </row>
    <row r="140" spans="2:26" ht="20" customHeight="1" x14ac:dyDescent="0.15">
      <c r="J140" s="46"/>
    </row>
    <row r="141" spans="2:26" ht="20" customHeight="1" x14ac:dyDescent="0.15">
      <c r="J141" s="46"/>
    </row>
    <row r="142" spans="2:26" ht="20" customHeight="1" x14ac:dyDescent="0.15">
      <c r="J142" s="46"/>
    </row>
    <row r="143" spans="2:26" ht="12.75" customHeight="1" x14ac:dyDescent="0.2">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2:26" ht="19.5" customHeight="1" x14ac:dyDescent="0.15"/>
    <row r="145" spans="2:56" ht="19.5" customHeight="1" x14ac:dyDescent="0.2">
      <c r="B145" s="8" t="s">
        <v>33</v>
      </c>
    </row>
    <row r="146" spans="2:56" ht="19.5" customHeight="1" x14ac:dyDescent="0.15">
      <c r="J146" s="43">
        <f>AutomakersOLD!$D$23</f>
        <v>2022</v>
      </c>
      <c r="K146" s="43">
        <f t="shared" ref="K146:W146" si="0">IF(J146&lt;2035,J146+1,"")</f>
        <v>2023</v>
      </c>
      <c r="L146" s="43">
        <f t="shared" si="0"/>
        <v>2024</v>
      </c>
      <c r="M146" s="43">
        <f t="shared" si="0"/>
        <v>2025</v>
      </c>
      <c r="N146" s="43">
        <f t="shared" si="0"/>
        <v>2026</v>
      </c>
      <c r="O146" s="43">
        <f t="shared" si="0"/>
        <v>2027</v>
      </c>
      <c r="P146" s="43">
        <f t="shared" si="0"/>
        <v>2028</v>
      </c>
      <c r="Q146" s="43">
        <f t="shared" si="0"/>
        <v>2029</v>
      </c>
      <c r="R146" s="43">
        <f t="shared" si="0"/>
        <v>2030</v>
      </c>
      <c r="S146" s="43">
        <f t="shared" si="0"/>
        <v>2031</v>
      </c>
      <c r="T146" s="43">
        <f t="shared" si="0"/>
        <v>2032</v>
      </c>
      <c r="U146" s="43">
        <f t="shared" si="0"/>
        <v>2033</v>
      </c>
      <c r="V146" s="43">
        <f t="shared" si="0"/>
        <v>2034</v>
      </c>
      <c r="W146" s="43">
        <f t="shared" si="0"/>
        <v>2035</v>
      </c>
    </row>
    <row r="147" spans="2:56" ht="19.5" customHeight="1" thickBot="1" x14ac:dyDescent="0.2">
      <c r="D147" s="355" t="s">
        <v>284</v>
      </c>
      <c r="F147" s="356" t="str">
        <f>+B34</f>
        <v>Scope 1 emissions (tCO2e)</v>
      </c>
      <c r="G147" s="356"/>
      <c r="H147" s="356"/>
      <c r="J147" s="83">
        <f>IF(AND($D$24&gt;0,J146&lt;&gt;""),HLOOKUP(J$146,Calculations!$B$1:$AI$200,ROW(Calculations!$B$103)),"")</f>
        <v>100000</v>
      </c>
      <c r="K147" s="83">
        <f>IF(AND($D$24&gt;0,K146&lt;&gt;""),HLOOKUP(K$146,Calculations!$B$1:$AI$200,ROW(Calculations!$B$103)),"")</f>
        <v>95036.363636363647</v>
      </c>
      <c r="L147" s="83">
        <f>IF(AND($D$24&gt;0,L146&lt;&gt;""),HLOOKUP(L$146,Calculations!$B$1:$AI$200,ROW(Calculations!$B$103)),"")</f>
        <v>90072.727272727265</v>
      </c>
      <c r="M147" s="83">
        <f>IF(AND($D$24&gt;0,M146&lt;&gt;""),HLOOKUP(M$146,Calculations!$B$1:$AI$200,ROW(Calculations!$B$103)),"")</f>
        <v>85109.090909090912</v>
      </c>
      <c r="N147" s="83">
        <f>IF(AND($D$24&gt;0,N146&lt;&gt;""),HLOOKUP(N$146,Calculations!$B$1:$AI$200,ROW(Calculations!$B$103)),"")</f>
        <v>80145.454545454544</v>
      </c>
      <c r="O147" s="83">
        <f>IF(AND($D$24&gt;0,O146&lt;&gt;""),HLOOKUP(O$146,Calculations!$B$1:$AI$200,ROW(Calculations!$B$103)),"")</f>
        <v>75181.818181818177</v>
      </c>
      <c r="P147" s="83">
        <f>IF(AND($D$24&gt;0,P146&lt;&gt;""),HLOOKUP(P$146,Calculations!$B$1:$AI$200,ROW(Calculations!$B$103)),"")</f>
        <v>70218.181818181823</v>
      </c>
      <c r="Q147" s="83">
        <f>IF(AND($D$24&gt;0,Q146&lt;&gt;""),HLOOKUP(Q$146,Calculations!$B$1:$AI$200,ROW(Calculations!$B$103)),"")</f>
        <v>65254.545454545456</v>
      </c>
      <c r="R147" s="83">
        <f>IF(AND($D$24&gt;0,R146&lt;&gt;""),HLOOKUP(R$146,Calculations!$B$1:$AI$200,ROW(Calculations!$B$103)),"")</f>
        <v>60290.909090909081</v>
      </c>
      <c r="S147" s="83">
        <f>IF(AND($D$24&gt;0,S146&lt;&gt;""),HLOOKUP(S$146,Calculations!$B$1:$AI$200,ROW(Calculations!$B$103)),"")</f>
        <v>55327.272727272728</v>
      </c>
      <c r="T147" s="83">
        <f>IF(AND($D$24&gt;0,T146&lt;&gt;""),HLOOKUP(T$146,Calculations!$B$1:$AI$200,ROW(Calculations!$B$103)),"")</f>
        <v>50363.636363636368</v>
      </c>
      <c r="U147" s="83">
        <f>IF(AND($D$24&gt;0,U146&lt;&gt;""),HLOOKUP(U$146,Calculations!$B$1:$AI$200,ROW(Calculations!$B$103)),"")</f>
        <v>45399.999999999993</v>
      </c>
      <c r="V147" s="83">
        <f>IF(AND($D$24&gt;0,V146&lt;&gt;""),HLOOKUP(V$146,Calculations!$B$1:$AI$200,ROW(Calculations!$B$103)),"")</f>
        <v>40436.36363636364</v>
      </c>
      <c r="W147" s="83">
        <f>IF(AND($D$24&gt;0,W146&lt;&gt;""),HLOOKUP(W$146,Calculations!$B$1:$AI$200,ROW(Calculations!$B$103)),"")</f>
        <v>35472.727272727265</v>
      </c>
      <c r="X147" s="83" t="str">
        <f>IF(AND($D$24&gt;0,X146&lt;&gt;""),HLOOKUP(X$146,Calculations!$B$1:$AI$200,ROW(Calculations!$B$103)),"")</f>
        <v/>
      </c>
      <c r="Y147" s="83" t="str">
        <f>IF(AND($D$24&gt;0,Y146&lt;&gt;""),HLOOKUP(Y$146,Calculations!$B$1:$AI$200,ROW(Calculations!$B$103)),"")</f>
        <v/>
      </c>
      <c r="Z147" s="83" t="str">
        <f>IF(AND($D$24&gt;0,Z146&lt;&gt;""),HLOOKUP(Z$146,Calculations!$B$1:$AI$200,ROW(Calculations!$B$103)),"")</f>
        <v/>
      </c>
    </row>
    <row r="148" spans="2:56" ht="19.5" customHeight="1" thickTop="1" thickBot="1" x14ac:dyDescent="0.2">
      <c r="D148" s="355"/>
      <c r="F148" s="356" t="str">
        <f>+B35</f>
        <v>Scope 2 emissions (tCO2e)</v>
      </c>
      <c r="G148" s="356"/>
      <c r="H148" s="356"/>
      <c r="J148" s="83">
        <f>IF(AND($D$24&gt;0,J146&lt;&gt;""),HLOOKUP(J$146,Calculations!$B$1:$AI$200,ROW(Calculations!$B$104)),"")</f>
        <v>500000</v>
      </c>
      <c r="K148" s="83">
        <f>IF(AND($D$24&gt;0,K146&lt;&gt;""),HLOOKUP(K$146,Calculations!$B$1:$AI$200,ROW(Calculations!$B$104)),"")</f>
        <v>475181.81818181818</v>
      </c>
      <c r="L148" s="83">
        <f>IF(AND($D$24&gt;0,L146&lt;&gt;""),HLOOKUP(L$146,Calculations!$B$1:$AI$200,ROW(Calculations!$B$104)),"")</f>
        <v>450363.63636363635</v>
      </c>
      <c r="M148" s="83">
        <f>IF(AND($D$24&gt;0,M146&lt;&gt;""),HLOOKUP(M$146,Calculations!$B$1:$AI$200,ROW(Calculations!$B$104)),"")</f>
        <v>425545.45454545459</v>
      </c>
      <c r="N148" s="83">
        <f>IF(AND($D$24&gt;0,N146&lt;&gt;""),HLOOKUP(N$146,Calculations!$B$1:$AI$200,ROW(Calculations!$B$104)),"")</f>
        <v>400727.27272727271</v>
      </c>
      <c r="O148" s="83">
        <f>IF(AND($D$24&gt;0,O146&lt;&gt;""),HLOOKUP(O$146,Calculations!$B$1:$AI$200,ROW(Calculations!$B$104)),"")</f>
        <v>375909.09090909094</v>
      </c>
      <c r="P148" s="83">
        <f>IF(AND($D$24&gt;0,P146&lt;&gt;""),HLOOKUP(P$146,Calculations!$B$1:$AI$200,ROW(Calculations!$B$104)),"")</f>
        <v>351090.90909090912</v>
      </c>
      <c r="Q148" s="83">
        <f>IF(AND($D$24&gt;0,Q146&lt;&gt;""),HLOOKUP(Q$146,Calculations!$B$1:$AI$200,ROW(Calculations!$B$104)),"")</f>
        <v>326272.72727272729</v>
      </c>
      <c r="R148" s="83">
        <f>IF(AND($D$24&gt;0,R146&lt;&gt;""),HLOOKUP(R$146,Calculations!$B$1:$AI$200,ROW(Calculations!$B$104)),"")</f>
        <v>301454.54545454541</v>
      </c>
      <c r="S148" s="83">
        <f>IF(AND($D$24&gt;0,S146&lt;&gt;""),HLOOKUP(S$146,Calculations!$B$1:$AI$200,ROW(Calculations!$B$104)),"")</f>
        <v>276636.36363636365</v>
      </c>
      <c r="T148" s="83">
        <f>IF(AND($D$24&gt;0,T146&lt;&gt;""),HLOOKUP(T$146,Calculations!$B$1:$AI$200,ROW(Calculations!$B$104)),"")</f>
        <v>251818.18181818182</v>
      </c>
      <c r="U148" s="83">
        <f>IF(AND($D$24&gt;0,U146&lt;&gt;""),HLOOKUP(U$146,Calculations!$B$1:$AI$200,ROW(Calculations!$B$104)),"")</f>
        <v>226999.99999999997</v>
      </c>
      <c r="V148" s="83">
        <f>IF(AND($D$24&gt;0,V146&lt;&gt;""),HLOOKUP(V$146,Calculations!$B$1:$AI$200,ROW(Calculations!$B$104)),"")</f>
        <v>202181.81818181818</v>
      </c>
      <c r="W148" s="83">
        <f>IF(AND($D$24&gt;0,W146&lt;&gt;""),HLOOKUP(W$146,Calculations!$B$1:$AI$200,ROW(Calculations!$B$104)),"")</f>
        <v>177363.63636363632</v>
      </c>
      <c r="X148" s="83" t="str">
        <f>IF(AND($D$24&gt;0,X146&lt;&gt;""),HLOOKUP(X$146,Calculations!$B$1:$AI$200,ROW(Calculations!$B$104)),"")</f>
        <v/>
      </c>
      <c r="Y148" s="83" t="str">
        <f>IF(AND($D$24&gt;0,Y146&lt;&gt;""),HLOOKUP(Y$146,Calculations!$B$1:$AI$200,ROW(Calculations!$B$104)),"")</f>
        <v/>
      </c>
      <c r="Z148" s="83" t="str">
        <f>IF(AND($D$24&gt;0,Z146&lt;&gt;""),HLOOKUP(Z$146,Calculations!$B$1:$AI$200,ROW(Calculations!$B$104)),"")</f>
        <v/>
      </c>
      <c r="BA148" s="44"/>
      <c r="BB148" s="44"/>
      <c r="BC148" s="44"/>
      <c r="BD148" s="44"/>
    </row>
    <row r="149" spans="2:56" ht="19.5" customHeight="1" thickTop="1" thickBot="1" x14ac:dyDescent="0.2">
      <c r="D149" s="355"/>
      <c r="F149" s="356" t="str">
        <f>+B37</f>
        <v>Scope 1+2 emissions (tCO2e)</v>
      </c>
      <c r="G149" s="356"/>
      <c r="H149" s="356"/>
      <c r="J149" s="83">
        <f t="shared" ref="J149:Z149" si="1">IF(OR(ISNUMBER(J$147)=TRUE,ISNUMBER(J$148=TRUE)),J$147+J$148,"")</f>
        <v>600000</v>
      </c>
      <c r="K149" s="83">
        <f t="shared" si="1"/>
        <v>570218.18181818188</v>
      </c>
      <c r="L149" s="83">
        <f t="shared" si="1"/>
        <v>540436.36363636365</v>
      </c>
      <c r="M149" s="83">
        <f t="shared" si="1"/>
        <v>510654.54545454553</v>
      </c>
      <c r="N149" s="83">
        <f t="shared" si="1"/>
        <v>480872.72727272724</v>
      </c>
      <c r="O149" s="83">
        <f t="shared" si="1"/>
        <v>451090.90909090912</v>
      </c>
      <c r="P149" s="83">
        <f t="shared" si="1"/>
        <v>421309.09090909094</v>
      </c>
      <c r="Q149" s="83">
        <f t="shared" si="1"/>
        <v>391527.27272727276</v>
      </c>
      <c r="R149" s="83">
        <f t="shared" si="1"/>
        <v>361745.45454545447</v>
      </c>
      <c r="S149" s="83">
        <f t="shared" si="1"/>
        <v>331963.63636363635</v>
      </c>
      <c r="T149" s="83">
        <f t="shared" si="1"/>
        <v>302181.81818181818</v>
      </c>
      <c r="U149" s="83">
        <f t="shared" si="1"/>
        <v>272399.99999999994</v>
      </c>
      <c r="V149" s="83">
        <f t="shared" si="1"/>
        <v>242618.18181818182</v>
      </c>
      <c r="W149" s="83">
        <f t="shared" si="1"/>
        <v>212836.36363636359</v>
      </c>
      <c r="X149" s="83" t="str">
        <f t="shared" si="1"/>
        <v/>
      </c>
      <c r="Y149" s="83" t="str">
        <f t="shared" si="1"/>
        <v/>
      </c>
      <c r="Z149" s="83" t="str">
        <f t="shared" si="1"/>
        <v/>
      </c>
      <c r="BA149" s="47"/>
      <c r="BB149" s="47"/>
      <c r="BC149" s="47"/>
      <c r="BD149" s="47"/>
    </row>
    <row r="150" spans="2:56" ht="19.5" customHeight="1" thickTop="1" x14ac:dyDescent="0.15"/>
    <row r="151" spans="2:56" ht="19.5" customHeight="1" thickBot="1" x14ac:dyDescent="0.2">
      <c r="D151" s="355" t="str">
        <f>IF(AND(ISTEXT(D71)=TRUE,D75&lt;&gt;0),B78,"select a vehicle category")</f>
        <v>Near-term targets: PLDVs | Advanced Economies</v>
      </c>
      <c r="F151" s="356" t="str">
        <f>+B81</f>
        <v>select a LDV category</v>
      </c>
      <c r="G151" s="356">
        <f>+G81</f>
        <v>0</v>
      </c>
      <c r="H151" s="356" t="e">
        <f>+H81</f>
        <v>#N/A</v>
      </c>
      <c r="J151" s="83" t="e">
        <f>IF(AND($D$24&gt;0,J146&lt;&gt;""),HLOOKUP(J$146,Calculations!$B$1:$AI$200,ROW(Calculations!B109)),"")</f>
        <v>#N/A</v>
      </c>
      <c r="K151" s="83" t="e">
        <f>IF(AND($D$24&gt;0,K146&lt;&gt;""),HLOOKUP(K$146,Calculations!$B$1:$AI$200,ROW(Calculations!C109)),"")</f>
        <v>#N/A</v>
      </c>
      <c r="L151" s="83" t="e">
        <f>IF(AND($D$24&gt;0,L146&lt;&gt;""),HLOOKUP(L$146,Calculations!$B$1:$AI$200,ROW(Calculations!D109)),"")</f>
        <v>#N/A</v>
      </c>
      <c r="M151" s="83" t="e">
        <f>IF(AND($D$24&gt;0,M146&lt;&gt;""),HLOOKUP(M$146,Calculations!$B$1:$AI$200,ROW(Calculations!E109)),"")</f>
        <v>#N/A</v>
      </c>
      <c r="N151" s="83" t="e">
        <f>IF(AND($D$24&gt;0,N146&lt;&gt;""),HLOOKUP(N$146,Calculations!$B$1:$AI$200,ROW(Calculations!F109)),"")</f>
        <v>#N/A</v>
      </c>
      <c r="O151" s="83" t="e">
        <f>IF(AND($D$24&gt;0,O146&lt;&gt;""),HLOOKUP(O$146,Calculations!$B$1:$AI$200,ROW(Calculations!G109)),"")</f>
        <v>#N/A</v>
      </c>
      <c r="P151" s="83" t="e">
        <f>IF(AND($D$24&gt;0,P146&lt;&gt;""),HLOOKUP(P$146,Calculations!$B$1:$AI$200,ROW(Calculations!H109)),"")</f>
        <v>#N/A</v>
      </c>
      <c r="Q151" s="83" t="e">
        <f>IF(AND($D$24&gt;0,Q146&lt;&gt;""),HLOOKUP(Q$146,Calculations!$B$1:$AI$200,ROW(Calculations!I109)),"")</f>
        <v>#N/A</v>
      </c>
      <c r="R151" s="83" t="e">
        <f>IF(AND($D$24&gt;0,R146&lt;&gt;""),HLOOKUP(R$146,Calculations!$B$1:$AI$200,ROW(Calculations!J109)),"")</f>
        <v>#N/A</v>
      </c>
      <c r="S151" s="83" t="e">
        <f>IF(AND($D$24&gt;0,S146&lt;&gt;""),HLOOKUP(S$146,Calculations!$B$1:$AI$200,ROW(Calculations!K109)),"")</f>
        <v>#N/A</v>
      </c>
      <c r="T151" s="83" t="e">
        <f>IF(AND($D$24&gt;0,T146&lt;&gt;""),HLOOKUP(T$146,Calculations!$B$1:$AI$200,ROW(Calculations!L109)),"")</f>
        <v>#N/A</v>
      </c>
      <c r="U151" s="83" t="e">
        <f>IF(AND($D$24&gt;0,U146&lt;&gt;""),HLOOKUP(U$146,Calculations!$B$1:$AI$200,ROW(Calculations!M109)),"")</f>
        <v>#N/A</v>
      </c>
      <c r="V151" s="83" t="e">
        <f>IF(AND($D$24&gt;0,V146&lt;&gt;""),HLOOKUP(V$146,Calculations!$B$1:$AI$200,ROW(Calculations!N109)),"")</f>
        <v>#N/A</v>
      </c>
      <c r="W151" s="83" t="e">
        <f>IF(AND($D$24&gt;0,W146&lt;&gt;""),HLOOKUP(W$146,Calculations!$B$1:$AI$200,ROW(Calculations!O109)),"")</f>
        <v>#N/A</v>
      </c>
      <c r="X151" s="83" t="str">
        <f>IF(AND($D$24&gt;0,X146&lt;&gt;""),HLOOKUP(X$146,Calculations!$B$1:$AI$200,ROW(Calculations!P109)),"")</f>
        <v/>
      </c>
      <c r="Y151" s="83" t="str">
        <f>IF(AND($D$24&gt;0,Y146&lt;&gt;""),HLOOKUP(Y$146,Calculations!$B$1:$AI$200,ROW(Calculations!Q109)),"")</f>
        <v/>
      </c>
      <c r="Z151" s="83" t="str">
        <f>IF(AND($D$24&gt;0,Z146&lt;&gt;""),HLOOKUP(Z$146,Calculations!$B$1:$AI$200,ROW(Calculations!R109)),"")</f>
        <v/>
      </c>
    </row>
    <row r="152" spans="2:56" ht="19.5" customHeight="1" thickTop="1" thickBot="1" x14ac:dyDescent="0.2">
      <c r="D152" s="355"/>
      <c r="F152" s="356" t="str">
        <f>+B82</f>
        <v>select a LDV category</v>
      </c>
      <c r="G152" s="356">
        <f>+G82</f>
        <v>0</v>
      </c>
      <c r="H152" s="356" t="e">
        <f>+H82</f>
        <v>#N/A</v>
      </c>
      <c r="I152" s="45"/>
      <c r="J152" s="103" t="e">
        <f>IF(AND($D$24&gt;0,J146&lt;&gt;""),HLOOKUP(J$146,Calculations!$B$1:$AI$200,ROW(Calculations!B114)),"")</f>
        <v>#N/A</v>
      </c>
      <c r="K152" s="103" t="e">
        <f>IF(AND($D$24&gt;0,K146&lt;&gt;""),HLOOKUP(K$146,Calculations!$B$1:$AI$200,ROW(Calculations!C114)),"")</f>
        <v>#N/A</v>
      </c>
      <c r="L152" s="103" t="e">
        <f>IF(AND($D$24&gt;0,L146&lt;&gt;""),HLOOKUP(L$146,Calculations!$B$1:$AI$200,ROW(Calculations!D114)),"")</f>
        <v>#N/A</v>
      </c>
      <c r="M152" s="103" t="e">
        <f>IF(AND($D$24&gt;0,M146&lt;&gt;""),HLOOKUP(M$146,Calculations!$B$1:$AI$200,ROW(Calculations!E114)),"")</f>
        <v>#N/A</v>
      </c>
      <c r="N152" s="103" t="e">
        <f>IF(AND($D$24&gt;0,N146&lt;&gt;""),HLOOKUP(N$146,Calculations!$B$1:$AI$200,ROW(Calculations!F114)),"")</f>
        <v>#N/A</v>
      </c>
      <c r="O152" s="103" t="e">
        <f>IF(AND($D$24&gt;0,O146&lt;&gt;""),HLOOKUP(O$146,Calculations!$B$1:$AI$200,ROW(Calculations!G114)),"")</f>
        <v>#N/A</v>
      </c>
      <c r="P152" s="103" t="e">
        <f>IF(AND($D$24&gt;0,P146&lt;&gt;""),HLOOKUP(P$146,Calculations!$B$1:$AI$200,ROW(Calculations!H114)),"")</f>
        <v>#N/A</v>
      </c>
      <c r="Q152" s="103" t="e">
        <f>IF(AND($D$24&gt;0,Q146&lt;&gt;""),HLOOKUP(Q$146,Calculations!$B$1:$AI$200,ROW(Calculations!I114)),"")</f>
        <v>#N/A</v>
      </c>
      <c r="R152" s="103" t="e">
        <f>IF(AND($D$24&gt;0,R146&lt;&gt;""),HLOOKUP(R$146,Calculations!$B$1:$AI$200,ROW(Calculations!J114)),"")</f>
        <v>#N/A</v>
      </c>
      <c r="S152" s="103" t="e">
        <f>IF(AND($D$24&gt;0,S146&lt;&gt;""),HLOOKUP(S$146,Calculations!$B$1:$AI$200,ROW(Calculations!K114)),"")</f>
        <v>#N/A</v>
      </c>
      <c r="T152" s="103" t="e">
        <f>IF(AND($D$24&gt;0,T146&lt;&gt;""),HLOOKUP(T$146,Calculations!$B$1:$AI$200,ROW(Calculations!L114)),"")</f>
        <v>#N/A</v>
      </c>
      <c r="U152" s="103" t="e">
        <f>IF(AND($D$24&gt;0,U146&lt;&gt;""),HLOOKUP(U$146,Calculations!$B$1:$AI$200,ROW(Calculations!M114)),"")</f>
        <v>#N/A</v>
      </c>
      <c r="V152" s="103" t="e">
        <f>IF(AND($D$24&gt;0,V146&lt;&gt;""),HLOOKUP(V$146,Calculations!$B$1:$AI$200,ROW(Calculations!N114)),"")</f>
        <v>#N/A</v>
      </c>
      <c r="W152" s="103" t="e">
        <f>IF(AND($D$24&gt;0,W146&lt;&gt;""),HLOOKUP(W$146,Calculations!$B$1:$AI$200,ROW(Calculations!O114)),"")</f>
        <v>#N/A</v>
      </c>
      <c r="X152" s="103" t="str">
        <f>IF(AND($D$24&gt;0,X146&lt;&gt;""),HLOOKUP(X$146,Calculations!$B$1:$AI$200,ROW(Calculations!P114)),"")</f>
        <v/>
      </c>
      <c r="Y152" s="103" t="str">
        <f>IF(AND($D$24&gt;0,Y146&lt;&gt;""),HLOOKUP(Y$146,Calculations!$B$1:$AI$200,ROW(Calculations!Q114)),"")</f>
        <v/>
      </c>
      <c r="Z152" s="103" t="str">
        <f>IF(AND($D$24&gt;0,Z146&lt;&gt;""),HLOOKUP(Z$146,Calculations!$B$1:$AI$200,ROW(Calculations!R114)),"")</f>
        <v/>
      </c>
      <c r="AA152" s="81"/>
      <c r="AB152" s="81"/>
      <c r="AC152" s="81"/>
      <c r="AD152" s="81"/>
    </row>
    <row r="153" spans="2:56" ht="19.5" customHeight="1" thickTop="1" x14ac:dyDescent="0.15"/>
    <row r="154" spans="2:56" ht="19.5" customHeight="1" thickBot="1" x14ac:dyDescent="0.2">
      <c r="D154" s="355" t="str">
        <f>IF(AND(ISTEXT(D111)=TRUE,D115&lt;&gt;0),B118,"select a vehicle category")</f>
        <v>Near-term targets: Medium Duty Trucks | Advanced Economies</v>
      </c>
      <c r="F154" s="356" t="str">
        <f>+B121</f>
        <v>select a non-LDV vehicle category</v>
      </c>
      <c r="G154" s="356">
        <f>+G84</f>
        <v>0</v>
      </c>
      <c r="H154" s="356">
        <f>+H84</f>
        <v>0</v>
      </c>
      <c r="J154" s="83" t="e">
        <f>IF(AND($D$24&gt;0,J149&lt;&gt;""),HLOOKUP(J$146,Calculations!$B$1:$AI$200,ROW(Calculations!E119)),"")</f>
        <v>#N/A</v>
      </c>
      <c r="K154" s="83" t="e">
        <f>IF(AND($D$24&gt;0,K149&lt;&gt;""),HLOOKUP(K$146,Calculations!$B$1:$AI$200,ROW(Calculations!F119)),"")</f>
        <v>#N/A</v>
      </c>
      <c r="L154" s="83" t="e">
        <f>IF(AND($D$24&gt;0,L149&lt;&gt;""),HLOOKUP(L$146,Calculations!$B$1:$AI$200,ROW(Calculations!G119)),"")</f>
        <v>#N/A</v>
      </c>
      <c r="M154" s="83" t="e">
        <f>IF(AND($D$24&gt;0,M149&lt;&gt;""),HLOOKUP(M$146,Calculations!$B$1:$AI$200,ROW(Calculations!H119)),"")</f>
        <v>#N/A</v>
      </c>
      <c r="N154" s="83" t="e">
        <f>IF(AND($D$24&gt;0,N149&lt;&gt;""),HLOOKUP(N$146,Calculations!$B$1:$AI$200,ROW(Calculations!I119)),"")</f>
        <v>#N/A</v>
      </c>
      <c r="O154" s="83" t="e">
        <f>IF(AND($D$24&gt;0,O149&lt;&gt;""),HLOOKUP(O$146,Calculations!$B$1:$AI$200,ROW(Calculations!J119)),"")</f>
        <v>#N/A</v>
      </c>
      <c r="P154" s="83" t="e">
        <f>IF(AND($D$24&gt;0,P149&lt;&gt;""),HLOOKUP(P$146,Calculations!$B$1:$AI$200,ROW(Calculations!K119)),"")</f>
        <v>#N/A</v>
      </c>
      <c r="Q154" s="83" t="e">
        <f>IF(AND($D$24&gt;0,Q149&lt;&gt;""),HLOOKUP(Q$146,Calculations!$B$1:$AI$200,ROW(Calculations!L119)),"")</f>
        <v>#N/A</v>
      </c>
      <c r="R154" s="83" t="e">
        <f>IF(AND($D$24&gt;0,R149&lt;&gt;""),HLOOKUP(R$146,Calculations!$B$1:$AI$200,ROW(Calculations!M119)),"")</f>
        <v>#N/A</v>
      </c>
      <c r="S154" s="83" t="e">
        <f>IF(AND($D$24&gt;0,S149&lt;&gt;""),HLOOKUP(S$146,Calculations!$B$1:$AI$200,ROW(Calculations!N119)),"")</f>
        <v>#N/A</v>
      </c>
      <c r="T154" s="83" t="e">
        <f>IF(AND($D$24&gt;0,T149&lt;&gt;""),HLOOKUP(T$146,Calculations!$B$1:$AI$200,ROW(Calculations!O119)),"")</f>
        <v>#N/A</v>
      </c>
      <c r="U154" s="83" t="e">
        <f>IF(AND($D$24&gt;0,U149&lt;&gt;""),HLOOKUP(U$146,Calculations!$B$1:$AI$200,ROW(Calculations!P119)),"")</f>
        <v>#N/A</v>
      </c>
      <c r="V154" s="83" t="e">
        <f>IF(AND($D$24&gt;0,V149&lt;&gt;""),HLOOKUP(V$146,Calculations!$B$1:$AI$200,ROW(Calculations!Q119)),"")</f>
        <v>#N/A</v>
      </c>
      <c r="W154" s="83" t="e">
        <f>IF(AND($D$24&gt;0,W149&lt;&gt;""),HLOOKUP(W$146,Calculations!$B$1:$AI$200,ROW(Calculations!R119)),"")</f>
        <v>#N/A</v>
      </c>
      <c r="X154" s="83" t="str">
        <f>IF(AND($D$24&gt;0,X149&lt;&gt;""),HLOOKUP(X$146,Calculations!$B$1:$AI$200,ROW(Calculations!S119)),"")</f>
        <v/>
      </c>
      <c r="Y154" s="83" t="str">
        <f>IF(AND($D$24&gt;0,Y149&lt;&gt;""),HLOOKUP(Y$146,Calculations!$B$1:$AI$200,ROW(Calculations!T119)),"")</f>
        <v/>
      </c>
      <c r="Z154" s="83" t="str">
        <f>IF(AND($D$24&gt;0,Z149&lt;&gt;""),HLOOKUP(Z$146,Calculations!$B$1:$AI$200,ROW(Calculations!U119)),"")</f>
        <v/>
      </c>
    </row>
    <row r="155" spans="2:56" ht="19.5" customHeight="1" thickTop="1" thickBot="1" x14ac:dyDescent="0.2">
      <c r="D155" s="355"/>
      <c r="F155" s="356" t="str">
        <f>+B122</f>
        <v>select a vehicle category</v>
      </c>
      <c r="G155" s="356">
        <f>+G85</f>
        <v>0</v>
      </c>
      <c r="H155" s="356">
        <f>+H85</f>
        <v>0</v>
      </c>
      <c r="I155" s="45"/>
      <c r="J155" s="103" t="e">
        <f>IF(AND($D$24&gt;0,J146&lt;&gt;""),HLOOKUP(J$146,Calculations!$B$1:$AI$200,ROW(Calculations!E124)),"")</f>
        <v>#N/A</v>
      </c>
      <c r="K155" s="103" t="e">
        <f>IF(AND($D$24&gt;0,K146&lt;&gt;""),HLOOKUP(K$146,Calculations!$B$1:$AI$200,ROW(Calculations!F124)),"")</f>
        <v>#N/A</v>
      </c>
      <c r="L155" s="103" t="e">
        <f>IF(AND($D$24&gt;0,L146&lt;&gt;""),HLOOKUP(L$146,Calculations!$B$1:$AI$200,ROW(Calculations!G124)),"")</f>
        <v>#N/A</v>
      </c>
      <c r="M155" s="103" t="e">
        <f>IF(AND($D$24&gt;0,M146&lt;&gt;""),HLOOKUP(M$146,Calculations!$B$1:$AI$200,ROW(Calculations!H124)),"")</f>
        <v>#N/A</v>
      </c>
      <c r="N155" s="103" t="e">
        <f>IF(AND($D$24&gt;0,N146&lt;&gt;""),HLOOKUP(N$146,Calculations!$B$1:$AI$200,ROW(Calculations!I124)),"")</f>
        <v>#N/A</v>
      </c>
      <c r="O155" s="103" t="e">
        <f>IF(AND($D$24&gt;0,O146&lt;&gt;""),HLOOKUP(O$146,Calculations!$B$1:$AI$200,ROW(Calculations!J124)),"")</f>
        <v>#N/A</v>
      </c>
      <c r="P155" s="103" t="e">
        <f>IF(AND($D$24&gt;0,P146&lt;&gt;""),HLOOKUP(P$146,Calculations!$B$1:$AI$200,ROW(Calculations!K124)),"")</f>
        <v>#N/A</v>
      </c>
      <c r="Q155" s="103" t="e">
        <f>IF(AND($D$24&gt;0,Q146&lt;&gt;""),HLOOKUP(Q$146,Calculations!$B$1:$AI$200,ROW(Calculations!L124)),"")</f>
        <v>#N/A</v>
      </c>
      <c r="R155" s="103" t="e">
        <f>IF(AND($D$24&gt;0,R146&lt;&gt;""),HLOOKUP(R$146,Calculations!$B$1:$AI$200,ROW(Calculations!M124)),"")</f>
        <v>#N/A</v>
      </c>
      <c r="S155" s="103" t="e">
        <f>IF(AND($D$24&gt;0,S146&lt;&gt;""),HLOOKUP(S$146,Calculations!$B$1:$AI$200,ROW(Calculations!N124)),"")</f>
        <v>#N/A</v>
      </c>
      <c r="T155" s="103" t="e">
        <f>IF(AND($D$24&gt;0,T146&lt;&gt;""),HLOOKUP(T$146,Calculations!$B$1:$AI$200,ROW(Calculations!O124)),"")</f>
        <v>#N/A</v>
      </c>
      <c r="U155" s="103" t="e">
        <f>IF(AND($D$24&gt;0,U146&lt;&gt;""),HLOOKUP(U$146,Calculations!$B$1:$AI$200,ROW(Calculations!P124)),"")</f>
        <v>#N/A</v>
      </c>
      <c r="V155" s="103" t="e">
        <f>IF(AND($D$24&gt;0,V146&lt;&gt;""),HLOOKUP(V$146,Calculations!$B$1:$AI$200,ROW(Calculations!Q124)),"")</f>
        <v>#N/A</v>
      </c>
      <c r="W155" s="103" t="e">
        <f>IF(AND($D$24&gt;0,W146&lt;&gt;""),HLOOKUP(W$146,Calculations!$B$1:$AI$200,ROW(Calculations!R124)),"")</f>
        <v>#N/A</v>
      </c>
      <c r="X155" s="103" t="str">
        <f>IF(AND($D$24&gt;0,X146&lt;&gt;""),HLOOKUP(X$146,Calculations!$B$1:$AI$200,ROW(Calculations!S124)),"")</f>
        <v/>
      </c>
      <c r="Y155" s="103" t="str">
        <f>IF(AND($D$24&gt;0,Y146&lt;&gt;""),HLOOKUP(Y$146,Calculations!$B$1:$AI$200,ROW(Calculations!T124)),"")</f>
        <v/>
      </c>
      <c r="Z155" s="103" t="str">
        <f>IF(AND($D$24&gt;0,Z146&lt;&gt;""),HLOOKUP(Z$146,Calculations!$B$1:$AI$200,ROW(Calculations!U124)),"")</f>
        <v/>
      </c>
    </row>
    <row r="156" spans="2:56" ht="19.5" customHeight="1" thickTop="1" x14ac:dyDescent="0.15">
      <c r="J156" s="48"/>
      <c r="K156" s="48"/>
      <c r="L156" s="48"/>
      <c r="M156" s="48"/>
      <c r="N156" s="48"/>
      <c r="O156" s="48"/>
      <c r="P156" s="48"/>
      <c r="Q156" s="48"/>
      <c r="R156" s="48"/>
      <c r="S156" s="48"/>
      <c r="T156" s="48"/>
      <c r="U156" s="48"/>
      <c r="V156" s="48"/>
      <c r="W156" s="48"/>
      <c r="X156" s="48"/>
      <c r="Y156" s="48"/>
      <c r="Z156" s="48"/>
      <c r="AA156" s="48"/>
      <c r="AB156" s="48"/>
      <c r="AC156" s="48"/>
      <c r="AD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row>
    <row r="157" spans="2:56" ht="19.5" customHeight="1" x14ac:dyDescent="0.15">
      <c r="AT157" s="48"/>
      <c r="AU157" s="48"/>
      <c r="AV157" s="48"/>
      <c r="AW157" s="48"/>
      <c r="AX157" s="48"/>
      <c r="AY157" s="48"/>
      <c r="AZ157" s="48"/>
      <c r="BA157" s="48"/>
      <c r="BB157" s="48"/>
      <c r="BC157" s="48"/>
      <c r="BD157" s="48"/>
    </row>
    <row r="158" spans="2:56" ht="19.5" customHeight="1" x14ac:dyDescent="0.15">
      <c r="AT158" s="48"/>
      <c r="AU158" s="48"/>
      <c r="AV158" s="48"/>
      <c r="AW158" s="48"/>
      <c r="AX158" s="48"/>
      <c r="AY158" s="48"/>
      <c r="AZ158" s="48"/>
      <c r="BA158" s="48"/>
      <c r="BB158" s="48"/>
      <c r="BC158" s="48"/>
      <c r="BD158" s="48"/>
    </row>
    <row r="159" spans="2:56" ht="19.5" customHeight="1" x14ac:dyDescent="0.15">
      <c r="AT159" s="48"/>
      <c r="AU159" s="48"/>
      <c r="AV159" s="48"/>
      <c r="AW159" s="48"/>
      <c r="AX159" s="48"/>
      <c r="AY159" s="48"/>
      <c r="AZ159" s="48"/>
      <c r="BA159" s="48"/>
      <c r="BB159" s="48"/>
      <c r="BC159" s="48"/>
      <c r="BD159" s="48"/>
    </row>
    <row r="160" spans="2:56" ht="19.5" customHeight="1" x14ac:dyDescent="0.15">
      <c r="AT160" s="48"/>
      <c r="AU160" s="48"/>
      <c r="AV160" s="48"/>
      <c r="AW160" s="48"/>
      <c r="AX160" s="48"/>
      <c r="AY160" s="48"/>
      <c r="AZ160" s="48"/>
      <c r="BA160" s="48"/>
      <c r="BB160" s="48"/>
      <c r="BC160" s="48"/>
      <c r="BD160" s="48"/>
    </row>
    <row r="161" ht="19.5" customHeight="1" x14ac:dyDescent="0.15"/>
    <row r="162" ht="19.5" customHeight="1" x14ac:dyDescent="0.15"/>
    <row r="163" ht="19.5" customHeight="1" x14ac:dyDescent="0.15"/>
    <row r="164" ht="19.5" customHeight="1" x14ac:dyDescent="0.15"/>
    <row r="165" ht="19.5" customHeight="1" x14ac:dyDescent="0.15"/>
    <row r="166" ht="19.5" customHeight="1" x14ac:dyDescent="0.15"/>
    <row r="167" ht="19.5" customHeight="1" x14ac:dyDescent="0.15"/>
    <row r="168" ht="19.5" customHeight="1" x14ac:dyDescent="0.15"/>
    <row r="169" ht="19.5" customHeight="1" x14ac:dyDescent="0.15"/>
  </sheetData>
  <mergeCells count="28">
    <mergeCell ref="D154:D155"/>
    <mergeCell ref="F154:H154"/>
    <mergeCell ref="F155:H155"/>
    <mergeCell ref="D147:D149"/>
    <mergeCell ref="F147:H147"/>
    <mergeCell ref="F148:H148"/>
    <mergeCell ref="F149:H149"/>
    <mergeCell ref="D151:D152"/>
    <mergeCell ref="F151:H151"/>
    <mergeCell ref="F152:H152"/>
    <mergeCell ref="D125:L125"/>
    <mergeCell ref="D39:L39"/>
    <mergeCell ref="D40:L40"/>
    <mergeCell ref="D42:L42"/>
    <mergeCell ref="D43:L43"/>
    <mergeCell ref="B67:H67"/>
    <mergeCell ref="B68:H68"/>
    <mergeCell ref="D84:L84"/>
    <mergeCell ref="D85:L85"/>
    <mergeCell ref="B107:H107"/>
    <mergeCell ref="B108:H108"/>
    <mergeCell ref="D124:L124"/>
    <mergeCell ref="J23:Q29"/>
    <mergeCell ref="D9:K9"/>
    <mergeCell ref="D10:K10"/>
    <mergeCell ref="D11:K11"/>
    <mergeCell ref="D12:K12"/>
    <mergeCell ref="B20:H20"/>
  </mergeCells>
  <conditionalFormatting sqref="B25">
    <cfRule type="cellIs" dxfId="25" priority="25" operator="lessThan">
      <formula>10</formula>
    </cfRule>
    <cfRule type="cellIs" dxfId="24" priority="24" operator="lessThan">
      <formula>100</formula>
    </cfRule>
  </conditionalFormatting>
  <conditionalFormatting sqref="B28:B29 D28:D29">
    <cfRule type="expression" dxfId="23" priority="13">
      <formula>$D$27&lt;=$D$23</formula>
    </cfRule>
  </conditionalFormatting>
  <conditionalFormatting sqref="B34:B35 B37 F147:F149">
    <cfRule type="expression" dxfId="22" priority="20">
      <formula>ISNUMBER($D$24)=FALSE</formula>
    </cfRule>
  </conditionalFormatting>
  <conditionalFormatting sqref="B81:B82 I149:I151 F151:H152 I153:I154 F154:H155">
    <cfRule type="expression" dxfId="21" priority="22">
      <formula>ISTEXT($D$71)=FALSE</formula>
    </cfRule>
  </conditionalFormatting>
  <conditionalFormatting sqref="B121:B122">
    <cfRule type="expression" dxfId="20" priority="8">
      <formula>ISTEXT($D$71)=FALSE</formula>
    </cfRule>
  </conditionalFormatting>
  <conditionalFormatting sqref="C43:D43">
    <cfRule type="cellIs" dxfId="19" priority="2" operator="lessThan">
      <formula>10</formula>
    </cfRule>
    <cfRule type="cellIs" dxfId="18" priority="1" operator="lessThan">
      <formula>100</formula>
    </cfRule>
  </conditionalFormatting>
  <conditionalFormatting sqref="C84:D85">
    <cfRule type="cellIs" dxfId="17" priority="14" operator="lessThan">
      <formula>100</formula>
    </cfRule>
    <cfRule type="cellIs" dxfId="16" priority="15" operator="lessThan">
      <formula>10</formula>
    </cfRule>
  </conditionalFormatting>
  <conditionalFormatting sqref="C124:D125">
    <cfRule type="cellIs" dxfId="15" priority="5" operator="lessThan">
      <formula>10</formula>
    </cfRule>
    <cfRule type="cellIs" dxfId="14" priority="4" operator="lessThan">
      <formula>100</formula>
    </cfRule>
  </conditionalFormatting>
  <conditionalFormatting sqref="D33:D42 C39:C42 D44:D62 D64">
    <cfRule type="cellIs" dxfId="12" priority="18" operator="lessThan">
      <formula>100</formula>
    </cfRule>
    <cfRule type="cellIs" dxfId="11" priority="19" operator="lessThan">
      <formula>10</formula>
    </cfRule>
  </conditionalFormatting>
  <conditionalFormatting sqref="D80">
    <cfRule type="cellIs" dxfId="10" priority="16" operator="lessThan">
      <formula>100</formula>
    </cfRule>
    <cfRule type="cellIs" dxfId="9" priority="17" operator="lessThan">
      <formula>10</formula>
    </cfRule>
  </conditionalFormatting>
  <conditionalFormatting sqref="D102 D104">
    <cfRule type="cellIs" dxfId="8" priority="11" operator="lessThan">
      <formula>10</formula>
    </cfRule>
    <cfRule type="cellIs" dxfId="7" priority="10" operator="lessThan">
      <formula>100</formula>
    </cfRule>
  </conditionalFormatting>
  <conditionalFormatting sqref="D120">
    <cfRule type="cellIs" dxfId="6" priority="7" operator="lessThan">
      <formula>10</formula>
    </cfRule>
    <cfRule type="cellIs" dxfId="5" priority="6" operator="lessThan">
      <formula>100</formula>
    </cfRule>
  </conditionalFormatting>
  <conditionalFormatting sqref="J146:W149 X147:Z149 J152:AD152 J156:AD156 AF156:BA156 AT157:BD160">
    <cfRule type="expression" dxfId="2" priority="21">
      <formula>OR($D$23=0,$D$24=0)</formula>
    </cfRule>
  </conditionalFormatting>
  <conditionalFormatting sqref="J151:Z151">
    <cfRule type="expression" dxfId="1" priority="12">
      <formula>OR($D$23=0,$D$24=0)</formula>
    </cfRule>
  </conditionalFormatting>
  <conditionalFormatting sqref="J154:Z155">
    <cfRule type="expression" dxfId="0" priority="3">
      <formula>OR($D$23=0,$D$24=0)</formula>
    </cfRule>
  </conditionalFormatting>
  <dataValidations count="1">
    <dataValidation type="decimal" allowBlank="1" showInputMessage="1" showErrorMessage="1" sqref="D76 D116" xr:uid="{881F167F-CAB8-4724-9A20-950D99B19595}">
      <formula1>0</formula1>
      <formula2>100</formula2>
    </dataValidation>
  </dataValidations>
  <hyperlinks>
    <hyperlink ref="F5" r:id="rId1" xr:uid="{D1FAD3EA-6728-480C-B229-C5A1207E51E5}"/>
    <hyperlink ref="B32" location="'Automakers | Near-term targets'!D140" display="Review all target modelling data" xr:uid="{11AC376C-789E-4129-BFA5-7D5CA0D440F9}"/>
    <hyperlink ref="B79" location="'Automakers | Near-term targets'!D144" display="Review all target modelling data" xr:uid="{72E76B0C-B9F2-4901-A735-231184608FE2}"/>
    <hyperlink ref="F73" location="'Automakers | Near-term targets'!D23" display="Same as Section 1 above" xr:uid="{59645C19-1B4D-4B20-B688-49C7F6E6B0D9}"/>
    <hyperlink ref="F74" location="'Automakers | Near-term targets'!D26" display="Same as Section 1 above" xr:uid="{029F1484-CD5C-43BB-AD2C-1F36DBC1B882}"/>
    <hyperlink ref="F113" location="'Automakers | Near-term targets'!D23" display="Same as above" xr:uid="{05A64FDC-18E1-4218-A522-21E677372EE0}"/>
    <hyperlink ref="F114" location="'Automakers | Near-term targets'!D26" display="Same as above" xr:uid="{AFD3DACF-1FC4-48F2-A007-1A86EFB01064}"/>
    <hyperlink ref="B119" location="'Automakers | Near-term targets'!D147" display="Review all target modelling data" xr:uid="{668E5C29-DA5D-4940-B6BF-92EAD100970F}"/>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26" id="{9F3CA498-CDBD-4ED7-B87C-70A98CE6FB06}">
            <xm:f>AND($D$72=Lists!$N$2,OR($D$71=Lists!$B$4))</xm:f>
            <x14:dxf>
              <font>
                <color theme="0"/>
              </font>
              <numFmt numFmtId="169" formatCode=";;;"/>
              <fill>
                <patternFill patternType="none">
                  <bgColor auto="1"/>
                </patternFill>
              </fill>
              <border>
                <left/>
                <right/>
                <top/>
                <bottom/>
                <vertical/>
                <horizontal/>
              </border>
            </x14:dxf>
          </x14:cfRule>
          <xm:sqref>B25</xm:sqref>
        </x14:conditionalFormatting>
        <x14:conditionalFormatting xmlns:xm="http://schemas.microsoft.com/office/excel/2006/main">
          <x14:cfRule type="expression" priority="27" id="{3600026A-328C-4554-AEE6-761DD778A3F7}">
            <xm:f>AND($D$72=Lists!$N$2,OR($D$71=Lists!$B$4))</xm:f>
            <x14:dxf>
              <font>
                <color theme="0"/>
              </font>
              <fill>
                <patternFill>
                  <bgColor theme="0"/>
                </patternFill>
              </fill>
            </x14:dxf>
          </x14:cfRule>
          <xm:sqref>D25 F25 F29</xm:sqref>
        </x14:conditionalFormatting>
        <x14:conditionalFormatting xmlns:xm="http://schemas.microsoft.com/office/excel/2006/main">
          <x14:cfRule type="expression" priority="23" id="{F688C109-6968-43F8-B9A2-30488DD4E85E}">
            <xm:f>$D$72=Lists!$N$3</xm:f>
            <x14:dxf>
              <font>
                <color theme="0"/>
              </font>
            </x14:dxf>
          </x14:cfRule>
          <xm:sqref>F75:F76 F126:F138</xm:sqref>
        </x14:conditionalFormatting>
        <x14:conditionalFormatting xmlns:xm="http://schemas.microsoft.com/office/excel/2006/main">
          <x14:cfRule type="expression" priority="9" id="{A8C175C0-11E9-4369-8C37-4A0AF7C29715}">
            <xm:f>$D$72=Lists!$N$3</xm:f>
            <x14:dxf>
              <font>
                <color theme="0"/>
              </font>
            </x14:dxf>
          </x14:cfRule>
          <xm:sqref>F115:F117</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AC82240E-FA24-4E68-BDC0-402B2C1BD5B2}">
          <x14:formula1>
            <xm:f>Lists!$B$4:$B$7</xm:f>
          </x14:formula1>
          <xm:sqref>D111</xm:sqref>
        </x14:dataValidation>
        <x14:dataValidation type="list" allowBlank="1" showInputMessage="1" showErrorMessage="1" prompt="Base and target years: Targets must cover a minimum of 5 years and a maximum of 10 years from the date the target is submitted to the SBTi for an official validation" xr:uid="{21674975-2D84-4C6C-974A-8139EE8CAC24}">
          <x14:formula1>
            <xm:f>Lists!$I$2:$I$8</xm:f>
          </x14:formula1>
          <xm:sqref>D27</xm:sqref>
        </x14:dataValidation>
        <x14:dataValidation type="list" allowBlank="1" showInputMessage="1" showErrorMessage="1" prompt="Base and target years: Targets must cover a minimum of 5 years and a maximum of 10 years from the date the target is submitted to the SBTi for an official validation" xr:uid="{15C255EB-DC18-4B88-AE3A-3AF69A2EDA47}">
          <x14:formula1>
            <xm:f>Lists!$H$2:$H$14</xm:f>
          </x14:formula1>
          <xm:sqref>D26</xm:sqref>
        </x14:dataValidation>
        <x14:dataValidation type="list" allowBlank="1" showInputMessage="1" showErrorMessage="1" prompt="Base and target years: Targets must cover a minimum of 5 years and a maximum of 10 years from the date the target is submitted to the SBTi for an official validation" xr:uid="{97B461A8-16E3-4F2B-9A30-893DC2CEF0C0}">
          <x14:formula1>
            <xm:f>Lists!$G$4:$G$9</xm:f>
          </x14:formula1>
          <xm:sqref>D23</xm:sqref>
        </x14:dataValidation>
        <x14:dataValidation type="list" allowBlank="1" showInputMessage="1" showErrorMessage="1" xr:uid="{532840F1-58F1-472B-9941-5473747C040F}">
          <x14:formula1>
            <xm:f>Lists!$F$2:$F$5</xm:f>
          </x14:formula1>
          <xm:sqref>D70 D110</xm:sqref>
        </x14:dataValidation>
        <x14:dataValidation type="list" allowBlank="1" showInputMessage="1" showErrorMessage="1" xr:uid="{09E71235-736C-4ECF-9D8E-D853F3F6E4D6}">
          <x14:formula1>
            <xm:f>Lists!B2:B3</xm:f>
          </x14:formula1>
          <xm:sqref>D71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5A81C"/>
  </sheetPr>
  <dimension ref="B1:T34"/>
  <sheetViews>
    <sheetView zoomScale="90" zoomScaleNormal="90" workbookViewId="0">
      <selection activeCell="I10" sqref="I10"/>
    </sheetView>
  </sheetViews>
  <sheetFormatPr baseColWidth="10" defaultColWidth="11.5" defaultRowHeight="13" x14ac:dyDescent="0.15"/>
  <cols>
    <col min="1" max="1" width="3.5" style="6" customWidth="1"/>
    <col min="2" max="4" width="11.5" style="6" customWidth="1"/>
    <col min="5" max="16384" width="11.5" style="6"/>
  </cols>
  <sheetData>
    <row r="1" spans="2:20" ht="19.5" customHeight="1" x14ac:dyDescent="0.15"/>
    <row r="2" spans="2:20" ht="19.5" customHeight="1" x14ac:dyDescent="0.15"/>
    <row r="3" spans="2:20" ht="33.75" customHeight="1" x14ac:dyDescent="0.15">
      <c r="G3" s="274" t="str">
        <f>+README!F3</f>
        <v>SBTi Automotive Target-Setting Tool | DRAFT VERSION</v>
      </c>
      <c r="H3" s="274"/>
      <c r="I3" s="274"/>
      <c r="J3" s="274"/>
      <c r="K3" s="274"/>
      <c r="L3" s="274"/>
      <c r="M3" s="274"/>
      <c r="N3" s="274"/>
      <c r="O3" s="274"/>
      <c r="P3" s="274"/>
      <c r="Q3" s="16"/>
      <c r="R3" s="16"/>
      <c r="S3" s="16"/>
      <c r="T3" s="16"/>
    </row>
    <row r="4" spans="2:20" ht="19.5" customHeight="1" x14ac:dyDescent="0.15"/>
    <row r="5" spans="2:20" ht="19.5" customHeight="1" x14ac:dyDescent="0.15">
      <c r="G5" s="13" t="s">
        <v>28</v>
      </c>
      <c r="H5" s="23"/>
      <c r="I5" s="23">
        <f>+README!H5</f>
        <v>0.3</v>
      </c>
    </row>
    <row r="6" spans="2:20" ht="19.5" customHeight="1" x14ac:dyDescent="0.15">
      <c r="G6" s="13" t="s">
        <v>26</v>
      </c>
      <c r="H6" s="14"/>
      <c r="I6" s="15" t="s">
        <v>27</v>
      </c>
    </row>
    <row r="7" spans="2:20" ht="16" x14ac:dyDescent="0.2">
      <c r="B7" s="24"/>
      <c r="C7" s="24"/>
      <c r="D7" s="24"/>
      <c r="E7" s="24"/>
      <c r="F7" s="24"/>
      <c r="G7" s="24"/>
      <c r="H7" s="24"/>
      <c r="I7" s="24"/>
      <c r="J7" s="24"/>
      <c r="K7" s="24"/>
      <c r="L7" s="24"/>
      <c r="M7" s="24"/>
      <c r="N7" s="24"/>
      <c r="O7" s="24"/>
      <c r="P7" s="24"/>
    </row>
    <row r="8" spans="2:20" ht="16" x14ac:dyDescent="0.15">
      <c r="B8" s="25"/>
      <c r="C8" s="25"/>
      <c r="D8" s="25"/>
      <c r="E8" s="25"/>
      <c r="F8" s="25"/>
      <c r="G8" s="25"/>
      <c r="H8" s="25"/>
      <c r="I8" s="25"/>
      <c r="J8" s="25"/>
      <c r="K8" s="25"/>
      <c r="L8" s="25"/>
      <c r="M8" s="25"/>
      <c r="N8" s="25"/>
      <c r="O8" s="25"/>
      <c r="P8" s="25"/>
    </row>
    <row r="9" spans="2:20" ht="25" x14ac:dyDescent="0.15">
      <c r="B9" s="22" t="s">
        <v>34</v>
      </c>
      <c r="C9" s="28"/>
      <c r="D9" s="28"/>
      <c r="E9" s="28"/>
      <c r="F9" s="28"/>
      <c r="G9" s="28"/>
      <c r="H9" s="28"/>
      <c r="I9" s="28"/>
      <c r="J9" s="28"/>
      <c r="K9" s="28"/>
      <c r="L9" s="28"/>
      <c r="M9" s="28"/>
      <c r="N9" s="28"/>
      <c r="O9" s="28"/>
      <c r="P9" s="28"/>
    </row>
    <row r="10" spans="2:20" s="27" customFormat="1" x14ac:dyDescent="0.15">
      <c r="B10" s="26"/>
      <c r="C10" s="26"/>
      <c r="D10" s="26"/>
      <c r="E10" s="26"/>
      <c r="F10" s="26"/>
      <c r="G10" s="26"/>
      <c r="H10" s="26"/>
      <c r="I10" s="26"/>
      <c r="J10" s="26"/>
      <c r="K10" s="26"/>
      <c r="L10" s="26"/>
      <c r="M10" s="26"/>
      <c r="N10" s="26"/>
      <c r="O10" s="26"/>
      <c r="P10" s="26"/>
    </row>
    <row r="11" spans="2:20" ht="25" x14ac:dyDescent="0.15">
      <c r="B11" s="17" t="s">
        <v>235</v>
      </c>
      <c r="C11" s="20"/>
      <c r="D11" s="20"/>
      <c r="E11" s="20"/>
      <c r="F11" s="20"/>
      <c r="G11" s="20"/>
      <c r="H11" s="20"/>
      <c r="I11" s="20"/>
      <c r="J11" s="20"/>
      <c r="K11" s="20"/>
      <c r="L11" s="20"/>
      <c r="M11" s="20"/>
      <c r="N11" s="20"/>
      <c r="O11" s="20"/>
      <c r="P11" s="20"/>
    </row>
    <row r="12" spans="2:20" ht="25" x14ac:dyDescent="0.15">
      <c r="B12" s="17"/>
      <c r="C12" s="20"/>
      <c r="D12" s="20"/>
      <c r="E12" s="20"/>
      <c r="F12" s="20"/>
      <c r="G12" s="20"/>
      <c r="H12" s="20"/>
      <c r="I12" s="20"/>
      <c r="J12" s="20"/>
      <c r="K12" s="20"/>
      <c r="L12" s="20"/>
      <c r="M12" s="20"/>
      <c r="N12" s="20"/>
      <c r="O12" s="20"/>
      <c r="P12" s="20"/>
    </row>
    <row r="13" spans="2:20" s="23" customFormat="1" ht="33.75" customHeight="1" x14ac:dyDescent="0.15">
      <c r="B13" s="298" t="s">
        <v>35</v>
      </c>
      <c r="C13" s="298"/>
      <c r="D13" s="298"/>
      <c r="E13" s="19"/>
      <c r="F13" s="300" t="s">
        <v>316</v>
      </c>
      <c r="G13" s="300"/>
      <c r="H13" s="300"/>
      <c r="I13" s="29"/>
      <c r="J13" s="302" t="s">
        <v>317</v>
      </c>
      <c r="K13" s="302"/>
      <c r="L13" s="302"/>
      <c r="M13" s="29"/>
      <c r="N13" s="304" t="s">
        <v>49</v>
      </c>
      <c r="O13" s="304"/>
      <c r="P13" s="304"/>
    </row>
    <row r="14" spans="2:20" s="23" customFormat="1" ht="33.75" customHeight="1" x14ac:dyDescent="0.15">
      <c r="B14" s="298"/>
      <c r="C14" s="298"/>
      <c r="D14" s="298"/>
      <c r="E14" s="19"/>
      <c r="F14" s="300"/>
      <c r="G14" s="300"/>
      <c r="H14" s="300"/>
      <c r="I14" s="29"/>
      <c r="J14" s="302"/>
      <c r="K14" s="302"/>
      <c r="L14" s="302"/>
      <c r="M14" s="29"/>
      <c r="N14" s="304"/>
      <c r="O14" s="304"/>
      <c r="P14" s="304"/>
    </row>
    <row r="15" spans="2:20" s="23" customFormat="1" ht="33.75" customHeight="1" x14ac:dyDescent="0.15">
      <c r="B15" s="299" t="s">
        <v>39</v>
      </c>
      <c r="C15" s="299"/>
      <c r="D15" s="299"/>
      <c r="E15" s="18"/>
      <c r="F15" s="301" t="s">
        <v>318</v>
      </c>
      <c r="G15" s="301"/>
      <c r="H15" s="301"/>
      <c r="I15" s="30"/>
      <c r="J15" s="303" t="s">
        <v>319</v>
      </c>
      <c r="K15" s="303"/>
      <c r="L15" s="303"/>
      <c r="M15" s="30"/>
      <c r="N15" s="296" t="s">
        <v>320</v>
      </c>
      <c r="O15" s="296"/>
      <c r="P15" s="296"/>
    </row>
    <row r="16" spans="2:20" s="23" customFormat="1" ht="33.75" customHeight="1" x14ac:dyDescent="0.15">
      <c r="B16" s="299"/>
      <c r="C16" s="299"/>
      <c r="D16" s="299"/>
      <c r="E16" s="18"/>
      <c r="F16" s="301"/>
      <c r="G16" s="301"/>
      <c r="H16" s="301"/>
      <c r="I16" s="30"/>
      <c r="J16" s="303"/>
      <c r="K16" s="303"/>
      <c r="L16" s="303"/>
      <c r="M16" s="30"/>
      <c r="N16" s="296"/>
      <c r="O16" s="296"/>
      <c r="P16" s="296"/>
    </row>
    <row r="17" spans="2:16" ht="33.75" customHeight="1" x14ac:dyDescent="0.15">
      <c r="B17" s="299"/>
      <c r="C17" s="299"/>
      <c r="D17" s="299"/>
      <c r="E17" s="9"/>
      <c r="F17" s="301"/>
      <c r="G17" s="301"/>
      <c r="H17" s="301"/>
      <c r="I17" s="31"/>
      <c r="J17" s="303"/>
      <c r="K17" s="303"/>
      <c r="L17" s="303"/>
      <c r="M17" s="31"/>
      <c r="N17" s="297" t="s">
        <v>37</v>
      </c>
      <c r="O17" s="297"/>
      <c r="P17" s="297"/>
    </row>
    <row r="18" spans="2:16" ht="33.75" customHeight="1" x14ac:dyDescent="0.2">
      <c r="C18" s="9"/>
      <c r="D18" s="9"/>
      <c r="E18" s="9"/>
      <c r="F18" s="9"/>
      <c r="G18" s="9"/>
      <c r="H18" s="9"/>
      <c r="I18" s="9"/>
      <c r="J18" s="9"/>
      <c r="K18" s="9"/>
      <c r="L18" s="32" t="s">
        <v>36</v>
      </c>
      <c r="M18" s="9"/>
      <c r="N18" s="9"/>
      <c r="O18" s="9"/>
      <c r="P18" s="9"/>
    </row>
    <row r="19" spans="2:16" ht="33.75" customHeight="1" x14ac:dyDescent="0.15">
      <c r="C19" s="21"/>
      <c r="D19" s="21"/>
      <c r="E19" s="21"/>
      <c r="F19" s="21"/>
      <c r="G19" s="21"/>
      <c r="H19" s="21"/>
      <c r="I19" s="21"/>
      <c r="J19" s="21"/>
      <c r="K19" s="21"/>
      <c r="L19" s="21"/>
      <c r="M19" s="21"/>
      <c r="N19" s="21"/>
      <c r="O19" s="21"/>
      <c r="P19" s="21"/>
    </row>
    <row r="20" spans="2:16" ht="33.75" customHeight="1" x14ac:dyDescent="0.15">
      <c r="B20" s="17" t="s">
        <v>260</v>
      </c>
      <c r="C20" s="17"/>
      <c r="D20" s="21"/>
      <c r="E20" s="21"/>
      <c r="G20" s="21"/>
      <c r="H20" s="21"/>
      <c r="I20" s="21"/>
      <c r="J20" s="21"/>
      <c r="K20" s="21"/>
      <c r="L20" s="21"/>
      <c r="M20" s="21"/>
      <c r="N20" s="21"/>
      <c r="O20" s="21"/>
      <c r="P20" s="21"/>
    </row>
    <row r="21" spans="2:16" ht="33.75" customHeight="1" thickBot="1" x14ac:dyDescent="0.2">
      <c r="B21" s="295" t="s">
        <v>38</v>
      </c>
      <c r="C21" s="295"/>
      <c r="D21" s="295"/>
      <c r="E21" s="295"/>
      <c r="F21" s="295"/>
      <c r="G21" s="295"/>
      <c r="H21" s="295"/>
      <c r="I21" s="295"/>
      <c r="J21" s="295"/>
      <c r="K21" s="295"/>
      <c r="L21" s="295"/>
      <c r="M21" s="21"/>
      <c r="N21" s="21"/>
      <c r="O21" s="21"/>
      <c r="P21" s="21"/>
    </row>
    <row r="22" spans="2:16" ht="33.75" customHeight="1" thickTop="1" thickBot="1" x14ac:dyDescent="0.2">
      <c r="B22" s="295" t="s">
        <v>218</v>
      </c>
      <c r="C22" s="295"/>
      <c r="D22" s="295"/>
      <c r="E22" s="295"/>
      <c r="F22" s="295"/>
      <c r="G22" s="295"/>
      <c r="H22" s="295"/>
      <c r="I22" s="295"/>
      <c r="J22" s="295"/>
      <c r="K22" s="295"/>
      <c r="L22" s="295"/>
      <c r="M22" s="21"/>
      <c r="N22" s="21"/>
      <c r="O22" s="21"/>
      <c r="P22" s="21"/>
    </row>
    <row r="23" spans="2:16" ht="33.75" customHeight="1" thickTop="1" thickBot="1" x14ac:dyDescent="0.2">
      <c r="B23" s="295" t="s">
        <v>219</v>
      </c>
      <c r="C23" s="295"/>
      <c r="D23" s="295"/>
      <c r="E23" s="295"/>
      <c r="F23" s="295"/>
      <c r="G23" s="295"/>
      <c r="H23" s="295"/>
      <c r="I23" s="295"/>
      <c r="J23" s="295"/>
      <c r="K23" s="295"/>
      <c r="L23" s="295"/>
      <c r="M23" s="21"/>
      <c r="N23" s="21"/>
      <c r="O23" s="21"/>
      <c r="P23" s="21"/>
    </row>
    <row r="24" spans="2:16" ht="33.75" customHeight="1" thickTop="1" thickBot="1" x14ac:dyDescent="0.2">
      <c r="B24" s="295" t="s">
        <v>226</v>
      </c>
      <c r="C24" s="295"/>
      <c r="D24" s="295"/>
      <c r="E24" s="295"/>
      <c r="F24" s="295"/>
      <c r="G24" s="295"/>
      <c r="H24" s="295"/>
      <c r="I24" s="295"/>
      <c r="J24" s="295"/>
      <c r="K24" s="295"/>
      <c r="L24" s="295"/>
      <c r="M24" s="21"/>
      <c r="N24" s="21"/>
      <c r="O24" s="21"/>
      <c r="P24" s="21"/>
    </row>
    <row r="25" spans="2:16" ht="33.75" customHeight="1" thickTop="1" thickBot="1" x14ac:dyDescent="0.2">
      <c r="B25" s="295" t="s">
        <v>227</v>
      </c>
      <c r="C25" s="295"/>
      <c r="D25" s="295"/>
      <c r="E25" s="295"/>
      <c r="F25" s="295"/>
      <c r="G25" s="295"/>
      <c r="H25" s="295"/>
      <c r="I25" s="295"/>
      <c r="J25" s="295"/>
      <c r="K25" s="295"/>
      <c r="L25" s="295"/>
      <c r="M25" s="21"/>
      <c r="N25" s="21"/>
      <c r="O25" s="21"/>
      <c r="P25" s="21"/>
    </row>
    <row r="26" spans="2:16" ht="33.75" customHeight="1" thickTop="1" thickBot="1" x14ac:dyDescent="0.2">
      <c r="B26" s="295" t="s">
        <v>228</v>
      </c>
      <c r="C26" s="295"/>
      <c r="D26" s="295"/>
      <c r="E26" s="295"/>
      <c r="F26" s="295"/>
      <c r="G26" s="295"/>
      <c r="H26" s="295"/>
      <c r="I26" s="295"/>
      <c r="J26" s="295"/>
      <c r="K26" s="295"/>
      <c r="L26" s="295"/>
      <c r="M26" s="21"/>
      <c r="N26" s="21"/>
      <c r="O26" s="21"/>
      <c r="P26" s="21"/>
    </row>
    <row r="27" spans="2:16" ht="33.75" customHeight="1" thickTop="1" thickBot="1" x14ac:dyDescent="0.2">
      <c r="B27" s="295" t="s">
        <v>220</v>
      </c>
      <c r="C27" s="295"/>
      <c r="D27" s="295"/>
      <c r="E27" s="295"/>
      <c r="F27" s="295"/>
      <c r="G27" s="295"/>
      <c r="H27" s="295"/>
      <c r="I27" s="295"/>
      <c r="J27" s="295"/>
      <c r="K27" s="295"/>
      <c r="L27" s="295"/>
      <c r="M27" s="21"/>
      <c r="N27" s="21"/>
      <c r="O27" s="21"/>
      <c r="P27" s="21"/>
    </row>
    <row r="28" spans="2:16" ht="33.75" customHeight="1" thickTop="1" thickBot="1" x14ac:dyDescent="0.2">
      <c r="B28" s="84" t="s">
        <v>51</v>
      </c>
      <c r="C28" s="84"/>
      <c r="D28" s="84"/>
      <c r="E28" s="84"/>
      <c r="F28" s="84"/>
      <c r="G28" s="84"/>
      <c r="H28" s="84"/>
      <c r="I28" s="84"/>
      <c r="J28" s="84"/>
      <c r="K28" s="84"/>
      <c r="L28" s="84"/>
      <c r="M28" s="21"/>
      <c r="N28" s="21"/>
      <c r="O28" s="21"/>
      <c r="P28" s="21"/>
    </row>
    <row r="29" spans="2:16" ht="33.75" customHeight="1" thickTop="1" thickBot="1" x14ac:dyDescent="0.2">
      <c r="B29" s="295" t="s">
        <v>229</v>
      </c>
      <c r="C29" s="295"/>
      <c r="D29" s="295"/>
      <c r="E29" s="295"/>
      <c r="F29" s="295"/>
      <c r="G29" s="295"/>
      <c r="H29" s="295"/>
      <c r="I29" s="295"/>
      <c r="J29" s="295"/>
      <c r="K29" s="295"/>
      <c r="L29" s="295"/>
      <c r="M29" s="21"/>
      <c r="N29" s="21"/>
      <c r="O29" s="21"/>
      <c r="P29" s="21"/>
    </row>
    <row r="30" spans="2:16" ht="33.75" customHeight="1" thickTop="1" thickBot="1" x14ac:dyDescent="0.2">
      <c r="B30" s="295" t="s">
        <v>221</v>
      </c>
      <c r="C30" s="295"/>
      <c r="D30" s="295"/>
      <c r="E30" s="295"/>
      <c r="F30" s="295"/>
      <c r="G30" s="295"/>
      <c r="H30" s="295"/>
      <c r="I30" s="295"/>
      <c r="J30" s="295"/>
      <c r="K30" s="295"/>
      <c r="L30" s="295"/>
      <c r="M30" s="21"/>
      <c r="N30" s="21"/>
      <c r="O30" s="21"/>
      <c r="P30" s="21"/>
    </row>
    <row r="31" spans="2:16" ht="19.5" customHeight="1" thickTop="1" x14ac:dyDescent="0.15">
      <c r="B31" s="23"/>
      <c r="C31" s="23"/>
      <c r="D31" s="23"/>
      <c r="E31" s="23"/>
      <c r="F31" s="23"/>
      <c r="G31" s="23"/>
      <c r="H31" s="23"/>
      <c r="I31" s="23"/>
      <c r="J31" s="23"/>
      <c r="K31" s="23"/>
      <c r="L31" s="23"/>
      <c r="M31" s="23"/>
      <c r="N31" s="23"/>
      <c r="O31" s="23"/>
      <c r="P31" s="23"/>
    </row>
    <row r="32" spans="2:16" ht="19.5" customHeight="1" x14ac:dyDescent="0.15">
      <c r="B32" s="23"/>
      <c r="C32" s="23"/>
      <c r="D32" s="23"/>
      <c r="E32" s="23"/>
      <c r="F32" s="23"/>
      <c r="G32" s="23"/>
      <c r="H32" s="23"/>
      <c r="I32" s="23"/>
      <c r="J32" s="23"/>
      <c r="K32" s="23"/>
      <c r="L32" s="23"/>
      <c r="M32" s="23"/>
      <c r="N32" s="23"/>
      <c r="O32" s="23"/>
      <c r="P32" s="23"/>
    </row>
    <row r="33" spans="2:16" ht="19.5" customHeight="1" x14ac:dyDescent="0.15">
      <c r="B33" s="23"/>
      <c r="C33" s="23"/>
      <c r="D33" s="23"/>
      <c r="E33" s="23"/>
      <c r="F33" s="23"/>
      <c r="G33" s="23"/>
      <c r="H33" s="23"/>
      <c r="I33" s="23"/>
      <c r="J33" s="23"/>
      <c r="K33" s="23"/>
      <c r="L33" s="23"/>
      <c r="M33" s="23"/>
      <c r="N33" s="23"/>
      <c r="O33" s="23"/>
      <c r="P33" s="23"/>
    </row>
    <row r="34" spans="2:16" x14ac:dyDescent="0.15">
      <c r="B34" s="23"/>
      <c r="C34" s="23"/>
      <c r="D34" s="23"/>
      <c r="E34" s="23"/>
      <c r="F34" s="23"/>
      <c r="G34" s="23"/>
      <c r="H34" s="23"/>
      <c r="I34" s="23"/>
      <c r="J34" s="23"/>
      <c r="K34" s="23"/>
      <c r="L34" s="23"/>
      <c r="M34" s="23"/>
      <c r="N34" s="23"/>
      <c r="O34" s="23"/>
      <c r="P34" s="23"/>
    </row>
  </sheetData>
  <mergeCells count="19">
    <mergeCell ref="G3:P3"/>
    <mergeCell ref="F13:H14"/>
    <mergeCell ref="F15:H17"/>
    <mergeCell ref="J13:L14"/>
    <mergeCell ref="J15:L17"/>
    <mergeCell ref="N13:P14"/>
    <mergeCell ref="B13:D14"/>
    <mergeCell ref="B15:D17"/>
    <mergeCell ref="B25:L25"/>
    <mergeCell ref="B26:L26"/>
    <mergeCell ref="B23:L23"/>
    <mergeCell ref="B24:L24"/>
    <mergeCell ref="B30:L30"/>
    <mergeCell ref="B29:L29"/>
    <mergeCell ref="N15:P16"/>
    <mergeCell ref="N17:P17"/>
    <mergeCell ref="B21:L21"/>
    <mergeCell ref="B22:L22"/>
    <mergeCell ref="B27:L27"/>
  </mergeCells>
  <hyperlinks>
    <hyperlink ref="I6" r:id="rId1" xr:uid="{00000000-0004-0000-0100-000000000000}"/>
    <hyperlink ref="N17:P17" location="README!B25" display="Review data references here. " xr:uid="{00000000-0004-0000-0100-000001000000}"/>
    <hyperlink ref="B22:L22" r:id="rId2" display="SBTi Step by step process " xr:uid="{00000000-0004-0000-0100-000002000000}"/>
    <hyperlink ref="B23:L23" r:id="rId3" display="SBTi Resources" xr:uid="{00000000-0004-0000-0100-000003000000}"/>
    <hyperlink ref="B28:L28" r:id="rId4" display="Foundations of Science-based Target Setting" xr:uid="{00000000-0004-0000-0100-000007000000}"/>
    <hyperlink ref="B21:L21" r:id="rId5" display="Science Based Targets initiative website" xr:uid="{00000000-0004-0000-0100-000008000000}"/>
    <hyperlink ref="B25:L25" r:id="rId6" display="SBTi Criteria Assessment Indicators" xr:uid="{C6EE632A-AF76-473C-93BE-29E9CCCCCFA1}"/>
    <hyperlink ref="B26:L26" r:id="rId7" display="SBTi Procedure for Validation of SBTi Targets" xr:uid="{7FFF1AC1-3DEA-4F6D-B112-CA4228CC3D85}"/>
    <hyperlink ref="B27:L27" r:id="rId8" display="SBTi Corporate Target Submission Form" xr:uid="{395A88F2-2B56-47A6-9165-530DCB3A6730}"/>
    <hyperlink ref="B30:L30" r:id="rId9" display="SBTi Sector Guidance" xr:uid="{BF3F6178-4C25-438C-AB7C-92EF1BA3BEA2}"/>
    <hyperlink ref="B24:L24" r:id="rId10" display="SBTi Criteria and Recommendations " xr:uid="{13355AFE-414B-4520-A0B0-16174191A288}"/>
    <hyperlink ref="B29:L29" r:id="rId11" display="SBTi Corporate Net-Zero Standard" xr:uid="{A23BA02A-4E5D-4300-8F03-C1C833F0CE3C}"/>
  </hyperlinks>
  <pageMargins left="0.7" right="0.7" top="0.75" bottom="0.75" header="0.3" footer="0.3"/>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rgb="FF7030A0"/>
  </sheetPr>
  <dimension ref="B2:BD164"/>
  <sheetViews>
    <sheetView showGridLines="0" topLeftCell="A99" zoomScale="130" zoomScaleNormal="130" workbookViewId="0">
      <selection activeCell="D118" sqref="D118"/>
    </sheetView>
  </sheetViews>
  <sheetFormatPr baseColWidth="10" defaultColWidth="9.1640625" defaultRowHeight="13" x14ac:dyDescent="0.15"/>
  <cols>
    <col min="1" max="1" width="2.5" customWidth="1"/>
    <col min="2" max="2" width="63.33203125" customWidth="1"/>
    <col min="3" max="3" width="3" customWidth="1"/>
    <col min="4" max="4" width="31.1640625" customWidth="1"/>
    <col min="5" max="5" width="2.83203125" customWidth="1"/>
    <col min="6" max="6" width="31.1640625" customWidth="1"/>
    <col min="7" max="7" width="2.83203125" customWidth="1"/>
    <col min="8" max="8" width="31.1640625" customWidth="1"/>
    <col min="9" max="9" width="2.83203125" customWidth="1"/>
    <col min="10" max="12" width="14.5" customWidth="1"/>
    <col min="13" max="34" width="11.5" customWidth="1"/>
  </cols>
  <sheetData>
    <row r="2" spans="2:26" ht="20" customHeight="1" x14ac:dyDescent="0.25">
      <c r="C2" s="33"/>
    </row>
    <row r="3" spans="2:26" ht="33.5" customHeight="1" x14ac:dyDescent="0.15">
      <c r="D3" s="116" t="str">
        <f>+README!F3</f>
        <v>SBTi Automotive Target-Setting Tool | DRAFT VERSION</v>
      </c>
      <c r="E3" s="116"/>
      <c r="F3" s="116"/>
      <c r="G3" s="116"/>
      <c r="H3" s="116"/>
      <c r="I3" s="116"/>
      <c r="J3" s="116"/>
      <c r="K3" s="116"/>
      <c r="L3" s="116"/>
      <c r="M3" s="116"/>
    </row>
    <row r="4" spans="2:26" ht="20" customHeight="1" x14ac:dyDescent="0.15">
      <c r="D4" s="35" t="s">
        <v>28</v>
      </c>
      <c r="E4" s="34"/>
      <c r="F4" s="265">
        <f>+README!H5</f>
        <v>0.3</v>
      </c>
    </row>
    <row r="5" spans="2:26" ht="20" customHeight="1" x14ac:dyDescent="0.15">
      <c r="D5" s="35" t="s">
        <v>26</v>
      </c>
      <c r="E5" s="34"/>
      <c r="F5" s="36" t="s">
        <v>412</v>
      </c>
    </row>
    <row r="6" spans="2:26" ht="12.75" customHeight="1" x14ac:dyDescent="0.2">
      <c r="B6" s="24"/>
      <c r="C6" s="24"/>
      <c r="D6" s="24"/>
      <c r="E6" s="24"/>
      <c r="F6" s="24"/>
      <c r="G6" s="24"/>
      <c r="H6" s="24"/>
      <c r="I6" s="24"/>
      <c r="J6" s="24"/>
      <c r="K6" s="24"/>
      <c r="L6" s="24"/>
      <c r="M6" s="24"/>
      <c r="N6" s="24"/>
      <c r="O6" s="24"/>
      <c r="P6" s="24"/>
      <c r="Q6" s="24"/>
      <c r="R6" s="24"/>
      <c r="S6" s="24"/>
      <c r="T6" s="24"/>
      <c r="U6" s="24"/>
      <c r="V6" s="24"/>
      <c r="W6" s="24"/>
      <c r="X6" s="24"/>
      <c r="Y6" s="24"/>
      <c r="Z6" s="24"/>
    </row>
    <row r="7" spans="2:26" ht="30" customHeight="1" x14ac:dyDescent="0.2">
      <c r="B7" s="8"/>
      <c r="D7" s="305" t="s">
        <v>410</v>
      </c>
      <c r="E7" s="305"/>
      <c r="F7" s="305"/>
      <c r="G7" s="305"/>
      <c r="H7" s="305"/>
      <c r="I7" s="305"/>
      <c r="J7" s="305"/>
      <c r="K7" s="305"/>
    </row>
    <row r="8" spans="2:26" ht="20" customHeight="1" thickBot="1" x14ac:dyDescent="0.2">
      <c r="B8" s="133" t="s">
        <v>408</v>
      </c>
      <c r="C8" s="109"/>
      <c r="D8" s="109"/>
      <c r="E8" s="109"/>
      <c r="F8" s="109"/>
      <c r="G8" s="109"/>
      <c r="H8" s="109"/>
      <c r="I8" s="109"/>
      <c r="J8" s="109"/>
      <c r="K8" s="109"/>
      <c r="L8" s="109"/>
      <c r="M8" s="109"/>
      <c r="N8" s="109"/>
      <c r="O8" s="109"/>
      <c r="P8" s="109"/>
      <c r="Q8" s="109"/>
      <c r="R8" s="109"/>
      <c r="S8" s="109"/>
      <c r="T8" s="109"/>
      <c r="U8" s="109"/>
      <c r="V8" s="109"/>
      <c r="W8" s="109"/>
      <c r="X8" s="109"/>
      <c r="Y8" s="109"/>
      <c r="Z8" s="109"/>
    </row>
    <row r="9" spans="2:26" ht="48" customHeight="1" x14ac:dyDescent="0.15">
      <c r="B9" s="107" t="s">
        <v>290</v>
      </c>
      <c r="C9" s="106"/>
      <c r="D9" s="309" t="s">
        <v>473</v>
      </c>
      <c r="E9" s="309"/>
      <c r="F9" s="309"/>
      <c r="G9" s="309"/>
      <c r="H9" s="309"/>
      <c r="I9" s="309"/>
      <c r="J9" s="309"/>
      <c r="K9" s="309"/>
    </row>
    <row r="10" spans="2:26" ht="42" customHeight="1" x14ac:dyDescent="0.15">
      <c r="B10" s="107" t="s">
        <v>344</v>
      </c>
      <c r="C10" s="106"/>
      <c r="D10" s="309" t="s">
        <v>474</v>
      </c>
      <c r="E10" s="309"/>
      <c r="F10" s="309"/>
      <c r="G10" s="309"/>
      <c r="H10" s="309"/>
      <c r="I10" s="309"/>
      <c r="J10" s="309"/>
      <c r="K10" s="309"/>
    </row>
    <row r="11" spans="2:26" ht="18" customHeight="1" x14ac:dyDescent="0.15">
      <c r="B11" s="107" t="s">
        <v>341</v>
      </c>
      <c r="C11" s="106"/>
      <c r="D11" s="309" t="s">
        <v>294</v>
      </c>
      <c r="E11" s="309"/>
      <c r="F11" s="309"/>
      <c r="G11" s="309"/>
      <c r="H11" s="309"/>
      <c r="I11" s="309"/>
      <c r="J11" s="309"/>
      <c r="K11" s="309"/>
    </row>
    <row r="12" spans="2:26" ht="18" customHeight="1" x14ac:dyDescent="0.15">
      <c r="B12" s="107"/>
      <c r="C12" s="106"/>
      <c r="D12" s="308"/>
      <c r="E12" s="308"/>
      <c r="F12" s="308"/>
      <c r="G12" s="308"/>
      <c r="H12" s="308"/>
      <c r="I12" s="308"/>
      <c r="J12" s="308"/>
      <c r="K12" s="308"/>
    </row>
    <row r="13" spans="2:26" x14ac:dyDescent="0.15">
      <c r="B13" s="107"/>
      <c r="C13" s="106"/>
      <c r="D13" s="93"/>
      <c r="E13" s="93"/>
      <c r="F13" s="93"/>
      <c r="G13" s="93"/>
      <c r="H13" s="93"/>
      <c r="I13" s="93"/>
      <c r="J13" s="93"/>
      <c r="K13" s="93"/>
    </row>
    <row r="14" spans="2:26" ht="18" customHeight="1" x14ac:dyDescent="0.15">
      <c r="B14" s="107"/>
      <c r="C14" s="106"/>
      <c r="D14" s="155" t="s">
        <v>296</v>
      </c>
      <c r="E14" s="156"/>
      <c r="F14" s="157" t="s">
        <v>297</v>
      </c>
      <c r="G14" s="156"/>
      <c r="H14" s="158" t="s">
        <v>322</v>
      </c>
      <c r="I14" s="93"/>
      <c r="J14" s="93"/>
      <c r="K14" s="93"/>
    </row>
    <row r="15" spans="2:26" ht="20" customHeight="1" x14ac:dyDescent="0.2">
      <c r="B15" s="8"/>
    </row>
    <row r="16" spans="2:26" ht="12.75" hidden="1" customHeight="1" x14ac:dyDescent="0.2">
      <c r="B16" s="37"/>
      <c r="C16" s="37"/>
      <c r="D16" s="37"/>
      <c r="E16" s="37"/>
      <c r="F16" s="37"/>
      <c r="G16" s="37"/>
      <c r="H16" s="37"/>
      <c r="I16" s="37"/>
      <c r="J16" s="37"/>
      <c r="K16" s="37"/>
      <c r="L16" s="37"/>
      <c r="M16" s="37"/>
      <c r="N16" s="37"/>
      <c r="O16" s="37"/>
      <c r="P16" s="37"/>
      <c r="Q16" s="37"/>
      <c r="R16" s="37"/>
      <c r="S16" s="37"/>
      <c r="T16" s="37"/>
      <c r="U16" s="37"/>
      <c r="V16" s="37"/>
      <c r="W16" s="37"/>
      <c r="X16" s="37"/>
      <c r="Y16" s="37"/>
      <c r="Z16" s="37"/>
    </row>
    <row r="17" spans="2:20" ht="20" hidden="1" customHeight="1" x14ac:dyDescent="0.2">
      <c r="B17" s="8"/>
    </row>
    <row r="18" spans="2:20" ht="20" hidden="1" customHeight="1" x14ac:dyDescent="0.25">
      <c r="B18" s="7" t="s">
        <v>345</v>
      </c>
      <c r="D18" s="54"/>
    </row>
    <row r="19" spans="2:20" ht="12.75" hidden="1" customHeight="1" x14ac:dyDescent="0.15">
      <c r="D19" s="55"/>
      <c r="J19" s="1"/>
    </row>
    <row r="20" spans="2:20" ht="18" hidden="1" customHeight="1" x14ac:dyDescent="0.15">
      <c r="B20" s="311" t="s">
        <v>323</v>
      </c>
      <c r="C20" s="311"/>
      <c r="D20" s="311"/>
      <c r="E20" s="311"/>
      <c r="F20" s="311"/>
      <c r="G20" s="311"/>
      <c r="H20" s="311"/>
      <c r="J20" s="1"/>
    </row>
    <row r="21" spans="2:20" ht="12.75" hidden="1" customHeight="1" thickBot="1" x14ac:dyDescent="0.2">
      <c r="D21" s="55"/>
      <c r="J21" s="1"/>
    </row>
    <row r="22" spans="2:20" ht="20" hidden="1" customHeight="1" thickTop="1" thickBot="1" x14ac:dyDescent="0.2">
      <c r="B22" s="38" t="s">
        <v>222</v>
      </c>
      <c r="D22" s="159" t="s">
        <v>346</v>
      </c>
      <c r="F22" t="s">
        <v>222</v>
      </c>
      <c r="K22" s="1"/>
      <c r="R22" s="41"/>
      <c r="S22" s="41"/>
      <c r="T22" s="41"/>
    </row>
    <row r="23" spans="2:20" ht="20" hidden="1" customHeight="1" thickTop="1" thickBot="1" x14ac:dyDescent="0.2">
      <c r="B23" s="40" t="s">
        <v>0</v>
      </c>
      <c r="C23" s="3" t="str">
        <f>""</f>
        <v/>
      </c>
      <c r="D23" s="160">
        <v>2022</v>
      </c>
      <c r="E23" s="3" t="str">
        <f>""</f>
        <v/>
      </c>
      <c r="F23" s="39" t="s">
        <v>197</v>
      </c>
      <c r="H23" s="85"/>
      <c r="J23" s="314"/>
      <c r="K23" s="314"/>
      <c r="L23" s="314"/>
      <c r="M23" s="314"/>
      <c r="N23" s="314"/>
      <c r="O23" s="314"/>
      <c r="P23" s="314"/>
      <c r="Q23" s="314"/>
      <c r="R23" s="41"/>
      <c r="S23" s="41"/>
      <c r="T23" s="41"/>
    </row>
    <row r="24" spans="2:20" ht="20" hidden="1" customHeight="1" thickTop="1" thickBot="1" x14ac:dyDescent="0.2">
      <c r="B24" s="68" t="s">
        <v>261</v>
      </c>
      <c r="C24" s="3" t="str">
        <f>""</f>
        <v/>
      </c>
      <c r="D24" s="161">
        <v>100000</v>
      </c>
      <c r="E24" s="3" t="str">
        <f>""</f>
        <v/>
      </c>
      <c r="F24" s="39" t="s">
        <v>47</v>
      </c>
      <c r="H24" s="85"/>
      <c r="J24" s="314"/>
      <c r="K24" s="314"/>
      <c r="L24" s="314"/>
      <c r="M24" s="314"/>
      <c r="N24" s="314"/>
      <c r="O24" s="314"/>
      <c r="P24" s="314"/>
      <c r="Q24" s="314"/>
      <c r="R24" s="41"/>
      <c r="S24" s="41"/>
      <c r="T24" s="41"/>
    </row>
    <row r="25" spans="2:20" ht="20" hidden="1" customHeight="1" thickTop="1" thickBot="1" x14ac:dyDescent="0.2">
      <c r="B25" s="69" t="s">
        <v>91</v>
      </c>
      <c r="C25" s="3" t="str">
        <f>""</f>
        <v/>
      </c>
      <c r="D25" s="161">
        <v>500000</v>
      </c>
      <c r="E25" s="3" t="str">
        <f>""</f>
        <v/>
      </c>
      <c r="F25" s="39" t="s">
        <v>47</v>
      </c>
      <c r="H25" s="85"/>
      <c r="J25" s="314"/>
      <c r="K25" s="314"/>
      <c r="L25" s="314"/>
      <c r="M25" s="314"/>
      <c r="N25" s="314"/>
      <c r="O25" s="314"/>
      <c r="P25" s="314"/>
      <c r="Q25" s="314"/>
      <c r="R25" s="41"/>
      <c r="S25" s="41"/>
      <c r="T25" s="41"/>
    </row>
    <row r="26" spans="2:20" ht="20" hidden="1" customHeight="1" thickTop="1" thickBot="1" x14ac:dyDescent="0.2">
      <c r="B26" s="40" t="s">
        <v>1</v>
      </c>
      <c r="C26" s="3" t="str">
        <f>""</f>
        <v/>
      </c>
      <c r="D26" s="160">
        <v>2033</v>
      </c>
      <c r="E26" s="3"/>
      <c r="F26" s="39" t="s">
        <v>198</v>
      </c>
      <c r="J26" s="314"/>
      <c r="K26" s="314"/>
      <c r="L26" s="314"/>
      <c r="M26" s="314"/>
      <c r="N26" s="314"/>
      <c r="O26" s="314"/>
      <c r="P26" s="314"/>
      <c r="Q26" s="314"/>
      <c r="R26" s="41"/>
      <c r="S26" s="41"/>
      <c r="T26" s="41"/>
    </row>
    <row r="27" spans="2:20" ht="20" hidden="1" customHeight="1" thickTop="1" thickBot="1" x14ac:dyDescent="0.2">
      <c r="B27" s="40" t="s">
        <v>90</v>
      </c>
      <c r="C27" s="3" t="str">
        <f>""</f>
        <v/>
      </c>
      <c r="D27" s="160">
        <v>2022</v>
      </c>
      <c r="E27" s="3" t="str">
        <f>""</f>
        <v/>
      </c>
      <c r="F27" s="39" t="s">
        <v>305</v>
      </c>
      <c r="H27" s="85"/>
      <c r="J27" s="314"/>
      <c r="K27" s="314"/>
      <c r="L27" s="314"/>
      <c r="M27" s="314"/>
      <c r="N27" s="314"/>
      <c r="O27" s="314"/>
      <c r="P27" s="314"/>
      <c r="Q27" s="314"/>
    </row>
    <row r="28" spans="2:20" ht="20" hidden="1" customHeight="1" thickTop="1" thickBot="1" x14ac:dyDescent="0.2">
      <c r="B28" s="68" t="s">
        <v>202</v>
      </c>
      <c r="C28" s="3" t="str">
        <f>""</f>
        <v/>
      </c>
      <c r="D28" s="161">
        <v>95000</v>
      </c>
      <c r="E28" s="3" t="str">
        <f>""</f>
        <v/>
      </c>
      <c r="F28" s="39" t="str">
        <f>IF(D27&lt;=D23,"If selected base year is the most recent year available, no input is required","tCO2e")</f>
        <v>If selected base year is the most recent year available, no input is required</v>
      </c>
      <c r="J28" s="314"/>
      <c r="K28" s="314"/>
      <c r="L28" s="314"/>
      <c r="M28" s="314"/>
      <c r="N28" s="314"/>
      <c r="O28" s="314"/>
      <c r="P28" s="314"/>
      <c r="Q28" s="314"/>
    </row>
    <row r="29" spans="2:20" ht="20" hidden="1" customHeight="1" thickTop="1" thickBot="1" x14ac:dyDescent="0.2">
      <c r="B29" s="68" t="s">
        <v>92</v>
      </c>
      <c r="C29" s="3" t="str">
        <f>""</f>
        <v/>
      </c>
      <c r="D29" s="161">
        <v>550000</v>
      </c>
      <c r="E29" s="3" t="str">
        <f>""</f>
        <v/>
      </c>
      <c r="F29" s="39" t="str">
        <f>IF(D27&lt;=D23,"If selected base year is the most recent year available, no input is required","tCO2e")</f>
        <v>If selected base year is the most recent year available, no input is required</v>
      </c>
      <c r="J29" s="314"/>
      <c r="K29" s="314"/>
      <c r="L29" s="314"/>
      <c r="M29" s="314"/>
      <c r="N29" s="314"/>
      <c r="O29" s="314"/>
      <c r="P29" s="314"/>
      <c r="Q29" s="314"/>
    </row>
    <row r="30" spans="2:20" ht="20" hidden="1" customHeight="1" thickTop="1" x14ac:dyDescent="0.15">
      <c r="K30" s="41"/>
      <c r="L30" s="41"/>
      <c r="M30" s="41"/>
      <c r="N30" s="41"/>
      <c r="O30" s="41"/>
      <c r="P30" s="41"/>
      <c r="Q30" s="41"/>
      <c r="R30" s="72"/>
      <c r="S30" s="72"/>
      <c r="T30" s="72"/>
    </row>
    <row r="31" spans="2:20" ht="20" hidden="1" customHeight="1" x14ac:dyDescent="0.2">
      <c r="B31" s="100" t="s">
        <v>285</v>
      </c>
      <c r="K31" s="41"/>
      <c r="L31" s="41"/>
      <c r="M31" s="41"/>
      <c r="N31" s="41"/>
      <c r="O31" s="41"/>
      <c r="P31" s="41"/>
      <c r="Q31" s="41"/>
      <c r="R31" s="72"/>
      <c r="S31" s="72"/>
      <c r="T31" s="72"/>
    </row>
    <row r="32" spans="2:20" hidden="1" x14ac:dyDescent="0.15">
      <c r="B32" s="162" t="s">
        <v>32</v>
      </c>
      <c r="K32" s="41"/>
      <c r="L32" s="41"/>
      <c r="M32" s="41"/>
      <c r="N32" s="41"/>
      <c r="O32" s="41"/>
      <c r="P32" s="41"/>
      <c r="Q32" s="41"/>
      <c r="R32" s="72"/>
      <c r="S32" s="72"/>
      <c r="T32" s="72"/>
    </row>
    <row r="33" spans="2:13" ht="37.5" hidden="1" customHeight="1" x14ac:dyDescent="0.15">
      <c r="B33" s="1"/>
      <c r="D33" s="43" t="str">
        <f>+CONCATENATE("Base year ","(",D23,")")</f>
        <v>Base year (2022)</v>
      </c>
      <c r="E33" s="44"/>
      <c r="F33" s="43" t="str">
        <f>IF(D27&gt;D23,CONCATENATE("Most recent year ","(",D27,")"),CONCATENATE("Same as base year ","(",D27,")"))</f>
        <v>Same as base year (2022)</v>
      </c>
      <c r="G33" s="34"/>
      <c r="H33" s="43" t="str">
        <f>+CONCATENATE("Target year ","(",D26,")")</f>
        <v>Target year (2033)</v>
      </c>
      <c r="I33" s="34"/>
      <c r="J33" s="70" t="s">
        <v>196</v>
      </c>
      <c r="K33" s="70" t="s">
        <v>195</v>
      </c>
      <c r="L33" s="70" t="s">
        <v>101</v>
      </c>
      <c r="M33" s="71"/>
    </row>
    <row r="34" spans="2:13" ht="19.5" hidden="1" customHeight="1" thickBot="1" x14ac:dyDescent="0.2">
      <c r="B34" s="38" t="str">
        <f>IF(ISNUMBER($D$24)=TRUE,"Scope 1 emissions (tCO2e)","enter emissions data")</f>
        <v>Scope 1 emissions (tCO2e)</v>
      </c>
      <c r="D34" s="56">
        <f>IF(D24="","",D24)</f>
        <v>100000</v>
      </c>
      <c r="E34" s="1"/>
      <c r="F34" s="56" t="str">
        <f>IF(AND(ISNUMBER(D27),D27&gt;D23,D24&gt;=0,ISNUMBER(D28),D28&gt;=0),D28,"-----")</f>
        <v>-----</v>
      </c>
      <c r="H34" s="56">
        <f>+IF(D24="","",D34*(1-L34))</f>
        <v>45399.999999999993</v>
      </c>
      <c r="J34" s="82" t="str">
        <f>IF(Calculations!D9&gt;0,Calculations!D9,"-----")</f>
        <v>-----</v>
      </c>
      <c r="K34" s="82" t="str">
        <f>IF(Calculations!$D$9&gt;=0.9,"Maint. target",IF(AND($D$27&gt;$D$23,Calculations!$D$9&gt;0,Calculations!$D$15&gt;0),Calculations!$D$15,"Not required"))</f>
        <v>Not required</v>
      </c>
      <c r="L34" s="82">
        <f>+IF($D$34="","",Calculations!$D$18)</f>
        <v>0.54600000000000004</v>
      </c>
      <c r="M34" s="71"/>
    </row>
    <row r="35" spans="2:13" ht="19.5" hidden="1" customHeight="1" thickTop="1" thickBot="1" x14ac:dyDescent="0.2">
      <c r="B35" s="38" t="str">
        <f>IF(ISNUMBER($D$25)=TRUE,"Scope 2 emissions (tCO2e)","enter emissions data")</f>
        <v>Scope 2 emissions (tCO2e)</v>
      </c>
      <c r="D35" s="57">
        <f>IF(D25="","",D25)</f>
        <v>500000</v>
      </c>
      <c r="E35" s="1"/>
      <c r="F35" s="57" t="str">
        <f>IF(AND(ISNUMBER(D27),D27&gt;D23,D25&gt;=0,ISNUMBER(D29),D29&gt;=0),D29,"-----")</f>
        <v>-----</v>
      </c>
      <c r="H35" s="57">
        <f>+IF(D25="","",D35*(1-L35))</f>
        <v>226999.99999999997</v>
      </c>
      <c r="J35" s="82" t="str">
        <f>IF(Calculations!D10&gt;0,Calculations!D10,"-----")</f>
        <v>-----</v>
      </c>
      <c r="K35" s="82" t="str">
        <f>IF(Calculations!$D$10&gt;=0.9,"Maint. target",IF(AND($D$27&gt;$D$23,Calculations!$D$10&gt;0,Calculations!$D$22&gt;0),Calculations!$D$22,"Not required"))</f>
        <v>Not required</v>
      </c>
      <c r="L35" s="82">
        <f>+IF($D$35="","",Calculations!$D$25)</f>
        <v>0.54600000000000004</v>
      </c>
      <c r="M35" s="71"/>
    </row>
    <row r="36" spans="2:13" ht="9" hidden="1" customHeight="1" thickTop="1" thickBot="1" x14ac:dyDescent="0.2">
      <c r="B36" s="71"/>
      <c r="C36" s="71"/>
      <c r="D36" s="71"/>
      <c r="E36" s="71"/>
      <c r="F36" s="71"/>
      <c r="G36" s="71"/>
      <c r="H36" s="71"/>
      <c r="I36" s="71"/>
      <c r="J36" s="71"/>
      <c r="K36" s="71"/>
      <c r="L36" s="71"/>
      <c r="M36" s="71"/>
    </row>
    <row r="37" spans="2:13" ht="19.5" hidden="1" customHeight="1" thickTop="1" thickBot="1" x14ac:dyDescent="0.2">
      <c r="B37" s="38" t="str">
        <f>IF(AND(ISNUMBER($D$24),ISNUMBER($D$25))=TRUE,"Scope 1+2 emissions (tCO2e)","enter emissions data")</f>
        <v>Scope 1+2 emissions (tCO2e)</v>
      </c>
      <c r="D37" s="58">
        <f>IF(OR(D24="",D25=""),"",$D$34+$D$35)</f>
        <v>600000</v>
      </c>
      <c r="E37" s="1"/>
      <c r="F37" s="58" t="str">
        <f>IF(AND(ISNUMBER(F34),ISNUMBER(F35)),F34+F35,"----")</f>
        <v>----</v>
      </c>
      <c r="H37" s="58">
        <f>IF(OR(D24="",D25=""),"",H34+H35)</f>
        <v>272399.99999999994</v>
      </c>
      <c r="J37" s="82" t="str">
        <f>IF(ISNUMBER(F37),(1-F37/D37),"----")</f>
        <v>----</v>
      </c>
      <c r="K37" s="82">
        <f>IF(OR($D$28="",$D$29=""),"-----",$L$37-(1-(Calculations!D16+Calculations!D23)/$D$37))</f>
        <v>0</v>
      </c>
      <c r="L37" s="82">
        <f>+IF(OR($D$37="",$H$37=""),"",1-$H$37/$D$37)</f>
        <v>0.54600000000000004</v>
      </c>
    </row>
    <row r="38" spans="2:13" ht="9" hidden="1" customHeight="1" thickTop="1" thickBot="1" x14ac:dyDescent="0.2"/>
    <row r="39" spans="2:13" ht="19.5" hidden="1" customHeight="1" thickTop="1" thickBot="1" x14ac:dyDescent="0.2">
      <c r="B39" s="38" t="s">
        <v>223</v>
      </c>
      <c r="D39" s="315" t="str">
        <f>IF(OR(ISBLANK($D$22),ISBLANK($D$23),ISBLANK($D$24),ISBLANK($D$26)), "Enter data in Section 1", $D$22&amp;" commits to reduce Scope 1 emissions "&amp;(ROUNDUP(TRUNC($L$34,4),3)*100)&amp;"%"&amp;" by "&amp;$D$26&amp;" from a "&amp;$D$23&amp;" base year.")</f>
        <v>NFG commits to reduce Scope 1 emissions 54.6% by 2033 from a 2022 base year.</v>
      </c>
      <c r="E39" s="315"/>
      <c r="F39" s="315"/>
      <c r="G39" s="315"/>
      <c r="H39" s="315"/>
      <c r="I39" s="315"/>
      <c r="J39" s="315"/>
      <c r="K39" s="315"/>
      <c r="L39" s="315"/>
    </row>
    <row r="40" spans="2:13" ht="19.5" hidden="1" customHeight="1" thickTop="1" thickBot="1" x14ac:dyDescent="0.2">
      <c r="B40" s="40" t="s">
        <v>224</v>
      </c>
      <c r="D40" s="313" t="str">
        <f>IF(OR(ISBLANK($D$22),ISBLANK($D$23),ISBLANK($D$25),ISBLANK($D$26)), "Enter data in Section 1", $D$22&amp;" commits to reduce Scope 2 emissions "&amp;(ROUNDUP(TRUNC($L$35,4),3)*100)&amp;"%"&amp;" by "&amp;$D$26&amp;" from a "&amp;$D$23&amp;" base year.")</f>
        <v>NFG commits to reduce Scope 2 emissions 54.6% by 2033 from a 2022 base year.</v>
      </c>
      <c r="E40" s="313"/>
      <c r="F40" s="313"/>
      <c r="G40" s="313"/>
      <c r="H40" s="313"/>
      <c r="I40" s="313"/>
      <c r="J40" s="313"/>
      <c r="K40" s="313"/>
      <c r="L40" s="313"/>
    </row>
    <row r="41" spans="2:13" ht="9.5" hidden="1" customHeight="1" thickTop="1" thickBot="1" x14ac:dyDescent="0.2">
      <c r="B41" s="108"/>
      <c r="D41" s="102"/>
      <c r="E41" s="102"/>
      <c r="F41" s="102"/>
      <c r="G41" s="102"/>
      <c r="H41" s="102"/>
      <c r="I41" s="102"/>
      <c r="J41" s="102"/>
      <c r="K41" s="62"/>
      <c r="L41" s="62"/>
    </row>
    <row r="42" spans="2:13" ht="19.5" hidden="1" customHeight="1" thickTop="1" thickBot="1" x14ac:dyDescent="0.2">
      <c r="B42" s="38" t="s">
        <v>225</v>
      </c>
      <c r="D42" s="315" t="str" cm="1">
        <f t="array" ref="D42">IF(OR(ISBLANK($D$22),ISBLANK($D$23),ISBLANK($D$24:$D$26)), "Enter data in Section 1", $D$22&amp;" commits to reduce scope 1 and 2 emissions "&amp;(ROUNDUP(TRUNC($L$37,4),3)*100)&amp;"%"&amp;" by "&amp;$D$26&amp;" from a "&amp;$D$23&amp;" base year.")</f>
        <v>NFG commits to reduce scope 1 and 2 emissions 54.6% by 2033 from a 2022 base year.</v>
      </c>
      <c r="E42" s="315"/>
      <c r="F42" s="315"/>
      <c r="G42" s="315"/>
      <c r="H42" s="315"/>
      <c r="I42" s="315"/>
      <c r="J42" s="315"/>
      <c r="K42" s="315"/>
      <c r="L42" s="315"/>
    </row>
    <row r="43" spans="2:13" ht="19.5" hidden="1" customHeight="1" thickTop="1" x14ac:dyDescent="0.15">
      <c r="B43" s="94" t="s">
        <v>339</v>
      </c>
      <c r="D43" s="316" t="s">
        <v>340</v>
      </c>
      <c r="E43" s="316"/>
      <c r="F43" s="316"/>
      <c r="G43" s="316"/>
      <c r="H43" s="316"/>
      <c r="I43" s="316"/>
      <c r="J43" s="316"/>
      <c r="K43" s="316"/>
      <c r="L43" s="316"/>
    </row>
    <row r="44" spans="2:13" ht="19.5" hidden="1" customHeight="1" x14ac:dyDescent="0.15">
      <c r="K44" s="66"/>
    </row>
    <row r="45" spans="2:13" ht="19.5" hidden="1" customHeight="1" x14ac:dyDescent="0.15"/>
    <row r="46" spans="2:13" ht="19.5" hidden="1" customHeight="1" x14ac:dyDescent="0.15"/>
    <row r="47" spans="2:13" ht="19.5" hidden="1" customHeight="1" x14ac:dyDescent="0.15"/>
    <row r="48" spans="2:13" ht="19.5" hidden="1" customHeight="1" x14ac:dyDescent="0.15"/>
    <row r="49" spans="2:26" ht="19.5" hidden="1" customHeight="1" x14ac:dyDescent="0.15"/>
    <row r="50" spans="2:26" ht="19.5" hidden="1" customHeight="1" x14ac:dyDescent="0.15"/>
    <row r="51" spans="2:26" ht="19.5" hidden="1" customHeight="1" x14ac:dyDescent="0.15"/>
    <row r="52" spans="2:26" ht="19.5" hidden="1" customHeight="1" x14ac:dyDescent="0.15"/>
    <row r="53" spans="2:26" ht="19.5" hidden="1" customHeight="1" x14ac:dyDescent="0.15"/>
    <row r="54" spans="2:26" ht="19.5" hidden="1" customHeight="1" x14ac:dyDescent="0.15"/>
    <row r="55" spans="2:26" ht="19.5" hidden="1" customHeight="1" x14ac:dyDescent="0.15"/>
    <row r="56" spans="2:26" ht="19.5" hidden="1" customHeight="1" x14ac:dyDescent="0.15"/>
    <row r="57" spans="2:26" ht="19.5" hidden="1" customHeight="1" x14ac:dyDescent="0.15"/>
    <row r="58" spans="2:26" ht="19.5" hidden="1" customHeight="1" x14ac:dyDescent="0.15"/>
    <row r="59" spans="2:26" ht="19.5" hidden="1" customHeight="1" x14ac:dyDescent="0.15"/>
    <row r="60" spans="2:26" ht="19.5" hidden="1" customHeight="1" x14ac:dyDescent="0.15"/>
    <row r="61" spans="2:26" ht="19.5" hidden="1" customHeight="1" x14ac:dyDescent="0.15"/>
    <row r="62" spans="2:26" ht="19.5" hidden="1" customHeight="1" x14ac:dyDescent="0.15"/>
    <row r="63" spans="2:26" ht="12.75" customHeight="1" x14ac:dyDescent="0.2">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2:26" ht="12.75" customHeight="1" x14ac:dyDescent="0.15">
      <c r="D64" s="42"/>
      <c r="F64" s="5"/>
      <c r="S64" s="64"/>
    </row>
    <row r="65" spans="2:10" ht="20" customHeight="1" x14ac:dyDescent="0.15">
      <c r="B65" s="163" t="s">
        <v>375</v>
      </c>
    </row>
    <row r="66" spans="2:10" ht="18" customHeight="1" x14ac:dyDescent="0.2">
      <c r="B66" s="7"/>
    </row>
    <row r="67" spans="2:10" ht="36" customHeight="1" x14ac:dyDescent="0.15">
      <c r="B67" s="312" t="s">
        <v>447</v>
      </c>
      <c r="C67" s="312"/>
      <c r="D67" s="312"/>
      <c r="E67" s="312"/>
      <c r="F67" s="312"/>
      <c r="G67" s="312"/>
      <c r="H67" s="312"/>
      <c r="J67" s="34"/>
    </row>
    <row r="68" spans="2:10" ht="23" customHeight="1" x14ac:dyDescent="0.15">
      <c r="B68" s="158" t="s">
        <v>465</v>
      </c>
      <c r="C68" s="247"/>
      <c r="D68" s="247"/>
      <c r="E68" s="247"/>
      <c r="F68" s="247"/>
      <c r="G68" s="247"/>
      <c r="H68" s="247"/>
      <c r="J68" s="34"/>
    </row>
    <row r="69" spans="2:10" ht="34" customHeight="1" x14ac:dyDescent="0.15">
      <c r="B69" s="312" t="s">
        <v>448</v>
      </c>
      <c r="C69" s="312"/>
      <c r="D69" s="312"/>
      <c r="E69" s="312"/>
      <c r="F69" s="312"/>
      <c r="G69" s="312"/>
      <c r="H69" s="312"/>
      <c r="J69" s="34"/>
    </row>
    <row r="70" spans="2:10" ht="18" customHeight="1" thickBot="1" x14ac:dyDescent="0.2"/>
    <row r="71" spans="2:10" ht="18" customHeight="1" thickTop="1" thickBot="1" x14ac:dyDescent="0.2">
      <c r="B71" s="38" t="s">
        <v>222</v>
      </c>
      <c r="D71" s="50"/>
      <c r="F71" s="39" t="s">
        <v>222</v>
      </c>
    </row>
    <row r="72" spans="2:10" ht="32" customHeight="1" thickTop="1" thickBot="1" x14ac:dyDescent="0.2">
      <c r="B72" s="38" t="s">
        <v>3</v>
      </c>
      <c r="C72" s="3"/>
      <c r="D72" s="246"/>
      <c r="E72" s="3"/>
      <c r="F72" s="39" t="s">
        <v>351</v>
      </c>
    </row>
    <row r="73" spans="2:10" ht="20" customHeight="1" thickTop="1" thickBot="1" x14ac:dyDescent="0.2">
      <c r="B73" s="40" t="s">
        <v>236</v>
      </c>
      <c r="C73" s="3" t="str">
        <f>""</f>
        <v/>
      </c>
      <c r="D73" s="49"/>
      <c r="E73" s="3" t="str">
        <f>""</f>
        <v/>
      </c>
      <c r="F73" s="39" t="s">
        <v>352</v>
      </c>
    </row>
    <row r="74" spans="2:10" ht="20" customHeight="1" thickTop="1" thickBot="1" x14ac:dyDescent="0.2">
      <c r="B74" s="38" t="s">
        <v>265</v>
      </c>
      <c r="C74" s="3"/>
      <c r="D74" s="49"/>
      <c r="E74" s="3"/>
      <c r="F74" s="39" t="s">
        <v>197</v>
      </c>
    </row>
    <row r="75" spans="2:10" ht="20" customHeight="1" thickTop="1" thickBot="1" x14ac:dyDescent="0.2">
      <c r="B75" s="38" t="s">
        <v>259</v>
      </c>
      <c r="C75" s="3"/>
      <c r="D75" s="49"/>
      <c r="E75" s="3"/>
      <c r="F75" s="39" t="s">
        <v>198</v>
      </c>
    </row>
    <row r="76" spans="2:10" ht="20" customHeight="1" thickTop="1" thickBot="1" x14ac:dyDescent="0.2">
      <c r="B76" s="40" t="s">
        <v>438</v>
      </c>
      <c r="C76" s="3"/>
      <c r="D76" s="95"/>
      <c r="F76" s="39" t="s">
        <v>262</v>
      </c>
    </row>
    <row r="77" spans="2:10" ht="20" customHeight="1" thickTop="1" thickBot="1" x14ac:dyDescent="0.2">
      <c r="B77" s="40" t="s">
        <v>436</v>
      </c>
      <c r="C77" s="3"/>
      <c r="D77" s="96"/>
      <c r="F77" s="39" t="s">
        <v>437</v>
      </c>
    </row>
    <row r="78" spans="2:10" ht="20" customHeight="1" thickTop="1" x14ac:dyDescent="0.15"/>
    <row r="79" spans="2:10" ht="20" customHeight="1" x14ac:dyDescent="0.2">
      <c r="B79" s="100" t="str">
        <f>CONCATENATE("Target results: ",D73&amp;" | "&amp;D72)</f>
        <v xml:space="preserve">Target results:  | </v>
      </c>
      <c r="D79" s="64"/>
      <c r="E79" s="64"/>
      <c r="F79" s="64"/>
    </row>
    <row r="80" spans="2:10" x14ac:dyDescent="0.15">
      <c r="B80" s="162"/>
    </row>
    <row r="81" spans="2:13" ht="37.5" customHeight="1" x14ac:dyDescent="0.15">
      <c r="B81" s="1"/>
      <c r="D81" s="43" t="str">
        <f>+CONCATENATE("Base year ","(",D74,")")</f>
        <v>Base year ()</v>
      </c>
      <c r="E81" s="44"/>
      <c r="F81" s="43" t="str">
        <f>+CONCATENATE("Target year ","(",D75,")")</f>
        <v>Target year ()</v>
      </c>
      <c r="G81" s="34"/>
      <c r="H81" s="43" t="s">
        <v>401</v>
      </c>
      <c r="I81" s="34"/>
      <c r="J81" s="70"/>
      <c r="K81" s="70"/>
      <c r="L81" s="70"/>
      <c r="M81" s="71"/>
    </row>
    <row r="82" spans="2:13" ht="30" customHeight="1" thickBot="1" x14ac:dyDescent="0.2">
      <c r="B82" s="165" t="str">
        <f>+Calculations!B109</f>
        <v>select a LDV category</v>
      </c>
      <c r="D82" s="59" t="str">
        <f>+IF(AND(D74="",D76=""),"",D76)</f>
        <v/>
      </c>
      <c r="E82" s="166"/>
      <c r="F82" s="59" t="str">
        <f>+IF(AND(D74="",D76=""),"",Calculations!D111)</f>
        <v/>
      </c>
      <c r="H82" s="105" t="str">
        <f>IF(F82&lt;=0,100%,IF(AND(D82="",F82=""),"",ROUNDUP(TRUNC(1-F82/D82,4),3)))</f>
        <v/>
      </c>
    </row>
    <row r="83" spans="2:13" ht="30" customHeight="1" thickTop="1" thickBot="1" x14ac:dyDescent="0.2">
      <c r="B83" s="165" t="str">
        <f>Calculations!B114</f>
        <v>select a LDV category</v>
      </c>
      <c r="D83" s="167" t="str">
        <f>+IF(AND(D74="",D77=""),"",D77)</f>
        <v/>
      </c>
      <c r="E83" s="168"/>
      <c r="F83" s="167" t="str">
        <f>+IF(AND(D74="",D76=""),"",ROUNDUP(TRUNC(Calculations!D116,4),3))</f>
        <v/>
      </c>
      <c r="H83" s="264"/>
    </row>
    <row r="84" spans="2:13" ht="19.75" customHeight="1" thickTop="1" x14ac:dyDescent="0.15"/>
    <row r="85" spans="2:13" ht="30" hidden="1" customHeight="1" thickTop="1" thickBot="1" x14ac:dyDescent="0.2">
      <c r="B85" s="165" t="s">
        <v>405</v>
      </c>
      <c r="D85" s="310" t="str" cm="1">
        <f t="array" ref="D85">IF(OR(ISBLANK(D72:D77),ISBLANK(F82:F83)),"Enter data in Section 1",$D$71&amp;" commits to reduce the average scope 1, scope 2 and scope 3 category 1, category 11 and category 12 aggregated GHG emission intensity covering vehicles sold in "&amp;D73&amp;" and "&amp;D72&amp;" by "&amp;(ROUNDUP(TRUNC(H82,4),3)*100)&amp;"%"&amp;" by "&amp;D75&amp;" relative to "&amp;D74)</f>
        <v>Enter data in Section 1</v>
      </c>
      <c r="E85" s="310"/>
      <c r="F85" s="310"/>
      <c r="G85" s="310"/>
      <c r="H85" s="310"/>
      <c r="I85" s="310"/>
      <c r="J85" s="310"/>
      <c r="K85" s="310"/>
      <c r="L85" s="310"/>
    </row>
    <row r="86" spans="2:13" ht="20" hidden="1" customHeight="1" thickTop="1" thickBot="1" x14ac:dyDescent="0.2">
      <c r="B86" s="169" t="s">
        <v>406</v>
      </c>
      <c r="D86" s="313" t="str" cm="1">
        <f t="array" ref="D86">IF(OR(ISBLANK(D72:D77),ISBLANK(F82:F83)),"Enter data in Section 1",$D$71&amp;" commits to increase the sales share of its low-emission vehicles in "&amp;D73&amp;" across all countries by "&amp;(ROUNDUP(TRUNC(F83,4),3)*100)&amp;"%"&amp;" by "&amp;D75&amp;" relative to "&amp;D74)</f>
        <v>Enter data in Section 1</v>
      </c>
      <c r="E86" s="313"/>
      <c r="F86" s="313"/>
      <c r="G86" s="313"/>
      <c r="H86" s="313"/>
      <c r="I86" s="313"/>
      <c r="J86" s="313"/>
      <c r="K86" s="313"/>
      <c r="L86" s="313"/>
    </row>
    <row r="87" spans="2:13" ht="20" customHeight="1" x14ac:dyDescent="0.15">
      <c r="D87" s="99"/>
    </row>
    <row r="88" spans="2:13" ht="20" customHeight="1" x14ac:dyDescent="0.15"/>
    <row r="89" spans="2:13" ht="20" customHeight="1" x14ac:dyDescent="0.15"/>
    <row r="90" spans="2:13" ht="20" customHeight="1" x14ac:dyDescent="0.15"/>
    <row r="91" spans="2:13" ht="20" customHeight="1" x14ac:dyDescent="0.15"/>
    <row r="92" spans="2:13" ht="20" customHeight="1" x14ac:dyDescent="0.15"/>
    <row r="93" spans="2:13" ht="20" customHeight="1" x14ac:dyDescent="0.15"/>
    <row r="94" spans="2:13" ht="20" customHeight="1" x14ac:dyDescent="0.15"/>
    <row r="95" spans="2:13" ht="20" customHeight="1" x14ac:dyDescent="0.15"/>
    <row r="96" spans="2:13" ht="20" customHeight="1" x14ac:dyDescent="0.15"/>
    <row r="97" spans="2:26" ht="20" customHeight="1" x14ac:dyDescent="0.15"/>
    <row r="98" spans="2:26" ht="20" customHeight="1" x14ac:dyDescent="0.15"/>
    <row r="99" spans="2:26" ht="20" customHeight="1" x14ac:dyDescent="0.15"/>
    <row r="100" spans="2:26" ht="20" customHeight="1" x14ac:dyDescent="0.15"/>
    <row r="101" spans="2:26" ht="20" customHeight="1" x14ac:dyDescent="0.15"/>
    <row r="102" spans="2:26" ht="20" customHeight="1" x14ac:dyDescent="0.15">
      <c r="J102" s="46"/>
    </row>
    <row r="103" spans="2:26" ht="19.5" customHeight="1" x14ac:dyDescent="0.15"/>
    <row r="104" spans="2:26" ht="12.75" customHeight="1" x14ac:dyDescent="0.2">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2:26" ht="12.75" customHeight="1" x14ac:dyDescent="0.15">
      <c r="D105" s="42"/>
      <c r="F105" s="5"/>
      <c r="S105" s="64"/>
    </row>
    <row r="106" spans="2:26" ht="20" customHeight="1" x14ac:dyDescent="0.2">
      <c r="B106" s="7" t="s">
        <v>366</v>
      </c>
    </row>
    <row r="107" spans="2:26" ht="18" customHeight="1" x14ac:dyDescent="0.2">
      <c r="B107" s="7"/>
    </row>
    <row r="108" spans="2:26" ht="33" customHeight="1" x14ac:dyDescent="0.15">
      <c r="B108" s="312" t="s">
        <v>447</v>
      </c>
      <c r="C108" s="312"/>
      <c r="D108" s="312"/>
      <c r="E108" s="312"/>
      <c r="F108" s="312"/>
      <c r="G108" s="312"/>
      <c r="H108" s="312"/>
      <c r="J108" s="34"/>
    </row>
    <row r="109" spans="2:26" ht="33" customHeight="1" x14ac:dyDescent="0.15">
      <c r="B109" s="158" t="s">
        <v>465</v>
      </c>
      <c r="C109" s="247"/>
      <c r="D109" s="247"/>
      <c r="E109" s="247"/>
      <c r="F109" s="247"/>
      <c r="G109" s="247"/>
      <c r="H109" s="247"/>
      <c r="J109" s="34"/>
    </row>
    <row r="110" spans="2:26" ht="33" customHeight="1" x14ac:dyDescent="0.15">
      <c r="B110" s="312" t="s">
        <v>448</v>
      </c>
      <c r="C110" s="312"/>
      <c r="D110" s="312"/>
      <c r="E110" s="312"/>
      <c r="F110" s="312"/>
      <c r="G110" s="312"/>
      <c r="H110" s="312"/>
      <c r="J110" s="34"/>
    </row>
    <row r="111" spans="2:26" ht="18" customHeight="1" thickBot="1" x14ac:dyDescent="0.2">
      <c r="J111" s="46"/>
    </row>
    <row r="112" spans="2:26" ht="18" customHeight="1" thickTop="1" thickBot="1" x14ac:dyDescent="0.2">
      <c r="B112" s="38" t="s">
        <v>404</v>
      </c>
      <c r="D112" s="58" t="str">
        <f>IF(ISTEXT($D$71)=TRUE,$D71,"")</f>
        <v/>
      </c>
      <c r="J112" s="46"/>
    </row>
    <row r="113" spans="2:13" ht="32" customHeight="1" thickTop="1" thickBot="1" x14ac:dyDescent="0.2">
      <c r="B113" s="38" t="s">
        <v>3</v>
      </c>
      <c r="C113" s="3"/>
      <c r="D113" s="246"/>
      <c r="E113" s="3"/>
      <c r="F113" s="39" t="s">
        <v>351</v>
      </c>
      <c r="J113" s="46"/>
    </row>
    <row r="114" spans="2:13" ht="20" customHeight="1" thickTop="1" thickBot="1" x14ac:dyDescent="0.2">
      <c r="B114" s="40" t="s">
        <v>236</v>
      </c>
      <c r="C114" s="3" t="str">
        <f>""</f>
        <v/>
      </c>
      <c r="D114" s="49"/>
      <c r="E114" s="3" t="str">
        <f>""</f>
        <v/>
      </c>
      <c r="F114" s="39" t="s">
        <v>352</v>
      </c>
      <c r="J114" s="46"/>
    </row>
    <row r="115" spans="2:13" ht="20" customHeight="1" thickTop="1" thickBot="1" x14ac:dyDescent="0.2">
      <c r="B115" s="38" t="s">
        <v>265</v>
      </c>
      <c r="C115" s="3"/>
      <c r="D115" s="49"/>
      <c r="E115" s="3"/>
      <c r="F115" s="39" t="s">
        <v>197</v>
      </c>
      <c r="J115" s="46"/>
    </row>
    <row r="116" spans="2:13" ht="20" customHeight="1" thickTop="1" thickBot="1" x14ac:dyDescent="0.2">
      <c r="B116" s="38" t="s">
        <v>259</v>
      </c>
      <c r="C116" s="3"/>
      <c r="D116" s="49"/>
      <c r="E116" s="3"/>
      <c r="F116" s="39" t="s">
        <v>198</v>
      </c>
      <c r="J116" s="46"/>
    </row>
    <row r="117" spans="2:13" ht="20" customHeight="1" thickTop="1" thickBot="1" x14ac:dyDescent="0.2">
      <c r="B117" s="40" t="s">
        <v>438</v>
      </c>
      <c r="C117" s="3"/>
      <c r="D117" s="95"/>
      <c r="F117" s="39" t="s">
        <v>262</v>
      </c>
      <c r="J117" s="46"/>
    </row>
    <row r="118" spans="2:13" ht="20" customHeight="1" thickTop="1" thickBot="1" x14ac:dyDescent="0.2">
      <c r="B118" s="40" t="s">
        <v>436</v>
      </c>
      <c r="C118" s="3"/>
      <c r="D118" s="96"/>
      <c r="F118" s="39" t="s">
        <v>437</v>
      </c>
      <c r="J118" s="46"/>
    </row>
    <row r="119" spans="2:13" ht="20" customHeight="1" thickTop="1" x14ac:dyDescent="0.15">
      <c r="F119" s="39"/>
      <c r="J119" s="46"/>
    </row>
    <row r="120" spans="2:13" ht="20" customHeight="1" x14ac:dyDescent="0.2">
      <c r="B120" s="100" t="str">
        <f>CONCATENATE("Target results: ",D114&amp;" | "&amp;D113)</f>
        <v xml:space="preserve">Target results:  | </v>
      </c>
      <c r="D120" s="8"/>
      <c r="F120" s="64"/>
    </row>
    <row r="121" spans="2:13" x14ac:dyDescent="0.15">
      <c r="B121" s="162"/>
    </row>
    <row r="122" spans="2:13" ht="37.5" customHeight="1" x14ac:dyDescent="0.15">
      <c r="B122" s="1"/>
      <c r="D122" s="43" t="str">
        <f>+CONCATENATE("Base year ","(",D115,")")</f>
        <v>Base year ()</v>
      </c>
      <c r="E122" s="44"/>
      <c r="F122" s="43" t="str">
        <f>+CONCATENATE("Target year ","(",D116,")")</f>
        <v>Target year ()</v>
      </c>
      <c r="G122" s="34"/>
      <c r="H122" s="43" t="s">
        <v>401</v>
      </c>
      <c r="I122" s="34"/>
      <c r="J122" s="70"/>
      <c r="K122" s="70"/>
      <c r="L122" s="70"/>
      <c r="M122" s="71"/>
    </row>
    <row r="123" spans="2:13" ht="30" customHeight="1" thickBot="1" x14ac:dyDescent="0.2">
      <c r="B123" s="165" t="str">
        <f>Calculations!B119</f>
        <v>select a non-LDV vehicle category</v>
      </c>
      <c r="D123" s="59" t="str">
        <f>+IF(AND(D115="",D117=""),"",D117)</f>
        <v/>
      </c>
      <c r="E123" s="166"/>
      <c r="F123" s="59" t="str">
        <f>+IF(AND(D115="",D117=""),"",Calculations!D121)</f>
        <v/>
      </c>
      <c r="H123" s="105" t="str">
        <f>IF(F123&lt;=0,100%,IF(AND(D123="",F123=""),"",ROUNDUP(TRUNC(1-F123/D123,4),3)))</f>
        <v/>
      </c>
    </row>
    <row r="124" spans="2:13" ht="30" customHeight="1" thickTop="1" thickBot="1" x14ac:dyDescent="0.2">
      <c r="B124" s="165" t="str">
        <f>Calculations!B124</f>
        <v>select a vehicle category</v>
      </c>
      <c r="D124" s="167" t="str">
        <f>+IF(AND(D115="",D118=""),"",D118)</f>
        <v/>
      </c>
      <c r="E124" s="168"/>
      <c r="F124" s="167" t="str">
        <f>+IF(AND(D115="",D117=""),"",ROUNDUP(TRUNC(Calculations!D126,4),3))</f>
        <v/>
      </c>
    </row>
    <row r="125" spans="2:13" ht="20" customHeight="1" thickTop="1" x14ac:dyDescent="0.15"/>
    <row r="126" spans="2:13" ht="30" hidden="1" customHeight="1" thickTop="1" thickBot="1" x14ac:dyDescent="0.2">
      <c r="B126" s="165" t="s">
        <v>405</v>
      </c>
      <c r="D126" s="310" t="str" cm="1">
        <f t="array" ref="D126">IF(OR(ISBLANK(D113:D118),ISBLANK(F123:F124)),"Enter data in Section 2",$D$71&amp;" commits to reduce the average scope 1, scope 2 and scope 3 category 1, category 11 and category 12 aggregated GHG emission intensity covering vehicles sold in "&amp;D114&amp;" and "&amp;D113&amp;" by "&amp;(ROUNDUP(TRUNC(H123,4),3)*100)&amp;"%"&amp;" by "&amp;D116&amp;" relative to "&amp;D115)</f>
        <v>Enter data in Section 2</v>
      </c>
      <c r="E126" s="310"/>
      <c r="F126" s="310"/>
      <c r="G126" s="310"/>
      <c r="H126" s="310"/>
      <c r="I126" s="310"/>
      <c r="J126" s="310"/>
      <c r="K126" s="310"/>
      <c r="L126" s="310"/>
    </row>
    <row r="127" spans="2:13" ht="19.75" hidden="1" customHeight="1" thickTop="1" thickBot="1" x14ac:dyDescent="0.2">
      <c r="B127" s="169" t="s">
        <v>406</v>
      </c>
      <c r="D127" s="313" t="str" cm="1">
        <f t="array" ref="D127">IF(OR(ISBLANK(D113:D118),ISBLANK(F123:F124)),"Enter data in Section 2",$D$71&amp;" commits to increase the sales share of its low-emission vehicles in "&amp;D114&amp;" across all countries by "&amp;(ROUNDUP(TRUNC(F124,4),3)*100)&amp;"%"&amp;" by "&amp;D116&amp;" relative to "&amp;D115)</f>
        <v>Enter data in Section 2</v>
      </c>
      <c r="E127" s="313"/>
      <c r="F127" s="313"/>
      <c r="G127" s="313"/>
      <c r="H127" s="313"/>
      <c r="I127" s="313"/>
      <c r="J127" s="313"/>
      <c r="K127" s="313"/>
      <c r="L127" s="313"/>
    </row>
    <row r="128" spans="2:13" ht="20" customHeight="1" x14ac:dyDescent="0.15">
      <c r="F128" s="39"/>
      <c r="J128" s="46"/>
    </row>
    <row r="129" spans="6:10" ht="20" customHeight="1" x14ac:dyDescent="0.15">
      <c r="F129" s="39"/>
      <c r="J129" s="46"/>
    </row>
    <row r="130" spans="6:10" ht="20" customHeight="1" x14ac:dyDescent="0.15">
      <c r="F130" s="39"/>
      <c r="J130" s="46"/>
    </row>
    <row r="131" spans="6:10" ht="20" customHeight="1" x14ac:dyDescent="0.15">
      <c r="F131" s="39"/>
      <c r="J131" s="46"/>
    </row>
    <row r="132" spans="6:10" ht="20" customHeight="1" x14ac:dyDescent="0.15">
      <c r="F132" s="39"/>
      <c r="J132" s="46"/>
    </row>
    <row r="133" spans="6:10" ht="20" customHeight="1" x14ac:dyDescent="0.15">
      <c r="F133" s="39"/>
      <c r="J133" s="46"/>
    </row>
    <row r="134" spans="6:10" ht="20" customHeight="1" x14ac:dyDescent="0.15">
      <c r="F134" s="39"/>
      <c r="J134" s="46"/>
    </row>
    <row r="135" spans="6:10" ht="20" customHeight="1" x14ac:dyDescent="0.15">
      <c r="F135" s="39"/>
      <c r="J135" s="46"/>
    </row>
    <row r="136" spans="6:10" ht="20" customHeight="1" x14ac:dyDescent="0.15">
      <c r="F136" s="39"/>
      <c r="J136" s="46"/>
    </row>
    <row r="137" spans="6:10" ht="20" customHeight="1" x14ac:dyDescent="0.15">
      <c r="F137" s="39"/>
      <c r="J137" s="46"/>
    </row>
    <row r="138" spans="6:10" ht="20" customHeight="1" x14ac:dyDescent="0.15">
      <c r="F138" s="39"/>
      <c r="J138" s="46"/>
    </row>
    <row r="139" spans="6:10" ht="20" customHeight="1" x14ac:dyDescent="0.15">
      <c r="F139" s="39"/>
      <c r="J139" s="46"/>
    </row>
    <row r="140" spans="6:10" ht="20" customHeight="1" x14ac:dyDescent="0.15">
      <c r="F140" s="39"/>
      <c r="J140" s="46"/>
    </row>
    <row r="141" spans="6:10" ht="20" customHeight="1" x14ac:dyDescent="0.15">
      <c r="J141" s="46"/>
    </row>
    <row r="142" spans="6:10" ht="20" customHeight="1" x14ac:dyDescent="0.15">
      <c r="J142" s="46"/>
    </row>
    <row r="143" spans="6:10" ht="20" customHeight="1" x14ac:dyDescent="0.15">
      <c r="J143" s="46"/>
    </row>
    <row r="144" spans="6:10" ht="20" customHeight="1" x14ac:dyDescent="0.15">
      <c r="J144" s="46"/>
    </row>
    <row r="145" spans="2:56" ht="12.75" customHeight="1" x14ac:dyDescent="0.15">
      <c r="D145" s="42"/>
      <c r="F145" s="5"/>
      <c r="S145" s="64"/>
    </row>
    <row r="146" spans="2:56" ht="19.5" customHeight="1" x14ac:dyDescent="0.2">
      <c r="B146" s="7" t="s">
        <v>444</v>
      </c>
    </row>
    <row r="147" spans="2:56" ht="19.5" customHeight="1" x14ac:dyDescent="0.15">
      <c r="J147" s="43" t="str">
        <f>IF(Automakers!$D$74="","",Automakers!$D$74)</f>
        <v/>
      </c>
      <c r="K147" s="43" t="str">
        <f t="shared" ref="K147:W147" si="0">IF(J147&lt;2035,J147+1,"")</f>
        <v/>
      </c>
      <c r="L147" s="43" t="str">
        <f t="shared" si="0"/>
        <v/>
      </c>
      <c r="M147" s="43" t="str">
        <f t="shared" si="0"/>
        <v/>
      </c>
      <c r="N147" s="43" t="str">
        <f t="shared" si="0"/>
        <v/>
      </c>
      <c r="O147" s="43" t="str">
        <f t="shared" si="0"/>
        <v/>
      </c>
      <c r="P147" s="43" t="str">
        <f t="shared" si="0"/>
        <v/>
      </c>
      <c r="Q147" s="43" t="str">
        <f t="shared" si="0"/>
        <v/>
      </c>
      <c r="R147" s="43" t="str">
        <f t="shared" si="0"/>
        <v/>
      </c>
      <c r="S147" s="43" t="str">
        <f t="shared" si="0"/>
        <v/>
      </c>
      <c r="T147" s="43" t="str">
        <f t="shared" si="0"/>
        <v/>
      </c>
      <c r="U147" s="43" t="str">
        <f t="shared" si="0"/>
        <v/>
      </c>
      <c r="V147" s="43" t="str">
        <f t="shared" si="0"/>
        <v/>
      </c>
      <c r="W147" s="43" t="str">
        <f t="shared" si="0"/>
        <v/>
      </c>
    </row>
    <row r="148" spans="2:56" ht="36" customHeight="1" thickBot="1" x14ac:dyDescent="0.2">
      <c r="D148" s="307" t="str">
        <f>+B65</f>
        <v>Section 1. Target setting for light-duty vehicles (Passenger cars and LCVs)</v>
      </c>
      <c r="F148" s="306" t="str">
        <f>+B82</f>
        <v>select a LDV category</v>
      </c>
      <c r="G148" s="306">
        <f>+G82</f>
        <v>0</v>
      </c>
      <c r="H148" s="306" t="str">
        <f>+H82</f>
        <v/>
      </c>
      <c r="J148" s="83" t="str">
        <f>IF(AND($D$76&gt;0,J147&lt;&gt;""),HLOOKUP(J$147,Calculations!$B$1:$AI$200,ROW(Calculations!B109)),"")</f>
        <v/>
      </c>
      <c r="K148" s="83" t="str">
        <f>IF(AND($D$76&gt;0,K147&lt;&gt;""),HLOOKUP(K$147,Calculations!$B$1:$AI$200,ROW(Calculations!C109)),"")</f>
        <v/>
      </c>
      <c r="L148" s="83" t="str">
        <f>IF(AND($D$76&gt;0,L147&lt;&gt;""),HLOOKUP(L$147,Calculations!$B$1:$AI$200,ROW(Calculations!D109)),"")</f>
        <v/>
      </c>
      <c r="M148" s="83" t="str">
        <f>IF(AND($D$76&gt;0,M147&lt;&gt;""),HLOOKUP(M$147,Calculations!$B$1:$AI$200,ROW(Calculations!E109)),"")</f>
        <v/>
      </c>
      <c r="N148" s="83" t="str">
        <f>IF(AND($D$76&gt;0,N147&lt;&gt;""),HLOOKUP(N$147,Calculations!$B$1:$AI$200,ROW(Calculations!F109)),"")</f>
        <v/>
      </c>
      <c r="O148" s="83" t="str">
        <f>IF(AND($D$76&gt;0,O147&lt;&gt;""),HLOOKUP(O$147,Calculations!$B$1:$AI$200,ROW(Calculations!G109)),"")</f>
        <v/>
      </c>
      <c r="P148" s="83" t="str">
        <f>IF(AND($D$76&gt;0,P147&lt;&gt;""),HLOOKUP(P$147,Calculations!$B$1:$AI$200,ROW(Calculations!H109)),"")</f>
        <v/>
      </c>
      <c r="Q148" s="83" t="str">
        <f>IF(AND($D$76&gt;0,Q147&lt;&gt;""),HLOOKUP(Q$147,Calculations!$B$1:$AI$200,ROW(Calculations!I109)),"")</f>
        <v/>
      </c>
      <c r="R148" s="83" t="str">
        <f>IF(AND($D$76&gt;0,R147&lt;&gt;""),HLOOKUP(R$147,Calculations!$B$1:$AI$200,ROW(Calculations!J109)),"")</f>
        <v/>
      </c>
      <c r="S148" s="83" t="str">
        <f>IF(AND($D$76&gt;0,S147&lt;&gt;""),HLOOKUP(S$147,Calculations!$B$1:$AI$200,ROW(Calculations!K109)),"")</f>
        <v/>
      </c>
      <c r="T148" s="83" t="str">
        <f>IF(AND($D$76&gt;0,T147&lt;&gt;""),HLOOKUP(T$147,Calculations!$B$1:$AI$200,ROW(Calculations!L109)),"")</f>
        <v/>
      </c>
      <c r="U148" s="83" t="str">
        <f>IF(AND($D$76&gt;0,U147&lt;&gt;""),HLOOKUP(U$147,Calculations!$B$1:$AI$200,ROW(Calculations!M109)),"")</f>
        <v/>
      </c>
      <c r="V148" s="83" t="str">
        <f>IF(AND($D$76&gt;0,V147&lt;&gt;""),HLOOKUP(V$147,Calculations!$B$1:$AI$200,ROW(Calculations!N109)),"")</f>
        <v/>
      </c>
      <c r="W148" s="83" t="str">
        <f>IF(AND($D$76&gt;0,W147&lt;&gt;""),HLOOKUP(W$147,Calculations!$B$1:$AI$200,ROW(Calculations!O109)),"")</f>
        <v/>
      </c>
      <c r="X148" s="83" t="str">
        <f>IF(AND($D$76&gt;0,X147&lt;&gt;""),HLOOKUP(X$147,Calculations!$B$1:$AI$200,ROW(Calculations!P109)),"")</f>
        <v/>
      </c>
      <c r="Y148" s="83" t="str">
        <f>IF(AND($D$76&gt;0,Y147&lt;&gt;""),HLOOKUP(Y$147,Calculations!$B$1:$AI$200,ROW(Calculations!Q109)),"")</f>
        <v/>
      </c>
      <c r="Z148" s="83" t="str">
        <f>IF(AND($D$76&gt;0,Z147&lt;&gt;""),HLOOKUP(Z$147,Calculations!$B$1:$AI$200,ROW(Calculations!R109)),"")</f>
        <v/>
      </c>
    </row>
    <row r="149" spans="2:56" ht="36" customHeight="1" thickTop="1" thickBot="1" x14ac:dyDescent="0.2">
      <c r="D149" s="307"/>
      <c r="F149" s="306" t="str">
        <f>+B83</f>
        <v>select a LDV category</v>
      </c>
      <c r="G149" s="306">
        <f>+G83</f>
        <v>0</v>
      </c>
      <c r="H149" s="306">
        <f>+H83</f>
        <v>0</v>
      </c>
      <c r="I149" s="45"/>
      <c r="J149" s="170" t="str">
        <f>IF(AND($D$77&gt;0,J147&lt;&gt;""),HLOOKUP(J$147,Calculations!$B$1:$AI$200,ROW(Calculations!B114)),"")</f>
        <v/>
      </c>
      <c r="K149" s="170" t="str">
        <f>IF(AND($D$77&gt;0,K147&lt;&gt;""),HLOOKUP(K$147,Calculations!$B$1:$AI$200,ROW(Calculations!C114)),"")</f>
        <v/>
      </c>
      <c r="L149" s="170" t="str">
        <f>IF(AND($D$77&gt;0,L147&lt;&gt;""),HLOOKUP(L$147,Calculations!$B$1:$AI$200,ROW(Calculations!D114)),"")</f>
        <v/>
      </c>
      <c r="M149" s="170" t="str">
        <f>IF(AND($D$77&gt;0,M147&lt;&gt;""),HLOOKUP(M$147,Calculations!$B$1:$AI$200,ROW(Calculations!E114)),"")</f>
        <v/>
      </c>
      <c r="N149" s="170" t="str">
        <f>IF(AND($D$77&gt;0,N147&lt;&gt;""),HLOOKUP(N$147,Calculations!$B$1:$AI$200,ROW(Calculations!F114)),"")</f>
        <v/>
      </c>
      <c r="O149" s="170" t="str">
        <f>IF(AND($D$77&gt;0,O147&lt;&gt;""),HLOOKUP(O$147,Calculations!$B$1:$AI$200,ROW(Calculations!G114)),"")</f>
        <v/>
      </c>
      <c r="P149" s="170" t="str">
        <f>IF(AND($D$77&gt;0,P147&lt;&gt;""),HLOOKUP(P$147,Calculations!$B$1:$AI$200,ROW(Calculations!H114)),"")</f>
        <v/>
      </c>
      <c r="Q149" s="170" t="str">
        <f>IF(AND($D$77&gt;0,Q147&lt;&gt;""),HLOOKUP(Q$147,Calculations!$B$1:$AI$200,ROW(Calculations!I114)),"")</f>
        <v/>
      </c>
      <c r="R149" s="170" t="str">
        <f>IF(AND($D$77&gt;0,R147&lt;&gt;""),HLOOKUP(R$147,Calculations!$B$1:$AI$200,ROW(Calculations!J114)),"")</f>
        <v/>
      </c>
      <c r="S149" s="170" t="str">
        <f>IF(AND($D$77&gt;0,S147&lt;&gt;""),HLOOKUP(S$147,Calculations!$B$1:$AI$200,ROW(Calculations!K114)),"")</f>
        <v/>
      </c>
      <c r="T149" s="170" t="str">
        <f>IF(AND($D$77&gt;0,T147&lt;&gt;""),HLOOKUP(T$147,Calculations!$B$1:$AI$200,ROW(Calculations!L114)),"")</f>
        <v/>
      </c>
      <c r="U149" s="170" t="str">
        <f>IF(AND($D$77&gt;0,U147&lt;&gt;""),HLOOKUP(U$147,Calculations!$B$1:$AI$200,ROW(Calculations!M114)),"")</f>
        <v/>
      </c>
      <c r="V149" s="170" t="str">
        <f>IF(AND($D$77&gt;0,V147&lt;&gt;""),HLOOKUP(V$147,Calculations!$B$1:$AI$200,ROW(Calculations!N114)),"")</f>
        <v/>
      </c>
      <c r="W149" s="170" t="str">
        <f>IF(AND($D$77&gt;0,W147&lt;&gt;""),HLOOKUP(W$147,Calculations!$B$1:$AI$200,ROW(Calculations!O114)),"")</f>
        <v/>
      </c>
      <c r="X149" s="170" t="str">
        <f>IF(AND($D$77&gt;0,X147&lt;&gt;""),HLOOKUP(X$147,Calculations!$B$1:$AI$200,ROW(Calculations!P114)),"")</f>
        <v/>
      </c>
      <c r="Y149" s="170" t="str">
        <f>IF(AND($D$77&gt;0,Y147&lt;&gt;""),HLOOKUP(Y$147,Calculations!$B$1:$AI$200,ROW(Calculations!Q114)),"")</f>
        <v/>
      </c>
      <c r="Z149" s="170" t="str">
        <f>IF(AND($D$77&gt;0,Z147&lt;&gt;""),HLOOKUP(Z$147,Calculations!$B$1:$AI$200,ROW(Calculations!R114)),"")</f>
        <v/>
      </c>
      <c r="AA149" s="81"/>
      <c r="AB149" s="81"/>
      <c r="AC149" s="81"/>
      <c r="AD149" s="81"/>
    </row>
    <row r="150" spans="2:56" s="6" customFormat="1" ht="36" customHeight="1" thickTop="1" thickBot="1" x14ac:dyDescent="0.2">
      <c r="D150" s="267"/>
      <c r="F150" s="268"/>
      <c r="G150" s="268"/>
      <c r="H150" s="268"/>
      <c r="I150" s="269"/>
      <c r="J150" s="270" t="str">
        <f>IF(Automakers!$D$115="","",Automakers!$D$115)</f>
        <v/>
      </c>
      <c r="K150" s="43" t="str">
        <f t="shared" ref="K150" si="1">IF(J150&lt;2035,J150+1,"")</f>
        <v/>
      </c>
      <c r="L150" s="270"/>
      <c r="M150" s="270"/>
      <c r="N150" s="270"/>
      <c r="O150" s="270"/>
      <c r="P150" s="270"/>
      <c r="Q150" s="270"/>
      <c r="R150" s="270"/>
      <c r="S150" s="270"/>
      <c r="T150" s="270"/>
      <c r="U150" s="270"/>
      <c r="V150" s="270"/>
      <c r="W150" s="270"/>
      <c r="X150" s="270"/>
      <c r="Y150" s="270"/>
      <c r="Z150" s="270"/>
      <c r="AA150" s="271"/>
      <c r="AB150" s="271"/>
      <c r="AC150" s="271"/>
      <c r="AD150" s="271"/>
    </row>
    <row r="151" spans="2:56" ht="36" customHeight="1" thickTop="1" thickBot="1" x14ac:dyDescent="0.2">
      <c r="D151" s="317" t="str">
        <f>+B106</f>
        <v>Section 2. Target setting for non light-duty vehicles (2&amp;3 wheelers, buses, medium and heavy duty trucks)</v>
      </c>
      <c r="F151" s="306" t="str">
        <f>+B123</f>
        <v>select a non-LDV vehicle category</v>
      </c>
      <c r="G151" s="306">
        <f>+G85</f>
        <v>0</v>
      </c>
      <c r="H151" s="306">
        <f>+H85</f>
        <v>0</v>
      </c>
      <c r="J151" s="83" t="str">
        <f>IF(AND($D$117&gt;0,J147&lt;&gt;""),HLOOKUP(J$147,Calculations!$B$1:$AI$200,ROW(Calculations!E119)),"")</f>
        <v/>
      </c>
      <c r="K151" s="83" t="str">
        <f>IF(AND($D$117&gt;0,K147&lt;&gt;""),HLOOKUP(K$147,Calculations!$B$1:$AI$200,ROW(Calculations!F119)),"")</f>
        <v/>
      </c>
      <c r="L151" s="83" t="str">
        <f>IF(AND($D$117&gt;0,L147&lt;&gt;""),HLOOKUP(L$147,Calculations!$B$1:$AI$200,ROW(Calculations!G119)),"")</f>
        <v/>
      </c>
      <c r="M151" s="83" t="str">
        <f>IF(AND($D$117&gt;0,M147&lt;&gt;""),HLOOKUP(M$147,Calculations!$B$1:$AI$200,ROW(Calculations!H119)),"")</f>
        <v/>
      </c>
      <c r="N151" s="83" t="str">
        <f>IF(AND($D$117&gt;0,N147&lt;&gt;""),HLOOKUP(N$147,Calculations!$B$1:$AI$200,ROW(Calculations!I119)),"")</f>
        <v/>
      </c>
      <c r="O151" s="83" t="str">
        <f>IF(AND($D$117&gt;0,O147&lt;&gt;""),HLOOKUP(O$147,Calculations!$B$1:$AI$200,ROW(Calculations!J119)),"")</f>
        <v/>
      </c>
      <c r="P151" s="83" t="str">
        <f>IF(AND($D$117&gt;0,P147&lt;&gt;""),HLOOKUP(P$147,Calculations!$B$1:$AI$200,ROW(Calculations!K119)),"")</f>
        <v/>
      </c>
      <c r="Q151" s="83" t="str">
        <f>IF(AND($D$117&gt;0,Q147&lt;&gt;""),HLOOKUP(Q$147,Calculations!$B$1:$AI$200,ROW(Calculations!L119)),"")</f>
        <v/>
      </c>
      <c r="R151" s="83" t="str">
        <f>IF(AND($D$117&gt;0,R147&lt;&gt;""),HLOOKUP(R$147,Calculations!$B$1:$AI$200,ROW(Calculations!M119)),"")</f>
        <v/>
      </c>
      <c r="S151" s="83" t="str">
        <f>IF(AND($D$117&gt;0,S147&lt;&gt;""),HLOOKUP(S$147,Calculations!$B$1:$AI$200,ROW(Calculations!N119)),"")</f>
        <v/>
      </c>
      <c r="T151" s="83" t="str">
        <f>IF(AND($D$117&gt;0,T147&lt;&gt;""),HLOOKUP(T$147,Calculations!$B$1:$AI$200,ROW(Calculations!O119)),"")</f>
        <v/>
      </c>
      <c r="U151" s="83" t="str">
        <f>IF(AND($D$117&gt;0,U147&lt;&gt;""),HLOOKUP(U$147,Calculations!$B$1:$AI$200,ROW(Calculations!P119)),"")</f>
        <v/>
      </c>
      <c r="V151" s="83" t="str">
        <f>IF(AND($D$117&gt;0,V147&lt;&gt;""),HLOOKUP(V$147,Calculations!$B$1:$AI$200,ROW(Calculations!Q119)),"")</f>
        <v/>
      </c>
      <c r="W151" s="83" t="str">
        <f>IF(AND($D$117&gt;0,W147&lt;&gt;""),HLOOKUP(W$147,Calculations!$B$1:$AI$200,ROW(Calculations!R119)),"")</f>
        <v/>
      </c>
      <c r="X151" s="83" t="str">
        <f>IF(AND($D$117&gt;0,X147&lt;&gt;""),HLOOKUP(X$147,Calculations!$B$1:$AI$200,ROW(Calculations!S119)),"")</f>
        <v/>
      </c>
      <c r="Y151" s="83" t="str">
        <f>IF(AND($D$117&gt;0,Y147&lt;&gt;""),HLOOKUP(Y$147,Calculations!$B$1:$AI$200,ROW(Calculations!T119)),"")</f>
        <v/>
      </c>
      <c r="Z151" s="83" t="str">
        <f>IF(AND($D$117&gt;0,Z147&lt;&gt;""),HLOOKUP(Z$147,Calculations!$B$1:$AI$200,ROW(Calculations!U119)),"")</f>
        <v/>
      </c>
    </row>
    <row r="152" spans="2:56" ht="36" customHeight="1" thickTop="1" thickBot="1" x14ac:dyDescent="0.2">
      <c r="D152" s="318"/>
      <c r="F152" s="306" t="str">
        <f>+B124</f>
        <v>select a vehicle category</v>
      </c>
      <c r="G152" s="306">
        <f>+G86</f>
        <v>0</v>
      </c>
      <c r="H152" s="306">
        <f>+H86</f>
        <v>0</v>
      </c>
      <c r="I152" s="45"/>
      <c r="J152" s="170" t="str">
        <f>IF(AND($D$118&gt;0,J147&lt;&gt;""),HLOOKUP(J$147,Calculations!$B$1:$AI$200,ROW(Calculations!E124)),"")</f>
        <v/>
      </c>
      <c r="K152" s="170" t="str">
        <f>IF(AND($D$118&gt;0,K147&lt;&gt;""),HLOOKUP(K$147,Calculations!$B$1:$AI$200,ROW(Calculations!F124)),"")</f>
        <v/>
      </c>
      <c r="L152" s="170" t="str">
        <f>IF(AND($D$118&gt;0,L147&lt;&gt;""),HLOOKUP(L$147,Calculations!$B$1:$AI$200,ROW(Calculations!G124)),"")</f>
        <v/>
      </c>
      <c r="M152" s="170" t="str">
        <f>IF(AND($D$118&gt;0,M147&lt;&gt;""),HLOOKUP(M$147,Calculations!$B$1:$AI$200,ROW(Calculations!H124)),"")</f>
        <v/>
      </c>
      <c r="N152" s="170" t="str">
        <f>IF(AND($D$118&gt;0,N147&lt;&gt;""),HLOOKUP(N$147,Calculations!$B$1:$AI$200,ROW(Calculations!I124)),"")</f>
        <v/>
      </c>
      <c r="O152" s="170" t="str">
        <f>IF(AND($D$118&gt;0,O147&lt;&gt;""),HLOOKUP(O$147,Calculations!$B$1:$AI$200,ROW(Calculations!J124)),"")</f>
        <v/>
      </c>
      <c r="P152" s="170" t="str">
        <f>IF(AND($D$118&gt;0,P147&lt;&gt;""),HLOOKUP(P$147,Calculations!$B$1:$AI$200,ROW(Calculations!K124)),"")</f>
        <v/>
      </c>
      <c r="Q152" s="170" t="str">
        <f>IF(AND($D$118&gt;0,Q147&lt;&gt;""),HLOOKUP(Q$147,Calculations!$B$1:$AI$200,ROW(Calculations!L124)),"")</f>
        <v/>
      </c>
      <c r="R152" s="170" t="str">
        <f>IF(AND($D$118&gt;0,R147&lt;&gt;""),HLOOKUP(R$147,Calculations!$B$1:$AI$200,ROW(Calculations!M124)),"")</f>
        <v/>
      </c>
      <c r="S152" s="170" t="str">
        <f>IF(AND($D$118&gt;0,S147&lt;&gt;""),HLOOKUP(S$147,Calculations!$B$1:$AI$200,ROW(Calculations!N124)),"")</f>
        <v/>
      </c>
      <c r="T152" s="170" t="str">
        <f>IF(AND($D$118&gt;0,T147&lt;&gt;""),HLOOKUP(T$147,Calculations!$B$1:$AI$200,ROW(Calculations!O124)),"")</f>
        <v/>
      </c>
      <c r="U152" s="170" t="str">
        <f>IF(AND($D$118&gt;0,U147&lt;&gt;""),HLOOKUP(U$147,Calculations!$B$1:$AI$200,ROW(Calculations!P124)),"")</f>
        <v/>
      </c>
      <c r="V152" s="170" t="str">
        <f>IF(AND($D$118&gt;0,V147&lt;&gt;""),HLOOKUP(V$147,Calculations!$B$1:$AI$200,ROW(Calculations!Q124)),"")</f>
        <v/>
      </c>
      <c r="W152" s="170" t="str">
        <f>IF(AND($D$118&gt;0,W147&lt;&gt;""),HLOOKUP(W$147,Calculations!$B$1:$AI$200,ROW(Calculations!R124)),"")</f>
        <v/>
      </c>
      <c r="X152" s="170" t="str">
        <f>IF(AND($D$118&gt;0,X147&lt;&gt;""),HLOOKUP(X$147,Calculations!$B$1:$AI$200,ROW(Calculations!S124)),"")</f>
        <v/>
      </c>
      <c r="Y152" s="170" t="str">
        <f>IF(AND($D$118&gt;0,Y147&lt;&gt;""),HLOOKUP(Y$147,Calculations!$B$1:$AI$200,ROW(Calculations!T124)),"")</f>
        <v/>
      </c>
      <c r="Z152" s="170" t="str">
        <f>IF(AND($D$118&gt;0,Z147&lt;&gt;""),HLOOKUP(Z$147,Calculations!$B$1:$AI$200,ROW(Calculations!U124)),"")</f>
        <v/>
      </c>
    </row>
    <row r="153" spans="2:56" ht="19.5" customHeight="1" thickTop="1" x14ac:dyDescent="0.15">
      <c r="AT153" s="48"/>
      <c r="AU153" s="48"/>
      <c r="AV153" s="48"/>
      <c r="AW153" s="48"/>
      <c r="AX153" s="48"/>
      <c r="AY153" s="48"/>
      <c r="AZ153" s="48"/>
      <c r="BA153" s="48"/>
      <c r="BB153" s="48"/>
      <c r="BC153" s="48"/>
      <c r="BD153" s="48"/>
    </row>
    <row r="154" spans="2:56" ht="19.5" customHeight="1" x14ac:dyDescent="0.15">
      <c r="AT154" s="48"/>
      <c r="AU154" s="48"/>
      <c r="AV154" s="48"/>
      <c r="AW154" s="48"/>
      <c r="AX154" s="48"/>
      <c r="AY154" s="48"/>
      <c r="AZ154" s="48"/>
      <c r="BA154" s="48"/>
      <c r="BB154" s="48"/>
      <c r="BC154" s="48"/>
      <c r="BD154" s="48"/>
    </row>
    <row r="155" spans="2:56" ht="19.5" customHeight="1" x14ac:dyDescent="0.15">
      <c r="AT155" s="48"/>
      <c r="AU155" s="48"/>
      <c r="AV155" s="48"/>
      <c r="AW155" s="48"/>
      <c r="AX155" s="48"/>
      <c r="AY155" s="48"/>
      <c r="AZ155" s="48"/>
      <c r="BA155" s="48"/>
      <c r="BB155" s="48"/>
      <c r="BC155" s="48"/>
      <c r="BD155" s="48"/>
    </row>
    <row r="156" spans="2:56" ht="19.5" customHeight="1" x14ac:dyDescent="0.15"/>
    <row r="157" spans="2:56" ht="19.5" customHeight="1" x14ac:dyDescent="0.15"/>
    <row r="158" spans="2:56" ht="19.5" customHeight="1" x14ac:dyDescent="0.15"/>
    <row r="159" spans="2:56" ht="19.5" customHeight="1" x14ac:dyDescent="0.15"/>
    <row r="160" spans="2:56" ht="19.5" customHeight="1" x14ac:dyDescent="0.15"/>
    <row r="161" ht="19.5" customHeight="1" x14ac:dyDescent="0.15"/>
    <row r="162" ht="19.5" customHeight="1" x14ac:dyDescent="0.15"/>
    <row r="163" ht="19.5" customHeight="1" x14ac:dyDescent="0.15"/>
    <row r="164" ht="19.5" customHeight="1" x14ac:dyDescent="0.15"/>
  </sheetData>
  <sheetProtection algorithmName="SHA-512" hashValue="QZnL6VOUIJp5MJUr/iOTLnGEOMZai2gan1+iZrR9Be1RjJYfvhzcyk4/5GIHzkSl3ibBJhLMVsqeSgNBCdDItQ==" saltValue="5IBXlZ0oJlgbBCRWx8usOw==" spinCount="100000" sheet="1" objects="1" scenarios="1"/>
  <mergeCells count="25">
    <mergeCell ref="D40:L40"/>
    <mergeCell ref="D43:L43"/>
    <mergeCell ref="B67:H67"/>
    <mergeCell ref="B69:H69"/>
    <mergeCell ref="D151:D152"/>
    <mergeCell ref="F151:H151"/>
    <mergeCell ref="F152:H152"/>
    <mergeCell ref="D126:L126"/>
    <mergeCell ref="D127:L127"/>
    <mergeCell ref="D7:K7"/>
    <mergeCell ref="F148:H148"/>
    <mergeCell ref="F149:H149"/>
    <mergeCell ref="D148:D149"/>
    <mergeCell ref="D12:K12"/>
    <mergeCell ref="D9:K9"/>
    <mergeCell ref="D10:K10"/>
    <mergeCell ref="D85:L85"/>
    <mergeCell ref="B20:H20"/>
    <mergeCell ref="D11:K11"/>
    <mergeCell ref="B108:H108"/>
    <mergeCell ref="B110:H110"/>
    <mergeCell ref="D86:L86"/>
    <mergeCell ref="J23:Q29"/>
    <mergeCell ref="D39:L39"/>
    <mergeCell ref="D42:L42"/>
  </mergeCells>
  <conditionalFormatting sqref="B25">
    <cfRule type="cellIs" dxfId="166" priority="402" operator="lessThan">
      <formula>10</formula>
    </cfRule>
    <cfRule type="cellIs" dxfId="165" priority="401" operator="lessThan">
      <formula>100</formula>
    </cfRule>
  </conditionalFormatting>
  <conditionalFormatting sqref="B28:B29 D28:D29">
    <cfRule type="expression" dxfId="164" priority="32">
      <formula>$D$27&lt;=$D$23</formula>
    </cfRule>
  </conditionalFormatting>
  <conditionalFormatting sqref="B34:B35 B37">
    <cfRule type="expression" dxfId="163" priority="327">
      <formula>ISNUMBER($D$24)=FALSE</formula>
    </cfRule>
  </conditionalFormatting>
  <conditionalFormatting sqref="B82:B83 B123:B124 I148 I151">
    <cfRule type="expression" dxfId="162" priority="388">
      <formula>ISTEXT($D$73)=FALSE</formula>
    </cfRule>
  </conditionalFormatting>
  <conditionalFormatting sqref="C43:D43 C126:D127">
    <cfRule type="cellIs" dxfId="161" priority="17" operator="lessThan">
      <formula>100</formula>
    </cfRule>
    <cfRule type="cellIs" dxfId="160" priority="18" operator="lessThan">
      <formula>10</formula>
    </cfRule>
  </conditionalFormatting>
  <conditionalFormatting sqref="C85:D86">
    <cfRule type="cellIs" dxfId="159" priority="34" operator="lessThan">
      <formula>10</formula>
    </cfRule>
    <cfRule type="cellIs" dxfId="158" priority="33" operator="lessThan">
      <formula>100</formula>
    </cfRule>
  </conditionalFormatting>
  <conditionalFormatting sqref="D33:D42 C39:C42 D44:D62 D64">
    <cfRule type="cellIs" dxfId="156" priority="181" operator="lessThan">
      <formula>100</formula>
    </cfRule>
    <cfRule type="cellIs" dxfId="155" priority="182" operator="lessThan">
      <formula>10</formula>
    </cfRule>
  </conditionalFormatting>
  <conditionalFormatting sqref="D81">
    <cfRule type="cellIs" dxfId="154" priority="35" operator="lessThan">
      <formula>100</formula>
    </cfRule>
    <cfRule type="cellIs" dxfId="153" priority="36" operator="lessThan">
      <formula>10</formula>
    </cfRule>
  </conditionalFormatting>
  <conditionalFormatting sqref="D103 D105">
    <cfRule type="cellIs" dxfId="152" priority="30" operator="lessThan">
      <formula>10</formula>
    </cfRule>
    <cfRule type="cellIs" dxfId="151" priority="29" operator="lessThan">
      <formula>100</formula>
    </cfRule>
  </conditionalFormatting>
  <conditionalFormatting sqref="D122">
    <cfRule type="cellIs" dxfId="150" priority="26" operator="lessThan">
      <formula>10</formula>
    </cfRule>
    <cfRule type="cellIs" dxfId="149" priority="25" operator="lessThan">
      <formula>100</formula>
    </cfRule>
  </conditionalFormatting>
  <conditionalFormatting sqref="D145">
    <cfRule type="cellIs" dxfId="148" priority="12" operator="lessThan">
      <formula>10</formula>
    </cfRule>
    <cfRule type="cellIs" dxfId="147" priority="11" operator="lessThan">
      <formula>100</formula>
    </cfRule>
  </conditionalFormatting>
  <conditionalFormatting sqref="F148:H152">
    <cfRule type="expression" dxfId="144" priority="2">
      <formula>ISTEXT($D$73)=FALSE</formula>
    </cfRule>
  </conditionalFormatting>
  <conditionalFormatting sqref="J147:W147 J149:AD150 AT153:BD155">
    <cfRule type="expression" dxfId="143" priority="330">
      <formula>OR($D$23=0,$D$24=0)</formula>
    </cfRule>
  </conditionalFormatting>
  <conditionalFormatting sqref="J148:Z148">
    <cfRule type="expression" dxfId="142" priority="31">
      <formula>OR($D$23=0,$D$24=0)</formula>
    </cfRule>
  </conditionalFormatting>
  <conditionalFormatting sqref="J151:Z152">
    <cfRule type="expression" dxfId="141" priority="1">
      <formula>OR($D$23=0,$D$24=0)</formula>
    </cfRule>
  </conditionalFormatting>
  <dataValidations xWindow="813" yWindow="947" count="2">
    <dataValidation type="decimal" errorStyle="information" operator="greaterThan" allowBlank="1" showInputMessage="1" showErrorMessage="1" error="Enter a value &gt; 0" sqref="D118" xr:uid="{0D9F3103-0423-4DE6-A78D-754AF7B45298}">
      <formula1>0</formula1>
    </dataValidation>
    <dataValidation type="decimal" errorStyle="information" operator="greaterThan" allowBlank="1" showInputMessage="1" showErrorMessage="1" error="Enter a value &gt; 0 " sqref="D77" xr:uid="{EAFCD617-2D78-4E91-90AB-827E30AE7EE5}">
      <formula1>0</formula1>
    </dataValidation>
  </dataValidations>
  <hyperlinks>
    <hyperlink ref="F5" r:id="rId1" xr:uid="{00000000-0004-0000-0300-000000000000}"/>
    <hyperlink ref="B32" location="'Automakers | Near-term targets'!D140" display="Review all target modelling data" xr:uid="{00000000-0004-0000-0300-000002000000}"/>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403" id="{C56290F2-7439-478A-BF90-DEEE2C9AF8AE}">
            <xm:f>AND(#REF!=Lists!$N$2,OR($D$73=Lists!$B$4))</xm:f>
            <x14:dxf>
              <font>
                <color theme="0"/>
              </font>
              <numFmt numFmtId="169" formatCode=";;;"/>
              <fill>
                <patternFill patternType="none">
                  <bgColor auto="1"/>
                </patternFill>
              </fill>
              <border>
                <left/>
                <right/>
                <top/>
                <bottom/>
                <vertical/>
                <horizontal/>
              </border>
            </x14:dxf>
          </x14:cfRule>
          <xm:sqref>B25</xm:sqref>
        </x14:conditionalFormatting>
        <x14:conditionalFormatting xmlns:xm="http://schemas.microsoft.com/office/excel/2006/main">
          <x14:cfRule type="expression" priority="404" id="{C0D31102-D5C3-4E86-ACCF-9F76386979DA}">
            <xm:f>AND(#REF!=Lists!$N$2,OR($D$73=Lists!$B$4))</xm:f>
            <x14:dxf>
              <font>
                <color theme="0"/>
              </font>
              <fill>
                <patternFill>
                  <bgColor theme="0"/>
                </patternFill>
              </fill>
            </x14:dxf>
          </x14:cfRule>
          <xm:sqref>D25 F25 F29</xm:sqref>
        </x14:conditionalFormatting>
        <x14:conditionalFormatting xmlns:xm="http://schemas.microsoft.com/office/excel/2006/main">
          <x14:cfRule type="expression" priority="396" id="{2F733A28-4438-4D29-A117-05BE65955226}">
            <xm:f>#REF!=Lists!$N$3</xm:f>
            <x14:dxf>
              <font>
                <color theme="0"/>
              </font>
            </x14:dxf>
          </x14:cfRule>
          <xm:sqref>F76:F77 F128:F140</xm:sqref>
        </x14:conditionalFormatting>
        <x14:conditionalFormatting xmlns:xm="http://schemas.microsoft.com/office/excel/2006/main">
          <x14:cfRule type="expression" priority="16" id="{02DD636F-0A22-4D8E-9E38-14C54AA1285F}">
            <xm:f>#REF!=Lists!$N$3</xm:f>
            <x14:dxf>
              <font>
                <color theme="0"/>
              </font>
            </x14:dxf>
          </x14:cfRule>
          <xm:sqref>F117:F119</xm:sqref>
        </x14:conditionalFormatting>
      </x14:conditionalFormattings>
    </ext>
    <ext xmlns:x14="http://schemas.microsoft.com/office/spreadsheetml/2009/9/main" uri="{CCE6A557-97BC-4b89-ADB6-D9C93CAAB3DF}">
      <x14:dataValidations xmlns:xm="http://schemas.microsoft.com/office/excel/2006/main" xWindow="813" yWindow="947" count="8">
        <x14:dataValidation type="list" allowBlank="1" showInputMessage="1" showErrorMessage="1" xr:uid="{50503404-AEA4-44CC-BC69-BBB8D0D80971}">
          <x14:formula1>
            <xm:f>Lists!$F$2:$F$5</xm:f>
          </x14:formula1>
          <xm:sqref>D72 D113</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6000000}">
          <x14:formula1>
            <xm:f>Lists!$G$4:$G$9</xm:f>
          </x14:formula1>
          <xm:sqref>D23</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2000000}">
          <x14:formula1>
            <xm:f>Lists!$H$2:$H$14</xm:f>
          </x14:formula1>
          <xm:sqref>D26</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1000000}">
          <x14:formula1>
            <xm:f>Lists!$I$2:$I$8</xm:f>
          </x14:formula1>
          <xm:sqref>D27</xm:sqref>
        </x14:dataValidation>
        <x14:dataValidation type="list" allowBlank="1" showInputMessage="1" showErrorMessage="1" xr:uid="{AEA7C317-2B42-4EFF-8C59-20790DFA7BC5}">
          <x14:formula1>
            <xm:f>Lists!$B$4:$B$7</xm:f>
          </x14:formula1>
          <xm:sqref>D114</xm:sqref>
        </x14:dataValidation>
        <x14:dataValidation type="list" allowBlank="1" showInputMessage="1" showErrorMessage="1" xr:uid="{F2EA5101-BEB9-4319-A411-868A96B2032A}">
          <x14:formula1>
            <xm:f>Lists!$G$4:$G$8</xm:f>
          </x14:formula1>
          <xm:sqref>D74 D115</xm:sqref>
        </x14:dataValidation>
        <x14:dataValidation type="list" allowBlank="1" showInputMessage="1" showErrorMessage="1" xr:uid="{DF14C8DC-1C98-4859-9932-37FE9245A901}">
          <x14:formula1>
            <xm:f>Lists!$H$2:$H$24</xm:f>
          </x14:formula1>
          <xm:sqref>D75 D116</xm:sqref>
        </x14:dataValidation>
        <x14:dataValidation type="list" allowBlank="1" showInputMessage="1" showErrorMessage="1" xr:uid="{00000000-0002-0000-0300-000000000000}">
          <x14:formula1>
            <xm:f>Lists!B2:B3</xm:f>
          </x14:formula1>
          <xm:sqref>D73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601CA-9C6B-43E6-BDBE-254B9A34ADED}">
  <sheetPr codeName="Sheet2">
    <tabColor rgb="FFC00000"/>
  </sheetPr>
  <dimension ref="B2:BD109"/>
  <sheetViews>
    <sheetView showGridLines="0" zoomScale="125" zoomScaleNormal="170" workbookViewId="0">
      <selection activeCell="J96" sqref="J96"/>
    </sheetView>
  </sheetViews>
  <sheetFormatPr baseColWidth="10" defaultColWidth="9.1640625" defaultRowHeight="13" x14ac:dyDescent="0.15"/>
  <cols>
    <col min="1" max="1" width="2.5" customWidth="1"/>
    <col min="2" max="2" width="63.33203125" customWidth="1"/>
    <col min="3" max="3" width="3" customWidth="1"/>
    <col min="4" max="4" width="34.5" customWidth="1"/>
    <col min="5" max="5" width="2.83203125" customWidth="1"/>
    <col min="6" max="6" width="31.1640625" customWidth="1"/>
    <col min="7" max="7" width="2.83203125" customWidth="1"/>
    <col min="8" max="8" width="31.1640625" customWidth="1"/>
    <col min="9" max="9" width="2.83203125" customWidth="1"/>
    <col min="10" max="12" width="14.5" customWidth="1"/>
    <col min="13" max="34" width="11.5" customWidth="1"/>
  </cols>
  <sheetData>
    <row r="2" spans="2:26" ht="20" customHeight="1" x14ac:dyDescent="0.25">
      <c r="C2" s="33"/>
    </row>
    <row r="3" spans="2:26" ht="33.5" customHeight="1" x14ac:dyDescent="0.15">
      <c r="D3" s="116" t="str">
        <f>+README!F3</f>
        <v>SBTi Automotive Target-Setting Tool | DRAFT VERSION</v>
      </c>
      <c r="E3" s="116"/>
      <c r="F3" s="116"/>
      <c r="G3" s="116"/>
      <c r="H3" s="116"/>
      <c r="I3" s="116"/>
      <c r="J3" s="116"/>
      <c r="K3" s="116"/>
      <c r="L3" s="116"/>
      <c r="M3" s="116"/>
    </row>
    <row r="4" spans="2:26" ht="20" customHeight="1" x14ac:dyDescent="0.15">
      <c r="D4" s="35" t="s">
        <v>28</v>
      </c>
      <c r="E4" s="34"/>
      <c r="F4" s="265">
        <f>+README!H5</f>
        <v>0.3</v>
      </c>
    </row>
    <row r="5" spans="2:26" ht="20" customHeight="1" x14ac:dyDescent="0.15">
      <c r="D5" s="35" t="s">
        <v>26</v>
      </c>
      <c r="E5" s="34"/>
      <c r="F5" s="36" t="s">
        <v>412</v>
      </c>
    </row>
    <row r="6" spans="2:26" ht="12.75" customHeight="1" x14ac:dyDescent="0.2">
      <c r="B6" s="24"/>
      <c r="C6" s="24"/>
      <c r="D6" s="24"/>
      <c r="E6" s="24"/>
      <c r="F6" s="24"/>
      <c r="G6" s="24"/>
      <c r="H6" s="24"/>
      <c r="I6" s="24"/>
      <c r="J6" s="24"/>
      <c r="K6" s="24"/>
      <c r="L6" s="24"/>
      <c r="M6" s="24"/>
      <c r="N6" s="24"/>
      <c r="O6" s="24"/>
      <c r="P6" s="24"/>
      <c r="Q6" s="24"/>
      <c r="R6" s="24"/>
      <c r="S6" s="24"/>
      <c r="T6" s="24"/>
      <c r="U6" s="24"/>
      <c r="V6" s="24"/>
      <c r="W6" s="24"/>
      <c r="X6" s="24"/>
      <c r="Y6" s="24"/>
      <c r="Z6" s="24"/>
    </row>
    <row r="7" spans="2:26" ht="30" customHeight="1" x14ac:dyDescent="0.2">
      <c r="B7" s="8"/>
      <c r="D7" s="305" t="s">
        <v>410</v>
      </c>
      <c r="E7" s="305"/>
      <c r="F7" s="305"/>
      <c r="G7" s="305"/>
      <c r="H7" s="305"/>
      <c r="I7" s="305"/>
      <c r="J7" s="305"/>
      <c r="K7" s="305"/>
    </row>
    <row r="8" spans="2:26" ht="20" customHeight="1" thickBot="1" x14ac:dyDescent="0.2">
      <c r="B8" s="133" t="s">
        <v>409</v>
      </c>
      <c r="C8" s="109"/>
      <c r="D8" s="109"/>
      <c r="E8" s="109"/>
      <c r="F8" s="109"/>
      <c r="G8" s="109"/>
      <c r="H8" s="109"/>
      <c r="I8" s="109"/>
      <c r="J8" s="109"/>
      <c r="K8" s="109"/>
      <c r="L8" s="109"/>
      <c r="M8" s="109"/>
      <c r="N8" s="109"/>
      <c r="O8" s="109"/>
      <c r="P8" s="109"/>
      <c r="Q8" s="109"/>
      <c r="R8" s="109"/>
      <c r="S8" s="109"/>
      <c r="T8" s="109"/>
      <c r="U8" s="109"/>
      <c r="V8" s="109"/>
      <c r="W8" s="109"/>
      <c r="X8" s="109"/>
      <c r="Y8" s="109"/>
      <c r="Z8" s="109"/>
    </row>
    <row r="9" spans="2:26" ht="45" customHeight="1" x14ac:dyDescent="0.15">
      <c r="B9" s="107" t="s">
        <v>290</v>
      </c>
      <c r="C9" s="106"/>
      <c r="D9" s="308" t="s">
        <v>475</v>
      </c>
      <c r="E9" s="308"/>
      <c r="F9" s="308"/>
      <c r="G9" s="308"/>
      <c r="H9" s="308"/>
      <c r="I9" s="308"/>
      <c r="J9" s="308"/>
      <c r="K9" s="308"/>
    </row>
    <row r="10" spans="2:26" ht="46" customHeight="1" x14ac:dyDescent="0.15">
      <c r="B10" s="107" t="s">
        <v>291</v>
      </c>
      <c r="C10" s="106"/>
      <c r="D10" s="308" t="s">
        <v>476</v>
      </c>
      <c r="E10" s="308"/>
      <c r="F10" s="308"/>
      <c r="G10" s="308"/>
      <c r="H10" s="308"/>
      <c r="I10" s="308"/>
      <c r="J10" s="308"/>
      <c r="K10" s="308"/>
    </row>
    <row r="11" spans="2:26" ht="18" customHeight="1" x14ac:dyDescent="0.15">
      <c r="B11" s="107" t="s">
        <v>293</v>
      </c>
      <c r="C11" s="106"/>
      <c r="D11" s="308" t="s">
        <v>294</v>
      </c>
      <c r="E11" s="308"/>
      <c r="F11" s="308"/>
      <c r="G11" s="308"/>
      <c r="H11" s="308"/>
      <c r="I11" s="308"/>
      <c r="J11" s="308"/>
      <c r="K11" s="308"/>
    </row>
    <row r="12" spans="2:26" ht="18" customHeight="1" x14ac:dyDescent="0.15">
      <c r="B12" s="107"/>
      <c r="C12" s="106"/>
      <c r="D12" s="308"/>
      <c r="E12" s="308"/>
      <c r="F12" s="308"/>
      <c r="G12" s="308"/>
      <c r="H12" s="308"/>
      <c r="I12" s="308"/>
      <c r="J12" s="308"/>
      <c r="K12" s="308"/>
    </row>
    <row r="13" spans="2:26" ht="18" customHeight="1" x14ac:dyDescent="0.15">
      <c r="B13" s="107"/>
      <c r="C13" s="106"/>
      <c r="D13" s="155" t="s">
        <v>296</v>
      </c>
      <c r="E13" s="156"/>
      <c r="F13" s="157" t="s">
        <v>297</v>
      </c>
      <c r="G13" s="156"/>
      <c r="H13" s="158" t="s">
        <v>322</v>
      </c>
      <c r="I13" s="93"/>
      <c r="J13" s="93"/>
      <c r="K13" s="93"/>
    </row>
    <row r="14" spans="2:26" ht="20" customHeight="1" x14ac:dyDescent="0.2">
      <c r="B14" s="8"/>
    </row>
    <row r="15" spans="2:26" ht="12.75" customHeight="1" x14ac:dyDescent="0.2">
      <c r="B15" s="37"/>
      <c r="C15" s="37"/>
      <c r="D15" s="37"/>
      <c r="E15" s="37"/>
      <c r="F15" s="37"/>
      <c r="G15" s="37"/>
      <c r="H15" s="37"/>
      <c r="I15" s="37"/>
      <c r="J15" s="37"/>
      <c r="K15" s="37"/>
      <c r="L15" s="37"/>
      <c r="M15" s="37"/>
      <c r="N15" s="37"/>
      <c r="O15" s="37"/>
      <c r="P15" s="37"/>
      <c r="Q15" s="37"/>
      <c r="R15" s="37"/>
      <c r="S15" s="37"/>
      <c r="T15" s="37"/>
      <c r="U15" s="37"/>
      <c r="V15" s="37"/>
      <c r="W15" s="37"/>
      <c r="X15" s="37"/>
      <c r="Y15" s="37"/>
      <c r="Z15" s="37"/>
    </row>
    <row r="16" spans="2:26" ht="12.5" customHeight="1" x14ac:dyDescent="0.15">
      <c r="D16" s="42"/>
      <c r="F16" s="5"/>
      <c r="S16" s="64"/>
    </row>
    <row r="17" spans="2:10" ht="20" customHeight="1" x14ac:dyDescent="0.2">
      <c r="B17" s="195" t="s">
        <v>449</v>
      </c>
    </row>
    <row r="18" spans="2:10" ht="18" customHeight="1" x14ac:dyDescent="0.2">
      <c r="B18" s="7"/>
    </row>
    <row r="19" spans="2:10" ht="18" customHeight="1" x14ac:dyDescent="0.15">
      <c r="B19" s="196" t="s">
        <v>451</v>
      </c>
      <c r="C19" s="164"/>
      <c r="D19" s="164"/>
      <c r="E19" s="164"/>
      <c r="F19" s="164"/>
      <c r="G19" s="164"/>
      <c r="H19" s="164"/>
      <c r="J19" s="34"/>
    </row>
    <row r="20" spans="2:10" ht="18" customHeight="1" thickBot="1" x14ac:dyDescent="0.25">
      <c r="B20" s="7"/>
    </row>
    <row r="21" spans="2:10" ht="18" customHeight="1" thickTop="1" thickBot="1" x14ac:dyDescent="0.2">
      <c r="B21" s="38" t="s">
        <v>404</v>
      </c>
      <c r="D21" s="58" t="str">
        <f>IF(ISTEXT(#REF!)=TRUE,#REF!,"")</f>
        <v/>
      </c>
    </row>
    <row r="22" spans="2:10" ht="18" customHeight="1" thickTop="1" thickBot="1" x14ac:dyDescent="0.2">
      <c r="B22" s="38" t="s">
        <v>3</v>
      </c>
      <c r="C22" s="3"/>
      <c r="D22" s="50"/>
      <c r="E22" s="3"/>
      <c r="F22" s="39" t="s">
        <v>351</v>
      </c>
    </row>
    <row r="23" spans="2:10" ht="18" customHeight="1" thickTop="1" thickBot="1" x14ac:dyDescent="0.2">
      <c r="B23" s="40" t="s">
        <v>343</v>
      </c>
      <c r="C23" s="3" t="str">
        <f>""</f>
        <v/>
      </c>
      <c r="D23" s="49"/>
      <c r="E23" s="3" t="str">
        <f>""</f>
        <v/>
      </c>
      <c r="F23" s="39" t="s">
        <v>352</v>
      </c>
    </row>
    <row r="24" spans="2:10" ht="18" customHeight="1" thickTop="1" thickBot="1" x14ac:dyDescent="0.2">
      <c r="B24" s="38" t="s">
        <v>265</v>
      </c>
      <c r="C24" s="3"/>
      <c r="D24" s="49"/>
      <c r="E24" s="3"/>
      <c r="F24" s="39" t="s">
        <v>197</v>
      </c>
    </row>
    <row r="25" spans="2:10" ht="18" customHeight="1" thickTop="1" thickBot="1" x14ac:dyDescent="0.2">
      <c r="B25" s="38" t="s">
        <v>259</v>
      </c>
      <c r="C25" s="3"/>
      <c r="D25" s="49"/>
      <c r="E25" s="3"/>
      <c r="F25" s="39" t="s">
        <v>198</v>
      </c>
    </row>
    <row r="26" spans="2:10" ht="18" customHeight="1" thickTop="1" thickBot="1" x14ac:dyDescent="0.2">
      <c r="B26" s="40" t="s">
        <v>423</v>
      </c>
      <c r="C26" s="3"/>
      <c r="D26" s="49"/>
      <c r="F26" s="39" t="s">
        <v>262</v>
      </c>
    </row>
    <row r="27" spans="2:10" ht="18" customHeight="1" thickTop="1" x14ac:dyDescent="0.2">
      <c r="B27" s="7"/>
    </row>
    <row r="28" spans="2:10" ht="18" customHeight="1" x14ac:dyDescent="0.2">
      <c r="B28" s="100" t="str">
        <f>CONCATENATE("Target resuls: ",D23&amp;" Autoparts | "&amp;D22)</f>
        <v xml:space="preserve">Target resuls:  Autoparts | </v>
      </c>
    </row>
    <row r="29" spans="2:10" ht="18" customHeight="1" x14ac:dyDescent="0.15">
      <c r="B29" s="199"/>
    </row>
    <row r="30" spans="2:10" ht="18" customHeight="1" x14ac:dyDescent="0.2">
      <c r="B30" s="7"/>
      <c r="D30" s="43" t="str">
        <f>+CONCATENATE("Base year ","(",$D$24,")")</f>
        <v>Base year ()</v>
      </c>
      <c r="E30" s="44"/>
      <c r="F30" s="43" t="str">
        <f>+CONCATENATE("Target year ","(",$D$25,")")</f>
        <v>Target year ()</v>
      </c>
      <c r="G30" s="34"/>
      <c r="H30" s="43" t="s">
        <v>401</v>
      </c>
    </row>
    <row r="31" spans="2:10" ht="30" customHeight="1" thickBot="1" x14ac:dyDescent="0.2">
      <c r="B31" s="165" t="str">
        <f>+Calculations!B130</f>
        <v>select a vehicle category</v>
      </c>
      <c r="D31" s="59" t="str">
        <f>+IF(AND($D$24="",$D$26=""),"",$D$26)</f>
        <v/>
      </c>
      <c r="E31" s="166"/>
      <c r="F31" s="59" t="str">
        <f>+IF(AND($D$24="",$D$26=""),"",Calculations!D76)</f>
        <v/>
      </c>
      <c r="H31" s="105" t="str">
        <f>IF(F31&lt;=0,100%,IF(AND(D31="",F31=""),"",ROUNDUP(TRUNC(1-F31/D31,4),3)))</f>
        <v/>
      </c>
    </row>
    <row r="32" spans="2:10" ht="18" customHeight="1" thickTop="1" x14ac:dyDescent="0.15"/>
    <row r="33" spans="2:12" ht="18" hidden="1" customHeight="1" thickBot="1" x14ac:dyDescent="0.2">
      <c r="B33" s="38" t="s">
        <v>422</v>
      </c>
      <c r="D33" s="319" t="str" cm="1">
        <f t="array" ref="D33">IF(OR(ISBLANK(D22:D26),ISBLANK(F31)),"Enter data in Section 2",$D$21&amp;" commits to reduce scope 3 category 11 emissions by "&amp;(ROUNDUP(TRUNC(H31,4),3)*100)&amp;"%"&amp;" by "&amp;D25&amp;" from a "&amp;D24&amp;" base year")</f>
        <v>Enter data in Section 2</v>
      </c>
      <c r="E33" s="319"/>
      <c r="F33" s="319"/>
      <c r="G33" s="319"/>
      <c r="H33" s="319"/>
      <c r="I33" s="319"/>
      <c r="J33" s="319"/>
      <c r="K33" s="319"/>
      <c r="L33" s="319"/>
    </row>
    <row r="34" spans="2:12" ht="18" customHeight="1" x14ac:dyDescent="0.2">
      <c r="B34" s="7"/>
    </row>
    <row r="35" spans="2:12" ht="18" customHeight="1" x14ac:dyDescent="0.2">
      <c r="B35" s="7"/>
    </row>
    <row r="36" spans="2:12" ht="18" customHeight="1" x14ac:dyDescent="0.2">
      <c r="B36" s="7"/>
    </row>
    <row r="37" spans="2:12" ht="18" customHeight="1" x14ac:dyDescent="0.2">
      <c r="B37" s="7"/>
    </row>
    <row r="38" spans="2:12" ht="18" customHeight="1" x14ac:dyDescent="0.2">
      <c r="B38" s="7"/>
    </row>
    <row r="39" spans="2:12" ht="18" customHeight="1" x14ac:dyDescent="0.2">
      <c r="B39" s="7"/>
    </row>
    <row r="40" spans="2:12" ht="18" customHeight="1" x14ac:dyDescent="0.2">
      <c r="B40" s="7"/>
    </row>
    <row r="41" spans="2:12" ht="18" customHeight="1" x14ac:dyDescent="0.2">
      <c r="B41" s="7"/>
    </row>
    <row r="42" spans="2:12" ht="18" customHeight="1" x14ac:dyDescent="0.2">
      <c r="B42" s="7"/>
    </row>
    <row r="43" spans="2:12" ht="18" customHeight="1" x14ac:dyDescent="0.2">
      <c r="B43" s="7"/>
    </row>
    <row r="44" spans="2:12" ht="18" customHeight="1" x14ac:dyDescent="0.2">
      <c r="B44" s="7"/>
    </row>
    <row r="45" spans="2:12" ht="18" customHeight="1" x14ac:dyDescent="0.2">
      <c r="B45" s="7"/>
    </row>
    <row r="46" spans="2:12" ht="18" customHeight="1" x14ac:dyDescent="0.2">
      <c r="B46" s="7"/>
    </row>
    <row r="47" spans="2:12" ht="18" customHeight="1" x14ac:dyDescent="0.2">
      <c r="B47" s="7"/>
    </row>
    <row r="48" spans="2:12" ht="18" customHeight="1" x14ac:dyDescent="0.2">
      <c r="B48" s="7"/>
    </row>
    <row r="49" spans="2:26" ht="18" customHeight="1" x14ac:dyDescent="0.2">
      <c r="B49" s="7"/>
    </row>
    <row r="50" spans="2:26" ht="18" customHeight="1" x14ac:dyDescent="0.2">
      <c r="B50" s="7"/>
    </row>
    <row r="51" spans="2:26" ht="18" customHeight="1" x14ac:dyDescent="0.2">
      <c r="B51" s="7"/>
    </row>
    <row r="52" spans="2:26" ht="18" customHeight="1" x14ac:dyDescent="0.15"/>
    <row r="53" spans="2:26" ht="12.75" customHeight="1" x14ac:dyDescent="0.2">
      <c r="B53" s="37"/>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2:26" ht="12.5" customHeight="1" x14ac:dyDescent="0.15">
      <c r="D54" s="42"/>
      <c r="F54" s="5"/>
      <c r="S54" s="64"/>
    </row>
    <row r="55" spans="2:26" ht="20" customHeight="1" x14ac:dyDescent="0.2">
      <c r="B55" s="195" t="s">
        <v>450</v>
      </c>
    </row>
    <row r="56" spans="2:26" ht="18" customHeight="1" x14ac:dyDescent="0.2">
      <c r="B56" s="7"/>
    </row>
    <row r="57" spans="2:26" ht="18" customHeight="1" x14ac:dyDescent="0.15">
      <c r="B57" s="196" t="s">
        <v>451</v>
      </c>
      <c r="C57" s="164"/>
      <c r="D57" s="164"/>
      <c r="E57" s="164"/>
      <c r="F57" s="164"/>
      <c r="G57" s="164"/>
      <c r="H57" s="164"/>
      <c r="J57" s="34"/>
    </row>
    <row r="58" spans="2:26" ht="18" customHeight="1" thickBot="1" x14ac:dyDescent="0.25">
      <c r="B58" s="7"/>
    </row>
    <row r="59" spans="2:26" ht="18" customHeight="1" thickTop="1" thickBot="1" x14ac:dyDescent="0.2">
      <c r="B59" s="38" t="s">
        <v>404</v>
      </c>
      <c r="D59" s="58" t="str">
        <f>IF(ISTEXT(#REF!)=TRUE,#REF!,"")</f>
        <v/>
      </c>
    </row>
    <row r="60" spans="2:26" ht="18" customHeight="1" thickTop="1" thickBot="1" x14ac:dyDescent="0.2">
      <c r="B60" s="38" t="s">
        <v>3</v>
      </c>
      <c r="C60" s="3"/>
      <c r="D60" s="50"/>
      <c r="E60" s="3"/>
      <c r="F60" s="39" t="s">
        <v>351</v>
      </c>
    </row>
    <row r="61" spans="2:26" ht="18" customHeight="1" thickTop="1" thickBot="1" x14ac:dyDescent="0.2">
      <c r="B61" s="40" t="s">
        <v>343</v>
      </c>
      <c r="C61" s="3" t="str">
        <f>""</f>
        <v/>
      </c>
      <c r="D61" s="49"/>
      <c r="E61" s="3" t="str">
        <f>""</f>
        <v/>
      </c>
      <c r="F61" s="39" t="s">
        <v>352</v>
      </c>
    </row>
    <row r="62" spans="2:26" ht="18" customHeight="1" thickTop="1" thickBot="1" x14ac:dyDescent="0.2">
      <c r="B62" s="38" t="s">
        <v>265</v>
      </c>
      <c r="C62" s="3"/>
      <c r="D62" s="49"/>
      <c r="E62" s="3"/>
      <c r="F62" s="39" t="s">
        <v>197</v>
      </c>
    </row>
    <row r="63" spans="2:26" ht="18" customHeight="1" thickTop="1" thickBot="1" x14ac:dyDescent="0.2">
      <c r="B63" s="38" t="s">
        <v>259</v>
      </c>
      <c r="C63" s="3"/>
      <c r="D63" s="49"/>
      <c r="E63" s="3"/>
      <c r="F63" s="39" t="s">
        <v>198</v>
      </c>
    </row>
    <row r="64" spans="2:26" ht="18" customHeight="1" thickTop="1" thickBot="1" x14ac:dyDescent="0.2">
      <c r="B64" s="40" t="s">
        <v>423</v>
      </c>
      <c r="C64" s="3"/>
      <c r="D64" s="49"/>
      <c r="F64" s="39" t="s">
        <v>262</v>
      </c>
    </row>
    <row r="65" spans="2:12" ht="18" customHeight="1" thickTop="1" x14ac:dyDescent="0.2">
      <c r="B65" s="7"/>
    </row>
    <row r="66" spans="2:12" ht="18" customHeight="1" x14ac:dyDescent="0.2">
      <c r="B66" s="100" t="str">
        <f>CONCATENATE("Target results: ",D61&amp;" Autoparts | "&amp;D60)</f>
        <v xml:space="preserve">Target results:  Autoparts | </v>
      </c>
    </row>
    <row r="67" spans="2:12" ht="18" customHeight="1" x14ac:dyDescent="0.2">
      <c r="B67" s="7"/>
    </row>
    <row r="68" spans="2:12" ht="18" customHeight="1" x14ac:dyDescent="0.2">
      <c r="B68" s="7"/>
      <c r="D68" s="43" t="str">
        <f>+CONCATENATE("Base year ","(",$D$24,")")</f>
        <v>Base year ()</v>
      </c>
      <c r="E68" s="44"/>
      <c r="F68" s="43" t="str">
        <f>+CONCATENATE("Target year ","(",$D$25,")")</f>
        <v>Target year ()</v>
      </c>
      <c r="G68" s="34"/>
      <c r="H68" s="43" t="s">
        <v>401</v>
      </c>
    </row>
    <row r="69" spans="2:12" ht="30" customHeight="1" thickBot="1" x14ac:dyDescent="0.2">
      <c r="B69" s="165" t="str">
        <f>Calculations!B135</f>
        <v>select a vehicle category</v>
      </c>
      <c r="D69" s="59" t="str">
        <f>+IF(AND($D$62="",$D$64=""),"",$D$64)</f>
        <v/>
      </c>
      <c r="E69" s="166"/>
      <c r="F69" s="59" t="str">
        <f>+IF(AND($D$63="",$D$64=""),"",Calculations!D83)</f>
        <v/>
      </c>
      <c r="H69" s="105" t="str">
        <f>IF(F69&lt;=0,100%,IF(AND(D69="",F69=""),"",ROUNDUP(TRUNC(1-F69/D69,4),3)))</f>
        <v/>
      </c>
    </row>
    <row r="70" spans="2:12" ht="18" customHeight="1" thickTop="1" x14ac:dyDescent="0.15"/>
    <row r="71" spans="2:12" ht="18" hidden="1" customHeight="1" thickBot="1" x14ac:dyDescent="0.2">
      <c r="B71" s="38" t="s">
        <v>407</v>
      </c>
      <c r="D71" s="319" t="str" cm="1">
        <f t="array" ref="D71">IF(OR(ISBLANK(D60:D64),ISBLANK(F69)),"Enter data in Section 3",$D$59&amp;" commits to reduce scope 3 category 11 emissions by "&amp;(ROUNDUP(TRUNC(H69,4),3)*100)&amp;"%"&amp;" by "&amp;D63&amp;" from a "&amp;D62&amp;" base year")</f>
        <v>Enter data in Section 3</v>
      </c>
      <c r="E71" s="319"/>
      <c r="F71" s="319"/>
      <c r="G71" s="319"/>
      <c r="H71" s="319"/>
      <c r="I71" s="319"/>
      <c r="J71" s="319"/>
      <c r="K71" s="319"/>
      <c r="L71" s="319"/>
    </row>
    <row r="72" spans="2:12" ht="18" customHeight="1" x14ac:dyDescent="0.2">
      <c r="B72" s="7"/>
    </row>
    <row r="73" spans="2:12" ht="18" customHeight="1" x14ac:dyDescent="0.2">
      <c r="B73" s="7"/>
    </row>
    <row r="74" spans="2:12" ht="18" customHeight="1" x14ac:dyDescent="0.15"/>
    <row r="75" spans="2:12" ht="18" customHeight="1" x14ac:dyDescent="0.2">
      <c r="B75" s="7"/>
    </row>
    <row r="76" spans="2:12" ht="18" customHeight="1" x14ac:dyDescent="0.2">
      <c r="B76" s="7"/>
    </row>
    <row r="77" spans="2:12" ht="18" customHeight="1" x14ac:dyDescent="0.2">
      <c r="B77" s="7"/>
    </row>
    <row r="78" spans="2:12" ht="18" customHeight="1" x14ac:dyDescent="0.2">
      <c r="B78" s="7"/>
    </row>
    <row r="79" spans="2:12" ht="18" customHeight="1" x14ac:dyDescent="0.2">
      <c r="B79" s="7"/>
    </row>
    <row r="80" spans="2:12" ht="18" customHeight="1" x14ac:dyDescent="0.2">
      <c r="B80" s="7"/>
    </row>
    <row r="81" spans="2:26" ht="18" customHeight="1" x14ac:dyDescent="0.2">
      <c r="B81" s="7"/>
    </row>
    <row r="82" spans="2:26" ht="18" customHeight="1" x14ac:dyDescent="0.2">
      <c r="B82" s="7"/>
    </row>
    <row r="83" spans="2:26" ht="18" customHeight="1" x14ac:dyDescent="0.2">
      <c r="B83" s="7"/>
    </row>
    <row r="84" spans="2:26" ht="18" customHeight="1" x14ac:dyDescent="0.2">
      <c r="B84" s="7"/>
    </row>
    <row r="85" spans="2:26" ht="18" customHeight="1" x14ac:dyDescent="0.2">
      <c r="B85" s="7"/>
    </row>
    <row r="86" spans="2:26" ht="18" customHeight="1" x14ac:dyDescent="0.2">
      <c r="B86" s="7"/>
    </row>
    <row r="87" spans="2:26" ht="18" customHeight="1" x14ac:dyDescent="0.15"/>
    <row r="88" spans="2:26" ht="18" customHeight="1" x14ac:dyDescent="0.15"/>
    <row r="89" spans="2:26" ht="19.5" customHeight="1" x14ac:dyDescent="0.15"/>
    <row r="90" spans="2:26" ht="19.5" customHeight="1" x14ac:dyDescent="0.15"/>
    <row r="91" spans="2:26" ht="12.75" customHeight="1" x14ac:dyDescent="0.2">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2:26" ht="19.5" customHeight="1" x14ac:dyDescent="0.15"/>
    <row r="93" spans="2:26" ht="19.5" customHeight="1" x14ac:dyDescent="0.2">
      <c r="B93" s="195" t="s">
        <v>444</v>
      </c>
    </row>
    <row r="94" spans="2:26" ht="19.5" customHeight="1" thickBot="1" x14ac:dyDescent="0.2">
      <c r="J94" s="43" t="str">
        <f>IF($D$24="","",$D$24)</f>
        <v/>
      </c>
      <c r="K94" s="43" t="str">
        <f t="shared" ref="K94" si="0">IF(J94&lt;2035,J94+1,"")</f>
        <v/>
      </c>
      <c r="L94" s="43" t="str">
        <f t="shared" ref="L94:W94" si="1">IF(K94&lt;2035,K94+1,"")</f>
        <v/>
      </c>
      <c r="M94" s="43" t="str">
        <f t="shared" si="1"/>
        <v/>
      </c>
      <c r="N94" s="43" t="str">
        <f t="shared" si="1"/>
        <v/>
      </c>
      <c r="O94" s="43" t="str">
        <f t="shared" si="1"/>
        <v/>
      </c>
      <c r="P94" s="43" t="str">
        <f t="shared" si="1"/>
        <v/>
      </c>
      <c r="Q94" s="43" t="str">
        <f t="shared" si="1"/>
        <v/>
      </c>
      <c r="R94" s="43" t="str">
        <f t="shared" si="1"/>
        <v/>
      </c>
      <c r="S94" s="43" t="str">
        <f t="shared" si="1"/>
        <v/>
      </c>
      <c r="T94" s="43" t="str">
        <f t="shared" si="1"/>
        <v/>
      </c>
      <c r="U94" s="43" t="str">
        <f t="shared" si="1"/>
        <v/>
      </c>
      <c r="V94" s="43" t="str">
        <f t="shared" si="1"/>
        <v/>
      </c>
      <c r="W94" s="43" t="str">
        <f t="shared" si="1"/>
        <v/>
      </c>
    </row>
    <row r="95" spans="2:26" ht="72" customHeight="1" thickTop="1" thickBot="1" x14ac:dyDescent="0.2">
      <c r="D95" s="198" t="str">
        <f>+B17</f>
        <v>Section 1. Target setting for manufacturers of powertrains for light-duty vehicles (Passenger cars and LCVs)</v>
      </c>
      <c r="F95" s="306" t="str">
        <f>B31</f>
        <v>select a vehicle category</v>
      </c>
      <c r="G95" s="306" t="e">
        <f>+#REF!</f>
        <v>#REF!</v>
      </c>
      <c r="H95" s="306" t="e">
        <f>+#REF!</f>
        <v>#REF!</v>
      </c>
      <c r="J95" s="83" t="str">
        <f>IF(AND($D$26&gt;0,J94&lt;&gt;""),HLOOKUP(J$94,Calculations!$B$1:$AI$200,ROW(Calculations!B130)),"")</f>
        <v/>
      </c>
      <c r="K95" s="83" t="str">
        <f>IF(AND($D$26&gt;0,K94&lt;&gt;""),HLOOKUP(K$94,Calculations!$B$1:$AI$200,ROW(Calculations!C130)),"")</f>
        <v/>
      </c>
      <c r="L95" s="83" t="str">
        <f>IF(AND($D$26&gt;0,L94&lt;&gt;""),HLOOKUP(L$94,Calculations!$B$1:$AI$200,ROW(Calculations!D130)),"")</f>
        <v/>
      </c>
      <c r="M95" s="83" t="str">
        <f>IF(AND($D$26&gt;0,M94&lt;&gt;""),HLOOKUP(M$94,Calculations!$B$1:$AI$200,ROW(Calculations!E130)),"")</f>
        <v/>
      </c>
      <c r="N95" s="83" t="str">
        <f>IF(AND($D$26&gt;0,N94&lt;&gt;""),HLOOKUP(N$94,Calculations!$B$1:$AI$200,ROW(Calculations!F130)),"")</f>
        <v/>
      </c>
      <c r="O95" s="83" t="str">
        <f>IF(AND($D$26&gt;0,O94&lt;&gt;""),HLOOKUP(O$94,Calculations!$B$1:$AI$200,ROW(Calculations!G130)),"")</f>
        <v/>
      </c>
      <c r="P95" s="83" t="str">
        <f>IF(AND($D$26&gt;0,P94&lt;&gt;""),HLOOKUP(P$94,Calculations!$B$1:$AI$200,ROW(Calculations!H130)),"")</f>
        <v/>
      </c>
      <c r="Q95" s="83" t="str">
        <f>IF(AND($D$26&gt;0,Q94&lt;&gt;""),HLOOKUP(Q$94,Calculations!$B$1:$AI$200,ROW(Calculations!I130)),"")</f>
        <v/>
      </c>
      <c r="R95" s="83" t="str">
        <f>IF(AND($D$26&gt;0,R94&lt;&gt;""),HLOOKUP(R$94,Calculations!$B$1:$AI$200,ROW(Calculations!J130)),"")</f>
        <v/>
      </c>
      <c r="S95" s="83" t="str">
        <f>IF(AND($D$26&gt;0,S94&lt;&gt;""),HLOOKUP(S$94,Calculations!$B$1:$AI$200,ROW(Calculations!K130)),"")</f>
        <v/>
      </c>
      <c r="T95" s="83" t="str">
        <f>IF(AND($D$26&gt;0,T94&lt;&gt;""),HLOOKUP(T$94,Calculations!$B$1:$AI$200,ROW(Calculations!L130)),"")</f>
        <v/>
      </c>
      <c r="U95" s="83" t="str">
        <f>IF(AND($D$26&gt;0,U94&lt;&gt;""),HLOOKUP(U$94,Calculations!$B$1:$AI$200,ROW(Calculations!M130)),"")</f>
        <v/>
      </c>
      <c r="V95" s="83" t="str">
        <f>IF(AND($D$26&gt;0,V94&lt;&gt;""),HLOOKUP(V$94,Calculations!$B$1:$AI$200,ROW(Calculations!N130)),"")</f>
        <v/>
      </c>
      <c r="W95" s="83" t="str">
        <f>IF(AND($D$26&gt;0,W94&lt;&gt;""),HLOOKUP(W$94,Calculations!$B$1:$AI$200,ROW(Calculations!O130)),"")</f>
        <v/>
      </c>
      <c r="X95" s="83" t="str">
        <f>IF(AND($D$26&gt;0,X94&lt;&gt;""),HLOOKUP(X$94,Calculations!$B$1:$AI$200,ROW(Calculations!P130)),"")</f>
        <v/>
      </c>
      <c r="Y95" s="83" t="str">
        <f>IF(AND($D$26&gt;0,Y94&lt;&gt;""),HLOOKUP(Y$94,Calculations!$B$1:$AI$200,ROW(Calculations!Q130)),"")</f>
        <v/>
      </c>
      <c r="Z95" s="83" t="str">
        <f>IF(AND($D$26&gt;0,Z94&lt;&gt;""),HLOOKUP(Z$94,Calculations!$B$1:$AI$200,ROW(Calculations!R130)),"")</f>
        <v/>
      </c>
    </row>
    <row r="96" spans="2:26" s="6" customFormat="1" ht="46" customHeight="1" thickTop="1" thickBot="1" x14ac:dyDescent="0.2">
      <c r="D96" s="272"/>
      <c r="F96" s="268"/>
      <c r="G96" s="268"/>
      <c r="H96" s="268"/>
      <c r="J96" s="43" t="str">
        <f>IF($D$62="","",$D$62)</f>
        <v/>
      </c>
      <c r="K96" s="273"/>
      <c r="L96" s="273"/>
      <c r="M96" s="273"/>
      <c r="N96" s="273"/>
      <c r="O96" s="273"/>
      <c r="P96" s="273"/>
      <c r="Q96" s="273"/>
      <c r="R96" s="273"/>
      <c r="S96" s="273"/>
      <c r="T96" s="273"/>
      <c r="U96" s="273"/>
      <c r="V96" s="273"/>
      <c r="W96" s="273"/>
      <c r="X96" s="273"/>
      <c r="Y96" s="273"/>
      <c r="Z96" s="273"/>
    </row>
    <row r="97" spans="4:56" ht="72" customHeight="1" thickTop="1" thickBot="1" x14ac:dyDescent="0.2">
      <c r="D97" s="198" t="str">
        <f>+B55</f>
        <v>Section 2. Target setting for manufacturers of powertrains for non light-duty vehicles (2&amp;3 wheelers, buses, medium and heavy duty trucks)</v>
      </c>
      <c r="F97" s="306" t="str">
        <f>B69</f>
        <v>select a vehicle category</v>
      </c>
      <c r="G97" s="306"/>
      <c r="H97" s="306"/>
      <c r="J97" s="197" t="str">
        <f>IF(AND($D$64&gt;0,J94&lt;&gt;""),HLOOKUP(J$94,Calculations!$B$1:$AI$200,ROW(Calculations!B135)),"")</f>
        <v/>
      </c>
      <c r="K97" s="197" t="str">
        <f>IF(AND($D$64&gt;0,K94&lt;&gt;""),HLOOKUP(K$94,Calculations!$B$1:$AI$200,ROW(Calculations!C135)),"")</f>
        <v/>
      </c>
      <c r="L97" s="197" t="str">
        <f>IF(AND($D$64&gt;0,L94&lt;&gt;""),HLOOKUP(L$94,Calculations!$B$1:$AI$200,ROW(Calculations!D135)),"")</f>
        <v/>
      </c>
      <c r="M97" s="197" t="str">
        <f>IF(AND($D$64&gt;0,M94&lt;&gt;""),HLOOKUP(M$94,Calculations!$B$1:$AI$200,ROW(Calculations!E135)),"")</f>
        <v/>
      </c>
      <c r="N97" s="197" t="str">
        <f>IF(AND($D$64&gt;0,N94&lt;&gt;""),HLOOKUP(N$94,Calculations!$B$1:$AI$200,ROW(Calculations!F135)),"")</f>
        <v/>
      </c>
      <c r="O97" s="197" t="str">
        <f>IF(AND($D$64&gt;0,O94&lt;&gt;""),HLOOKUP(O$94,Calculations!$B$1:$AI$200,ROW(Calculations!G135)),"")</f>
        <v/>
      </c>
      <c r="P97" s="197" t="str">
        <f>IF(AND($D$64&gt;0,P94&lt;&gt;""),HLOOKUP(P$94,Calculations!$B$1:$AI$200,ROW(Calculations!H135)),"")</f>
        <v/>
      </c>
      <c r="Q97" s="197" t="str">
        <f>IF(AND($D$64&gt;0,Q94&lt;&gt;""),HLOOKUP(Q$94,Calculations!$B$1:$AI$200,ROW(Calculations!I135)),"")</f>
        <v/>
      </c>
      <c r="R97" s="197" t="str">
        <f>IF(AND($D$64&gt;0,R94&lt;&gt;""),HLOOKUP(R$94,Calculations!$B$1:$AI$200,ROW(Calculations!J135)),"")</f>
        <v/>
      </c>
      <c r="S97" s="197" t="str">
        <f>IF(AND($D$64&gt;0,S94&lt;&gt;""),HLOOKUP(S$94,Calculations!$B$1:$AI$200,ROW(Calculations!K135)),"")</f>
        <v/>
      </c>
      <c r="T97" s="197" t="str">
        <f>IF(AND($D$64&gt;0,T94&lt;&gt;""),HLOOKUP(T$94,Calculations!$B$1:$AI$200,ROW(Calculations!L135)),"")</f>
        <v/>
      </c>
      <c r="U97" s="197" t="str">
        <f>IF(AND($D$64&gt;0,U94&lt;&gt;""),HLOOKUP(U$94,Calculations!$B$1:$AI$200,ROW(Calculations!M135)),"")</f>
        <v/>
      </c>
      <c r="V97" s="197" t="str">
        <f>IF(AND($D$64&gt;0,V94&lt;&gt;""),HLOOKUP(V$94,Calculations!$B$1:$AI$200,ROW(Calculations!N135)),"")</f>
        <v/>
      </c>
      <c r="W97" s="197" t="str">
        <f>IF(AND($D$64&gt;0,W94&lt;&gt;""),HLOOKUP(W$94,Calculations!$B$1:$AI$200,ROW(Calculations!O135)),"")</f>
        <v/>
      </c>
      <c r="X97" s="197" t="str">
        <f>IF(AND($D$64&gt;0,X94&lt;&gt;""),HLOOKUP(X$94,Calculations!$B$1:$AI$200,ROW(Calculations!P135)),"")</f>
        <v/>
      </c>
      <c r="Y97" s="197" t="str">
        <f>IF(AND($D$64&gt;0,Y94&lt;&gt;""),HLOOKUP(Y$94,Calculations!$B$1:$AI$200,ROW(Calculations!Q135)),"")</f>
        <v/>
      </c>
      <c r="Z97" s="197" t="str">
        <f>IF(AND($D$64&gt;0,Z94&lt;&gt;""),HLOOKUP(Z$94,Calculations!$B$1:$AI$200,ROW(Calculations!R135)),"")</f>
        <v/>
      </c>
    </row>
    <row r="98" spans="4:56" ht="19.5" customHeight="1" thickTop="1" x14ac:dyDescent="0.15">
      <c r="AT98" s="48"/>
      <c r="AU98" s="48"/>
      <c r="AV98" s="48"/>
      <c r="AW98" s="48"/>
      <c r="AX98" s="48"/>
      <c r="AY98" s="48"/>
      <c r="AZ98" s="48"/>
      <c r="BA98" s="48"/>
      <c r="BB98" s="48"/>
      <c r="BC98" s="48"/>
      <c r="BD98" s="48"/>
    </row>
    <row r="99" spans="4:56" ht="19.5" customHeight="1" x14ac:dyDescent="0.15">
      <c r="AT99" s="48"/>
      <c r="AU99" s="48"/>
      <c r="AV99" s="48"/>
      <c r="AW99" s="48"/>
      <c r="AX99" s="48"/>
      <c r="AY99" s="48"/>
      <c r="AZ99" s="48"/>
      <c r="BA99" s="48"/>
      <c r="BB99" s="48"/>
      <c r="BC99" s="48"/>
      <c r="BD99" s="48"/>
    </row>
    <row r="100" spans="4:56" ht="19.5" customHeight="1" x14ac:dyDescent="0.15">
      <c r="AT100" s="48"/>
      <c r="AU100" s="48"/>
      <c r="AV100" s="48"/>
      <c r="AW100" s="48"/>
      <c r="AX100" s="48"/>
      <c r="AY100" s="48"/>
      <c r="AZ100" s="48"/>
      <c r="BA100" s="48"/>
      <c r="BB100" s="48"/>
      <c r="BC100" s="48"/>
      <c r="BD100" s="48"/>
    </row>
    <row r="101" spans="4:56" ht="19.5" customHeight="1" x14ac:dyDescent="0.15"/>
    <row r="102" spans="4:56" ht="19.5" customHeight="1" x14ac:dyDescent="0.15"/>
    <row r="103" spans="4:56" ht="19.5" customHeight="1" x14ac:dyDescent="0.15"/>
    <row r="104" spans="4:56" ht="19.5" customHeight="1" x14ac:dyDescent="0.15"/>
    <row r="105" spans="4:56" ht="19.5" customHeight="1" x14ac:dyDescent="0.15"/>
    <row r="106" spans="4:56" ht="19.5" customHeight="1" x14ac:dyDescent="0.15"/>
    <row r="107" spans="4:56" ht="19.5" customHeight="1" x14ac:dyDescent="0.15"/>
    <row r="108" spans="4:56" ht="19.5" customHeight="1" x14ac:dyDescent="0.15"/>
    <row r="109" spans="4:56" ht="19.5" customHeight="1" x14ac:dyDescent="0.15"/>
  </sheetData>
  <sheetProtection algorithmName="SHA-512" hashValue="gePT74e7oGk0R/f3B6W8+Nf5oQuD2o8bMFzTklpiXACImkocERRW7Pj1DkmYzzaK7k3wte9RIhINyLIS8tz5KQ==" saltValue="qal/G+ssC5FJ6XcxywFzoA==" spinCount="100000" sheet="1" objects="1" scenarios="1"/>
  <mergeCells count="9">
    <mergeCell ref="D7:K7"/>
    <mergeCell ref="F95:H95"/>
    <mergeCell ref="F97:H97"/>
    <mergeCell ref="D9:K9"/>
    <mergeCell ref="D12:K12"/>
    <mergeCell ref="D11:K11"/>
    <mergeCell ref="D33:L33"/>
    <mergeCell ref="D10:K10"/>
    <mergeCell ref="D71:L71"/>
  </mergeCells>
  <conditionalFormatting sqref="B31 F95:I97">
    <cfRule type="expression" dxfId="140" priority="40">
      <formula>ISTEXT(#REF!)=FALSE</formula>
    </cfRule>
  </conditionalFormatting>
  <conditionalFormatting sqref="B69">
    <cfRule type="expression" dxfId="139" priority="10">
      <formula>ISTEXT(#REF!)=FALSE</formula>
    </cfRule>
  </conditionalFormatting>
  <conditionalFormatting sqref="C33:D33">
    <cfRule type="cellIs" dxfId="138" priority="32" operator="lessThan">
      <formula>100</formula>
    </cfRule>
    <cfRule type="cellIs" dxfId="137" priority="33" operator="lessThan">
      <formula>10</formula>
    </cfRule>
  </conditionalFormatting>
  <conditionalFormatting sqref="C71:D71">
    <cfRule type="cellIs" dxfId="136" priority="8" operator="lessThan">
      <formula>100</formula>
    </cfRule>
    <cfRule type="cellIs" dxfId="135" priority="9" operator="lessThan">
      <formula>10</formula>
    </cfRule>
  </conditionalFormatting>
  <conditionalFormatting sqref="D16">
    <cfRule type="cellIs" dxfId="134" priority="16" operator="lessThan">
      <formula>100</formula>
    </cfRule>
    <cfRule type="cellIs" dxfId="133" priority="17" operator="lessThan">
      <formula>10</formula>
    </cfRule>
  </conditionalFormatting>
  <conditionalFormatting sqref="D30">
    <cfRule type="cellIs" dxfId="132" priority="11" operator="lessThan">
      <formula>100</formula>
    </cfRule>
    <cfRule type="cellIs" dxfId="131" priority="12" operator="lessThan">
      <formula>10</formula>
    </cfRule>
  </conditionalFormatting>
  <conditionalFormatting sqref="D54">
    <cfRule type="cellIs" dxfId="130" priority="14" operator="lessThan">
      <formula>100</formula>
    </cfRule>
    <cfRule type="cellIs" dxfId="129" priority="15" operator="lessThan">
      <formula>10</formula>
    </cfRule>
  </conditionalFormatting>
  <conditionalFormatting sqref="D68">
    <cfRule type="cellIs" dxfId="128" priority="5" operator="lessThan">
      <formula>100</formula>
    </cfRule>
    <cfRule type="cellIs" dxfId="127" priority="6" operator="lessThan">
      <formula>10</formula>
    </cfRule>
  </conditionalFormatting>
  <conditionalFormatting sqref="D89:D90">
    <cfRule type="cellIs" dxfId="126" priority="28" operator="lessThan">
      <formula>100</formula>
    </cfRule>
    <cfRule type="cellIs" dxfId="125" priority="29" operator="lessThan">
      <formula>10</formula>
    </cfRule>
  </conditionalFormatting>
  <conditionalFormatting sqref="J96">
    <cfRule type="expression" dxfId="123" priority="1">
      <formula>OR($D$23=0,$D$24=0)</formula>
    </cfRule>
  </conditionalFormatting>
  <conditionalFormatting sqref="J94:K94">
    <cfRule type="expression" dxfId="122" priority="2">
      <formula>OR($D$23=0,$D$24=0)</formula>
    </cfRule>
  </conditionalFormatting>
  <conditionalFormatting sqref="L94:W94 J95:Z95 K96:Z96 J97:Z97 AT98:BD100">
    <cfRule type="expression" dxfId="121" priority="39">
      <formula>OR(#REF!=0,#REF!=0)</formula>
    </cfRule>
  </conditionalFormatting>
  <hyperlinks>
    <hyperlink ref="F5" r:id="rId1" xr:uid="{155AD192-BBA3-4282-A8C6-5C18CEF8AB69}"/>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407" id="{2D94361D-ABD5-403B-9649-4BFBC9E974BA}">
            <xm:f>#REF!=Lists!$N$3</xm:f>
            <x14:dxf>
              <font>
                <color theme="0"/>
              </font>
            </x14:dxf>
          </x14:cfRule>
          <xm:sqref>F26 F64</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A407D9F2-4018-49AB-AD05-DD8F5505A2FC}">
          <x14:formula1>
            <xm:f>Lists!$B$4:$B$7</xm:f>
          </x14:formula1>
          <xm:sqref>D61</xm:sqref>
        </x14:dataValidation>
        <x14:dataValidation type="list" allowBlank="1" showInputMessage="1" showErrorMessage="1" xr:uid="{80434B31-1CF3-4260-BD92-E880AEB2F7A0}">
          <x14:formula1>
            <xm:f>Lists!$F$2:$F$5</xm:f>
          </x14:formula1>
          <xm:sqref>D22 D60</xm:sqref>
        </x14:dataValidation>
        <x14:dataValidation type="list" allowBlank="1" showInputMessage="1" showErrorMessage="1" xr:uid="{2D6E3B68-BBAD-492A-AA24-C48A1E0E24BB}">
          <x14:formula1>
            <xm:f>Lists!$H$2:$H$24</xm:f>
          </x14:formula1>
          <xm:sqref>D63 D25</xm:sqref>
        </x14:dataValidation>
        <x14:dataValidation type="list" allowBlank="1" showInputMessage="1" showErrorMessage="1" xr:uid="{C920C4AE-7E5E-47FC-A0C0-C68937E7CFF8}">
          <x14:formula1>
            <xm:f>Lists!$G$4:$G$8</xm:f>
          </x14:formula1>
          <xm:sqref>D24 D62</xm:sqref>
        </x14:dataValidation>
        <x14:dataValidation type="list" allowBlank="1" showInputMessage="1" showErrorMessage="1" xr:uid="{68423498-409A-4699-BAAC-73AD09482546}">
          <x14:formula1>
            <xm:f>Lists!$B$2:$B$3</xm:f>
          </x14:formula1>
          <xm:sqref>D23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8F369-68D9-4FF8-B054-17987114D384}">
  <sheetPr codeName="Sheet4">
    <tabColor theme="9"/>
  </sheetPr>
  <dimension ref="A1:O865"/>
  <sheetViews>
    <sheetView showGridLines="0" tabSelected="1" zoomScale="120" zoomScaleNormal="120" workbookViewId="0">
      <selection activeCell="G32" sqref="G32"/>
    </sheetView>
  </sheetViews>
  <sheetFormatPr baseColWidth="10" defaultColWidth="14.5" defaultRowHeight="15" customHeight="1" x14ac:dyDescent="0.15"/>
  <cols>
    <col min="1" max="1" width="4.33203125" style="52" customWidth="1"/>
    <col min="2" max="2" width="6.1640625" style="52" bestFit="1" customWidth="1"/>
    <col min="3" max="3" width="1.5" style="52" customWidth="1"/>
    <col min="4" max="4" width="22" style="52" customWidth="1"/>
    <col min="5" max="5" width="34.6640625" style="52" customWidth="1"/>
    <col min="6" max="6" width="24.5" style="52" customWidth="1"/>
    <col min="7" max="7" width="22" style="52" customWidth="1"/>
    <col min="8" max="13" width="20.5" style="52" customWidth="1"/>
    <col min="14" max="15" width="9.1640625" style="52" customWidth="1"/>
    <col min="16" max="16384" width="14.5" style="52"/>
  </cols>
  <sheetData>
    <row r="1" spans="1:15" ht="11.25" customHeight="1" x14ac:dyDescent="0.2">
      <c r="A1" s="201" t="s">
        <v>308</v>
      </c>
      <c r="B1" s="202"/>
      <c r="C1" s="202"/>
      <c r="D1" s="202"/>
      <c r="E1" s="202"/>
      <c r="F1" s="202"/>
      <c r="G1" s="202"/>
      <c r="H1" s="202"/>
      <c r="I1" s="202"/>
      <c r="J1" s="203"/>
      <c r="K1" s="203"/>
      <c r="L1" s="203"/>
      <c r="M1" s="203"/>
      <c r="N1" s="202"/>
      <c r="O1" s="202"/>
    </row>
    <row r="2" spans="1:15" ht="11.25" customHeight="1" x14ac:dyDescent="0.15">
      <c r="A2" s="204"/>
      <c r="B2" s="204"/>
      <c r="C2" s="204"/>
      <c r="D2" s="204"/>
      <c r="E2" s="204"/>
      <c r="F2" s="204"/>
      <c r="G2" s="204"/>
      <c r="H2" s="204"/>
      <c r="I2" s="204"/>
      <c r="J2" s="204"/>
      <c r="K2" s="204"/>
      <c r="L2" s="204"/>
      <c r="M2" s="204"/>
      <c r="N2" s="204"/>
      <c r="O2" s="204"/>
    </row>
    <row r="3" spans="1:15" ht="11.25" customHeight="1" x14ac:dyDescent="0.15">
      <c r="A3" s="204"/>
      <c r="B3" s="204"/>
      <c r="C3" s="204"/>
      <c r="D3" s="204"/>
      <c r="E3" s="204"/>
      <c r="F3" s="204"/>
      <c r="G3" s="204"/>
      <c r="H3" s="204"/>
      <c r="I3" s="204"/>
      <c r="J3" s="204"/>
      <c r="K3" s="204"/>
      <c r="L3" s="204"/>
      <c r="M3" s="204"/>
      <c r="N3" s="204"/>
      <c r="O3" s="204"/>
    </row>
    <row r="4" spans="1:15" ht="54.75" customHeight="1" x14ac:dyDescent="0.15">
      <c r="A4" s="204"/>
      <c r="B4" s="204"/>
      <c r="C4" s="205"/>
      <c r="D4" s="205"/>
      <c r="E4" s="206"/>
      <c r="F4" s="206" t="str">
        <f>Automakers!D3</f>
        <v>SBTi Automotive Target-Setting Tool | DRAFT VERSION</v>
      </c>
      <c r="G4" s="206"/>
      <c r="H4" s="207"/>
      <c r="I4" s="207"/>
      <c r="J4" s="206"/>
      <c r="K4" s="206"/>
      <c r="L4" s="204"/>
      <c r="M4" s="204"/>
      <c r="N4" s="204"/>
      <c r="O4" s="204"/>
    </row>
    <row r="5" spans="1:15" ht="17" customHeight="1" x14ac:dyDescent="0.15">
      <c r="A5" s="204"/>
      <c r="B5" s="204"/>
      <c r="C5" s="208"/>
      <c r="D5" s="208"/>
      <c r="E5" s="208"/>
      <c r="F5" s="208"/>
      <c r="G5" s="207" t="s">
        <v>309</v>
      </c>
      <c r="H5" s="209">
        <f>Automakers!F4</f>
        <v>0.3</v>
      </c>
      <c r="I5" s="209"/>
      <c r="J5" s="204"/>
      <c r="K5" s="204"/>
      <c r="L5" s="204"/>
      <c r="M5" s="204"/>
      <c r="N5" s="204"/>
      <c r="O5" s="204"/>
    </row>
    <row r="6" spans="1:15" ht="12" customHeight="1" x14ac:dyDescent="0.15">
      <c r="A6" s="204"/>
      <c r="B6" s="204"/>
      <c r="C6" s="204"/>
      <c r="D6" s="204"/>
      <c r="G6" s="207" t="s">
        <v>26</v>
      </c>
      <c r="H6" s="210" t="s">
        <v>412</v>
      </c>
      <c r="I6" s="210"/>
      <c r="N6" s="204"/>
      <c r="O6" s="204"/>
    </row>
    <row r="7" spans="1:15" ht="12" customHeight="1" x14ac:dyDescent="0.15">
      <c r="A7" s="204"/>
      <c r="B7" s="204"/>
      <c r="C7" s="204"/>
      <c r="F7" s="211"/>
      <c r="J7" s="212"/>
      <c r="K7" s="213"/>
      <c r="L7" s="213"/>
      <c r="M7" s="213"/>
      <c r="N7" s="204"/>
      <c r="O7" s="204"/>
    </row>
    <row r="8" spans="1:15" ht="9.75" customHeight="1" x14ac:dyDescent="0.15">
      <c r="A8" s="110"/>
      <c r="B8" s="204"/>
      <c r="C8" s="204"/>
      <c r="D8" s="204"/>
      <c r="E8" s="204"/>
      <c r="F8" s="204"/>
      <c r="G8" s="204"/>
      <c r="H8" s="204"/>
      <c r="I8" s="204"/>
      <c r="J8" s="204"/>
      <c r="K8" s="204"/>
      <c r="L8" s="204"/>
      <c r="M8" s="204"/>
      <c r="N8" s="204"/>
      <c r="O8" s="204"/>
    </row>
    <row r="9" spans="1:15" ht="9.75" customHeight="1" x14ac:dyDescent="0.2">
      <c r="A9" s="110"/>
      <c r="B9" s="214"/>
      <c r="C9" s="214"/>
      <c r="D9" s="214"/>
      <c r="E9" s="214"/>
      <c r="F9" s="214"/>
      <c r="G9" s="214"/>
      <c r="H9" s="214"/>
      <c r="I9" s="214"/>
      <c r="J9" s="214"/>
      <c r="K9" s="214"/>
      <c r="L9" s="214"/>
      <c r="M9" s="214"/>
      <c r="N9" s="204"/>
      <c r="O9" s="204"/>
    </row>
    <row r="10" spans="1:15" ht="9.75" customHeight="1" x14ac:dyDescent="0.15">
      <c r="A10" s="110"/>
      <c r="B10" s="204"/>
      <c r="C10" s="204"/>
      <c r="D10" s="204"/>
      <c r="E10" s="204"/>
      <c r="F10" s="204"/>
      <c r="G10" s="204"/>
      <c r="H10" s="204"/>
      <c r="I10" s="204"/>
      <c r="J10" s="204"/>
      <c r="K10" s="204"/>
      <c r="L10" s="204"/>
      <c r="M10" s="204"/>
      <c r="N10" s="204"/>
      <c r="O10" s="204"/>
    </row>
    <row r="11" spans="1:15" ht="30" customHeight="1" x14ac:dyDescent="0.15">
      <c r="A11" s="110"/>
      <c r="B11" s="204"/>
      <c r="C11" s="204"/>
      <c r="D11" s="320" t="s">
        <v>410</v>
      </c>
      <c r="E11" s="320"/>
      <c r="F11" s="320"/>
      <c r="G11" s="320"/>
      <c r="H11" s="320"/>
      <c r="I11" s="320"/>
      <c r="J11" s="320"/>
      <c r="K11" s="320"/>
      <c r="L11" s="320"/>
      <c r="M11" s="204"/>
      <c r="N11" s="204"/>
      <c r="O11" s="204"/>
    </row>
    <row r="12" spans="1:15" ht="30" customHeight="1" thickBot="1" x14ac:dyDescent="0.2">
      <c r="A12" s="110"/>
      <c r="B12" s="110"/>
      <c r="C12" s="110"/>
      <c r="D12" s="215" t="s">
        <v>462</v>
      </c>
      <c r="E12" s="216"/>
      <c r="F12" s="216"/>
      <c r="G12" s="216"/>
      <c r="H12" s="216"/>
      <c r="I12" s="216"/>
      <c r="J12" s="216"/>
      <c r="K12" s="216"/>
      <c r="L12" s="216"/>
      <c r="M12" s="216"/>
      <c r="N12" s="110"/>
      <c r="O12" s="110"/>
    </row>
    <row r="13" spans="1:15" ht="12" customHeight="1" x14ac:dyDescent="0.15">
      <c r="A13" s="110"/>
      <c r="B13" s="110"/>
      <c r="C13" s="110"/>
      <c r="D13" s="110"/>
      <c r="E13" s="110"/>
      <c r="F13" s="110"/>
      <c r="G13" s="110"/>
      <c r="H13" s="110"/>
      <c r="I13" s="110"/>
      <c r="J13" s="110"/>
      <c r="K13" s="110"/>
      <c r="L13" s="110"/>
      <c r="M13" s="110"/>
      <c r="N13" s="110"/>
      <c r="O13" s="110"/>
    </row>
    <row r="14" spans="1:15" ht="38" customHeight="1" x14ac:dyDescent="0.15">
      <c r="A14" s="110"/>
      <c r="B14" s="110"/>
      <c r="C14" s="110"/>
      <c r="D14" s="327" t="s">
        <v>477</v>
      </c>
      <c r="E14" s="328"/>
      <c r="F14" s="328"/>
      <c r="G14" s="328"/>
      <c r="H14" s="328"/>
      <c r="I14" s="328"/>
      <c r="J14" s="328"/>
      <c r="K14" s="328"/>
      <c r="L14" s="110"/>
      <c r="M14" s="110"/>
      <c r="N14" s="110"/>
      <c r="O14" s="110"/>
    </row>
    <row r="15" spans="1:15" ht="30" customHeight="1" x14ac:dyDescent="0.15">
      <c r="A15" s="110"/>
      <c r="B15" s="110"/>
      <c r="C15" s="110"/>
      <c r="D15" s="327" t="s">
        <v>455</v>
      </c>
      <c r="E15" s="328"/>
      <c r="F15" s="328"/>
      <c r="G15" s="328"/>
      <c r="H15" s="328"/>
      <c r="I15" s="328"/>
      <c r="J15" s="328"/>
      <c r="K15" s="328"/>
      <c r="L15" s="110"/>
      <c r="M15" s="110"/>
      <c r="N15" s="110"/>
      <c r="O15" s="110"/>
    </row>
    <row r="16" spans="1:15" ht="12" customHeight="1" x14ac:dyDescent="0.15">
      <c r="A16" s="110"/>
      <c r="B16" s="110"/>
      <c r="C16" s="110"/>
      <c r="D16" s="110"/>
      <c r="E16" s="110"/>
      <c r="F16" s="110"/>
      <c r="G16" s="110"/>
      <c r="H16" s="110"/>
      <c r="I16" s="110"/>
      <c r="J16" s="110"/>
      <c r="K16" s="110"/>
      <c r="L16" s="110"/>
      <c r="M16" s="110"/>
      <c r="N16" s="110"/>
      <c r="O16" s="110"/>
    </row>
    <row r="17" spans="1:13" ht="19" thickBot="1" x14ac:dyDescent="0.2">
      <c r="A17" s="110"/>
      <c r="B17" s="110"/>
      <c r="C17" s="110"/>
      <c r="D17" s="228" t="s">
        <v>453</v>
      </c>
      <c r="E17" s="229"/>
      <c r="F17" s="229"/>
      <c r="G17" s="229"/>
      <c r="H17" s="340" t="s">
        <v>311</v>
      </c>
      <c r="I17" s="340"/>
      <c r="J17" s="238"/>
      <c r="K17" s="238"/>
    </row>
    <row r="18" spans="1:13" ht="72" customHeight="1" thickTop="1" x14ac:dyDescent="0.15">
      <c r="A18" s="110"/>
      <c r="B18" s="110"/>
      <c r="C18" s="110"/>
      <c r="D18" s="332" t="s">
        <v>236</v>
      </c>
      <c r="E18" s="334" t="s">
        <v>3</v>
      </c>
      <c r="F18" s="233" t="s">
        <v>0</v>
      </c>
      <c r="G18" s="334" t="s">
        <v>429</v>
      </c>
      <c r="H18" s="324" t="s">
        <v>1</v>
      </c>
      <c r="I18" s="326"/>
    </row>
    <row r="19" spans="1:13" ht="43" thickBot="1" x14ac:dyDescent="0.2">
      <c r="A19" s="110"/>
      <c r="B19" s="110"/>
      <c r="C19" s="110"/>
      <c r="D19" s="333"/>
      <c r="E19" s="335"/>
      <c r="F19" s="119" t="s">
        <v>425</v>
      </c>
      <c r="G19" s="335"/>
      <c r="H19" s="119" t="s">
        <v>424</v>
      </c>
      <c r="I19" s="118" t="s">
        <v>310</v>
      </c>
      <c r="J19" s="110"/>
      <c r="K19" s="110"/>
    </row>
    <row r="20" spans="1:13" ht="14" thickTop="1" x14ac:dyDescent="0.15">
      <c r="A20" s="110"/>
      <c r="B20" s="217"/>
      <c r="C20" s="110"/>
      <c r="D20" s="218">
        <f>+Automakers!D73</f>
        <v>0</v>
      </c>
      <c r="E20" s="219">
        <f>+Automakers!D72</f>
        <v>0</v>
      </c>
      <c r="F20" s="234" t="str">
        <f>+Automakers!D82</f>
        <v/>
      </c>
      <c r="G20" s="123"/>
      <c r="H20" s="236" t="str">
        <f>+Automakers!F82</f>
        <v/>
      </c>
      <c r="I20" s="235" t="str">
        <f>+Automakers!H82</f>
        <v/>
      </c>
      <c r="J20" s="217" t="s">
        <v>312</v>
      </c>
      <c r="K20" s="110"/>
    </row>
    <row r="21" spans="1:13" ht="13" x14ac:dyDescent="0.15">
      <c r="A21" s="110"/>
      <c r="B21" s="110"/>
      <c r="C21" s="110"/>
      <c r="D21" s="110"/>
      <c r="E21" s="110"/>
      <c r="F21" s="110"/>
      <c r="G21" s="220" t="s">
        <v>313</v>
      </c>
      <c r="I21" s="110"/>
      <c r="J21" s="110"/>
      <c r="K21" s="110"/>
      <c r="L21" s="110"/>
      <c r="M21" s="110"/>
    </row>
    <row r="22" spans="1:13" ht="13" x14ac:dyDescent="0.15">
      <c r="A22" s="110"/>
      <c r="B22" s="110"/>
      <c r="C22" s="110"/>
      <c r="D22" s="110"/>
      <c r="E22" s="110"/>
      <c r="F22" s="110"/>
      <c r="G22" s="110"/>
      <c r="H22" s="110"/>
      <c r="I22" s="110"/>
      <c r="J22" s="110"/>
      <c r="K22" s="110"/>
      <c r="L22" s="110"/>
      <c r="M22" s="110"/>
    </row>
    <row r="23" spans="1:13" ht="42" customHeight="1" thickBot="1" x14ac:dyDescent="0.2">
      <c r="A23" s="110"/>
      <c r="B23" s="110"/>
      <c r="C23" s="110"/>
      <c r="D23" s="329" t="s">
        <v>454</v>
      </c>
      <c r="E23" s="330"/>
      <c r="F23" s="330"/>
      <c r="G23" s="331"/>
      <c r="H23" s="343" t="s">
        <v>311</v>
      </c>
      <c r="I23" s="343"/>
      <c r="L23" s="110"/>
      <c r="M23" s="110"/>
    </row>
    <row r="24" spans="1:13" ht="15" customHeight="1" thickTop="1" thickBot="1" x14ac:dyDescent="0.2">
      <c r="A24" s="110"/>
      <c r="B24" s="110"/>
      <c r="C24" s="110"/>
      <c r="D24" s="336" t="s">
        <v>236</v>
      </c>
      <c r="E24" s="338" t="s">
        <v>3</v>
      </c>
      <c r="F24" s="241" t="s">
        <v>0</v>
      </c>
      <c r="G24" s="341" t="s">
        <v>1</v>
      </c>
      <c r="H24" s="341"/>
      <c r="I24" s="342"/>
      <c r="K24" s="110"/>
      <c r="L24" s="110"/>
    </row>
    <row r="25" spans="1:13" ht="57" thickBot="1" x14ac:dyDescent="0.2">
      <c r="A25" s="110"/>
      <c r="B25" s="110"/>
      <c r="C25" s="110"/>
      <c r="D25" s="337"/>
      <c r="E25" s="339"/>
      <c r="F25" s="239" t="s">
        <v>442</v>
      </c>
      <c r="G25" s="240" t="s">
        <v>429</v>
      </c>
      <c r="H25" s="239" t="s">
        <v>442</v>
      </c>
      <c r="I25" s="242" t="s">
        <v>310</v>
      </c>
    </row>
    <row r="26" spans="1:13" ht="30" customHeight="1" thickTop="1" thickBot="1" x14ac:dyDescent="0.2">
      <c r="A26" s="111"/>
      <c r="B26" s="112">
        <v>1</v>
      </c>
      <c r="C26" s="110"/>
      <c r="D26" s="124"/>
      <c r="E26" s="124"/>
      <c r="F26" s="126"/>
      <c r="G26" s="125"/>
      <c r="H26" s="126"/>
      <c r="I26" s="127"/>
      <c r="J26" s="217" t="s">
        <v>435</v>
      </c>
      <c r="K26" s="111"/>
    </row>
    <row r="27" spans="1:13" ht="30" customHeight="1" thickTop="1" thickBot="1" x14ac:dyDescent="0.2">
      <c r="A27" s="111"/>
      <c r="B27" s="112">
        <v>2</v>
      </c>
      <c r="C27" s="110"/>
      <c r="D27" s="124"/>
      <c r="E27" s="124"/>
      <c r="F27" s="129"/>
      <c r="G27" s="128"/>
      <c r="H27" s="129"/>
      <c r="I27" s="127"/>
      <c r="J27" s="111"/>
      <c r="K27" s="111"/>
    </row>
    <row r="28" spans="1:13" ht="30" customHeight="1" thickTop="1" thickBot="1" x14ac:dyDescent="0.2">
      <c r="A28" s="111"/>
      <c r="B28" s="112">
        <v>3</v>
      </c>
      <c r="C28" s="110"/>
      <c r="D28" s="124"/>
      <c r="E28" s="124"/>
      <c r="F28" s="128"/>
      <c r="G28" s="128"/>
      <c r="H28" s="129"/>
      <c r="I28" s="127"/>
      <c r="J28" s="111"/>
      <c r="K28" s="111"/>
    </row>
    <row r="29" spans="1:13" ht="30" customHeight="1" thickTop="1" thickBot="1" x14ac:dyDescent="0.2">
      <c r="A29" s="111"/>
      <c r="B29" s="112">
        <v>4</v>
      </c>
      <c r="C29" s="110"/>
      <c r="D29" s="124"/>
      <c r="E29" s="124"/>
      <c r="F29" s="128"/>
      <c r="G29" s="128"/>
      <c r="H29" s="129"/>
      <c r="I29" s="127"/>
      <c r="J29" s="111"/>
      <c r="K29" s="111"/>
    </row>
    <row r="30" spans="1:13" ht="30" customHeight="1" thickTop="1" thickBot="1" x14ac:dyDescent="0.2">
      <c r="A30" s="111"/>
      <c r="B30" s="112">
        <v>5</v>
      </c>
      <c r="C30" s="110"/>
      <c r="D30" s="124"/>
      <c r="E30" s="124"/>
      <c r="F30" s="128"/>
      <c r="G30" s="128"/>
      <c r="H30" s="129"/>
      <c r="I30" s="127"/>
      <c r="J30" s="111"/>
      <c r="K30" s="111"/>
    </row>
    <row r="31" spans="1:13" ht="30" customHeight="1" thickTop="1" thickBot="1" x14ac:dyDescent="0.2">
      <c r="A31" s="111"/>
      <c r="B31" s="112">
        <v>6</v>
      </c>
      <c r="C31" s="110"/>
      <c r="D31" s="124"/>
      <c r="E31" s="124"/>
      <c r="F31" s="128"/>
      <c r="G31" s="128"/>
      <c r="H31" s="129"/>
      <c r="I31" s="127"/>
      <c r="J31" s="111"/>
      <c r="K31" s="111"/>
    </row>
    <row r="32" spans="1:13" ht="30" customHeight="1" thickTop="1" thickBot="1" x14ac:dyDescent="0.2">
      <c r="A32" s="111"/>
      <c r="B32" s="112">
        <v>7</v>
      </c>
      <c r="C32" s="110"/>
      <c r="D32" s="124"/>
      <c r="E32" s="124"/>
      <c r="F32" s="128"/>
      <c r="G32" s="128"/>
      <c r="H32" s="129"/>
      <c r="I32" s="127"/>
      <c r="J32" s="111"/>
      <c r="K32" s="111"/>
    </row>
    <row r="33" spans="1:15" ht="30" customHeight="1" thickTop="1" thickBot="1" x14ac:dyDescent="0.2">
      <c r="A33" s="111"/>
      <c r="B33" s="112">
        <v>8</v>
      </c>
      <c r="C33" s="110"/>
      <c r="D33" s="124"/>
      <c r="E33" s="124"/>
      <c r="F33" s="128"/>
      <c r="G33" s="128"/>
      <c r="H33" s="129"/>
      <c r="I33" s="127"/>
      <c r="J33" s="111"/>
      <c r="K33" s="111"/>
    </row>
    <row r="34" spans="1:15" ht="30" customHeight="1" thickTop="1" thickBot="1" x14ac:dyDescent="0.2">
      <c r="A34" s="111"/>
      <c r="B34" s="112">
        <v>9</v>
      </c>
      <c r="C34" s="110"/>
      <c r="D34" s="124"/>
      <c r="E34" s="124"/>
      <c r="F34" s="128"/>
      <c r="G34" s="128"/>
      <c r="H34" s="129"/>
      <c r="I34" s="127"/>
      <c r="J34" s="111"/>
      <c r="K34" s="111"/>
    </row>
    <row r="35" spans="1:15" ht="30" customHeight="1" thickTop="1" thickBot="1" x14ac:dyDescent="0.2">
      <c r="A35" s="111"/>
      <c r="B35" s="112">
        <v>10</v>
      </c>
      <c r="C35" s="110"/>
      <c r="D35" s="124"/>
      <c r="E35" s="124"/>
      <c r="F35" s="128"/>
      <c r="G35" s="128"/>
      <c r="H35" s="129"/>
      <c r="I35" s="127"/>
      <c r="J35" s="111"/>
      <c r="K35" s="111"/>
    </row>
    <row r="36" spans="1:15" thickTop="1" thickBot="1" x14ac:dyDescent="0.2">
      <c r="A36" s="110"/>
      <c r="B36" s="110"/>
      <c r="C36" s="110"/>
      <c r="D36" s="110"/>
      <c r="E36" s="110"/>
      <c r="F36" s="113"/>
      <c r="G36" s="113"/>
      <c r="H36" s="120"/>
      <c r="I36" s="110"/>
      <c r="J36" s="110"/>
      <c r="K36" s="110"/>
    </row>
    <row r="37" spans="1:15" ht="18" thickTop="1" thickBot="1" x14ac:dyDescent="0.2">
      <c r="A37" s="110"/>
      <c r="B37" s="110"/>
      <c r="C37" s="110"/>
      <c r="D37" s="110"/>
      <c r="E37" s="117" t="s">
        <v>461</v>
      </c>
      <c r="F37" s="227" t="s">
        <v>430</v>
      </c>
      <c r="G37" s="114">
        <f>+SUMIF(G26:G35,"&gt;0",G26:G35)</f>
        <v>0</v>
      </c>
      <c r="H37" s="115" t="str">
        <f>+IF(G37&lt;&gt;0,SUMPRODUCT(H26:H35,$G26:$G35)/SUM($G26:$G35),"")</f>
        <v/>
      </c>
      <c r="I37" s="121" t="e">
        <f>+IF(H37&lt;&gt;0,SUMPRODUCT(I26:I35,$G26:$G35)/SUM($G26:$G35),"")</f>
        <v>#DIV/0!</v>
      </c>
      <c r="J37" s="110"/>
      <c r="K37" s="110"/>
    </row>
    <row r="38" spans="1:15" ht="12" customHeight="1" thickTop="1" x14ac:dyDescent="0.15">
      <c r="A38" s="110"/>
      <c r="B38" s="110"/>
      <c r="C38" s="110"/>
      <c r="D38" s="110"/>
      <c r="E38" s="110"/>
      <c r="F38" s="110"/>
      <c r="G38" s="110"/>
      <c r="H38" s="110"/>
      <c r="I38" s="110"/>
      <c r="J38" s="110"/>
      <c r="K38" s="110"/>
      <c r="L38" s="110"/>
      <c r="M38" s="110"/>
      <c r="N38" s="110"/>
      <c r="O38" s="110"/>
    </row>
    <row r="39" spans="1:15" ht="49" hidden="1" customHeight="1" thickBot="1" x14ac:dyDescent="0.2">
      <c r="A39" s="110"/>
      <c r="B39" s="110"/>
      <c r="C39" s="110"/>
      <c r="D39" s="221"/>
      <c r="E39" s="221"/>
      <c r="F39" s="222" t="str">
        <f>CONCATENATE("Aggregated GHG emission intensity target formulation | LDVs")</f>
        <v>Aggregated GHG emission intensity target formulation | LDVs</v>
      </c>
      <c r="G39" s="321" t="e">
        <f>IF(OR(ISBLANK(F37),ISBLANK(H37)),"Enter data in table",Automakers!$D$71&amp;" commits to reduce the average scope 1, scope 2 and scope 3 category 1, category 11 and category 12 aggregated GHG emission intensity covering all sold "&amp;D30&amp;" across all countries by "&amp;(ROUNDUP(TRUNC(I37,4),3)*100)&amp;"%"&amp;" by "&amp;Automakers!D1&amp;" relative to "&amp;Automakers!D2)</f>
        <v>#DIV/0!</v>
      </c>
      <c r="H39" s="322"/>
      <c r="I39" s="322"/>
      <c r="J39" s="322"/>
      <c r="K39" s="322"/>
      <c r="L39" s="322"/>
      <c r="M39" s="323"/>
      <c r="N39" s="110"/>
      <c r="O39" s="110"/>
    </row>
    <row r="40" spans="1:15" ht="30" hidden="1" customHeight="1" thickTop="1" thickBot="1" x14ac:dyDescent="0.2">
      <c r="A40" s="110"/>
      <c r="B40" s="110"/>
      <c r="C40" s="110"/>
      <c r="D40" s="223"/>
      <c r="E40" s="223"/>
      <c r="F40" s="224" t="str">
        <f>CONCATENATE("Aggregated low-emission vehicle sales share target formulation | LDVs")</f>
        <v>Aggregated low-emission vehicle sales share target formulation | LDVs</v>
      </c>
      <c r="G40" s="321"/>
      <c r="H40" s="322"/>
      <c r="I40" s="322"/>
      <c r="J40" s="322"/>
      <c r="K40" s="322"/>
      <c r="L40" s="322"/>
      <c r="M40" s="323"/>
      <c r="N40" s="110"/>
      <c r="O40" s="110"/>
    </row>
    <row r="41" spans="1:15" ht="12" hidden="1" customHeight="1" thickTop="1" x14ac:dyDescent="0.2">
      <c r="A41" s="110"/>
      <c r="B41" s="214"/>
      <c r="C41" s="214"/>
      <c r="D41" s="214"/>
      <c r="E41" s="214"/>
      <c r="F41" s="214"/>
      <c r="G41" s="214"/>
      <c r="H41" s="214"/>
      <c r="I41" s="214"/>
      <c r="J41" s="214"/>
      <c r="K41" s="214"/>
      <c r="L41" s="214"/>
      <c r="M41" s="214"/>
      <c r="N41" s="110"/>
      <c r="O41" s="110"/>
    </row>
    <row r="42" spans="1:15" ht="12" customHeight="1" x14ac:dyDescent="0.15">
      <c r="A42" s="110"/>
      <c r="B42" s="110"/>
      <c r="C42" s="110"/>
      <c r="D42" s="110"/>
      <c r="E42" s="200"/>
      <c r="F42" s="200"/>
      <c r="G42" s="200"/>
      <c r="H42" s="200"/>
      <c r="I42" s="200"/>
      <c r="J42" s="200"/>
      <c r="K42" s="200"/>
      <c r="L42" s="200"/>
      <c r="M42" s="200"/>
      <c r="N42" s="200"/>
      <c r="O42" s="110"/>
    </row>
    <row r="43" spans="1:15" ht="30" customHeight="1" thickBot="1" x14ac:dyDescent="0.2">
      <c r="A43" s="110"/>
      <c r="B43" s="110"/>
      <c r="C43" s="110"/>
      <c r="D43" s="215" t="s">
        <v>463</v>
      </c>
      <c r="E43" s="216"/>
      <c r="F43" s="216"/>
      <c r="G43" s="216"/>
      <c r="H43" s="216"/>
      <c r="I43" s="216"/>
      <c r="J43" s="216"/>
      <c r="K43" s="216"/>
      <c r="L43" s="216"/>
      <c r="M43" s="216"/>
      <c r="N43" s="110"/>
      <c r="O43" s="110"/>
    </row>
    <row r="44" spans="1:15" ht="12" customHeight="1" x14ac:dyDescent="0.15">
      <c r="A44" s="110"/>
      <c r="B44" s="110"/>
      <c r="C44" s="110"/>
      <c r="D44" s="110"/>
      <c r="E44" s="110"/>
      <c r="F44" s="110"/>
      <c r="G44" s="110"/>
      <c r="H44" s="110"/>
      <c r="I44" s="110"/>
      <c r="J44" s="110"/>
      <c r="K44" s="110"/>
      <c r="L44" s="110"/>
      <c r="M44" s="110"/>
      <c r="N44" s="110"/>
      <c r="O44" s="110"/>
    </row>
    <row r="45" spans="1:15" ht="37" customHeight="1" x14ac:dyDescent="0.15">
      <c r="A45" s="110"/>
      <c r="B45" s="110"/>
      <c r="C45" s="110"/>
      <c r="D45" s="344" t="s">
        <v>478</v>
      </c>
      <c r="E45" s="345"/>
      <c r="F45" s="345"/>
      <c r="G45" s="345"/>
      <c r="H45" s="345"/>
      <c r="I45" s="345"/>
      <c r="J45" s="345"/>
      <c r="K45" s="345"/>
      <c r="L45" s="110"/>
      <c r="M45" s="110"/>
      <c r="N45" s="110"/>
      <c r="O45" s="110"/>
    </row>
    <row r="46" spans="1:15" ht="30" customHeight="1" x14ac:dyDescent="0.15">
      <c r="A46" s="110"/>
      <c r="B46" s="110"/>
      <c r="C46" s="110"/>
      <c r="D46" s="344" t="s">
        <v>456</v>
      </c>
      <c r="E46" s="345"/>
      <c r="F46" s="345"/>
      <c r="G46" s="345"/>
      <c r="H46" s="345"/>
      <c r="I46" s="345"/>
      <c r="J46" s="345"/>
      <c r="K46" s="345"/>
      <c r="L46" s="110"/>
      <c r="M46" s="110"/>
      <c r="N46" s="110"/>
      <c r="O46" s="110"/>
    </row>
    <row r="47" spans="1:15" ht="48" customHeight="1" thickBot="1" x14ac:dyDescent="0.2">
      <c r="A47" s="110"/>
      <c r="B47" s="110"/>
      <c r="C47" s="110"/>
      <c r="D47" s="348" t="s">
        <v>457</v>
      </c>
      <c r="E47" s="349"/>
      <c r="F47" s="349"/>
      <c r="G47" s="352" t="s">
        <v>311</v>
      </c>
      <c r="H47" s="352"/>
      <c r="I47" s="110"/>
      <c r="J47" s="237"/>
      <c r="K47" s="237"/>
      <c r="L47" s="237"/>
      <c r="M47" s="237"/>
      <c r="N47" s="110"/>
      <c r="O47" s="110"/>
    </row>
    <row r="48" spans="1:15" ht="22" customHeight="1" thickTop="1" thickBot="1" x14ac:dyDescent="0.2">
      <c r="A48" s="110"/>
      <c r="B48" s="110"/>
      <c r="C48" s="110"/>
      <c r="D48" s="332" t="s">
        <v>314</v>
      </c>
      <c r="E48" s="324" t="s">
        <v>3</v>
      </c>
      <c r="F48" s="243" t="s">
        <v>0</v>
      </c>
      <c r="G48" s="347" t="s">
        <v>1</v>
      </c>
      <c r="H48" s="347"/>
      <c r="I48" s="110"/>
      <c r="J48" s="110"/>
      <c r="K48" s="110"/>
      <c r="L48" s="110"/>
      <c r="M48" s="110"/>
      <c r="N48" s="110"/>
      <c r="O48" s="110"/>
    </row>
    <row r="49" spans="1:15" ht="80" customHeight="1" thickBot="1" x14ac:dyDescent="0.2">
      <c r="A49" s="110"/>
      <c r="B49" s="110"/>
      <c r="C49" s="110"/>
      <c r="D49" s="333"/>
      <c r="E49" s="325"/>
      <c r="F49" s="119" t="s">
        <v>441</v>
      </c>
      <c r="G49" s="119" t="s">
        <v>429</v>
      </c>
      <c r="H49" s="119" t="s">
        <v>441</v>
      </c>
      <c r="I49" s="110"/>
      <c r="J49" s="110"/>
      <c r="K49" s="110"/>
      <c r="L49" s="110"/>
      <c r="M49" s="110"/>
      <c r="N49" s="110"/>
      <c r="O49" s="110"/>
    </row>
    <row r="50" spans="1:15" ht="12" customHeight="1" thickTop="1" x14ac:dyDescent="0.15">
      <c r="A50" s="110"/>
      <c r="B50" s="110"/>
      <c r="C50" s="110"/>
      <c r="D50" s="218">
        <f>+Automakers!D73</f>
        <v>0</v>
      </c>
      <c r="E50" s="219">
        <f>+Automakers!D72</f>
        <v>0</v>
      </c>
      <c r="F50" s="235">
        <f>+Automakers!D77</f>
        <v>0</v>
      </c>
      <c r="G50" s="123"/>
      <c r="H50" s="235" t="str">
        <f>+Automakers!F83</f>
        <v/>
      </c>
      <c r="I50" s="217" t="s">
        <v>312</v>
      </c>
      <c r="J50" s="110"/>
      <c r="K50" s="110"/>
      <c r="L50" s="110"/>
      <c r="M50" s="110"/>
      <c r="N50" s="110"/>
      <c r="O50" s="110"/>
    </row>
    <row r="51" spans="1:15" ht="12" customHeight="1" x14ac:dyDescent="0.15">
      <c r="A51" s="110"/>
      <c r="B51" s="110"/>
      <c r="C51" s="110"/>
      <c r="D51" s="110"/>
      <c r="E51" s="110"/>
      <c r="F51" s="110"/>
      <c r="G51" s="220" t="s">
        <v>313</v>
      </c>
      <c r="H51" s="110"/>
      <c r="I51" s="110"/>
      <c r="J51" s="110"/>
      <c r="K51" s="110"/>
      <c r="L51" s="110"/>
      <c r="M51" s="110"/>
      <c r="N51" s="110"/>
      <c r="O51" s="110"/>
    </row>
    <row r="52" spans="1:15" ht="12" customHeight="1" x14ac:dyDescent="0.15">
      <c r="A52" s="110"/>
      <c r="B52" s="110"/>
      <c r="C52" s="110"/>
      <c r="D52" s="110"/>
      <c r="E52" s="110"/>
      <c r="F52" s="110"/>
      <c r="G52" s="110"/>
      <c r="H52" s="110"/>
      <c r="I52" s="110"/>
      <c r="J52" s="110"/>
      <c r="K52" s="110"/>
      <c r="L52" s="110"/>
      <c r="M52" s="110"/>
      <c r="N52" s="110"/>
      <c r="O52" s="110"/>
    </row>
    <row r="53" spans="1:15" ht="12" customHeight="1" x14ac:dyDescent="0.15">
      <c r="A53" s="110"/>
      <c r="B53" s="110"/>
      <c r="C53" s="110"/>
      <c r="D53" s="110"/>
      <c r="E53" s="110"/>
      <c r="F53" s="110"/>
      <c r="G53" s="110"/>
      <c r="H53" s="110"/>
      <c r="I53" s="110"/>
      <c r="J53" s="110"/>
      <c r="K53" s="110"/>
      <c r="L53" s="110"/>
      <c r="M53" s="110"/>
      <c r="N53" s="110"/>
      <c r="O53" s="110"/>
    </row>
    <row r="54" spans="1:15" ht="40" customHeight="1" thickBot="1" x14ac:dyDescent="0.2">
      <c r="A54" s="110"/>
      <c r="B54" s="110"/>
      <c r="C54" s="110"/>
      <c r="D54" s="348" t="s">
        <v>458</v>
      </c>
      <c r="E54" s="349"/>
      <c r="F54" s="349"/>
      <c r="G54" s="352" t="s">
        <v>311</v>
      </c>
      <c r="H54" s="352"/>
      <c r="I54" s="110"/>
      <c r="O54" s="110"/>
    </row>
    <row r="55" spans="1:15" ht="27" customHeight="1" thickTop="1" thickBot="1" x14ac:dyDescent="0.2">
      <c r="A55" s="110"/>
      <c r="B55" s="110"/>
      <c r="C55" s="110"/>
      <c r="D55" s="332" t="s">
        <v>314</v>
      </c>
      <c r="E55" s="324" t="s">
        <v>3</v>
      </c>
      <c r="F55" s="243" t="s">
        <v>0</v>
      </c>
      <c r="G55" s="347" t="s">
        <v>1</v>
      </c>
      <c r="H55" s="347"/>
      <c r="I55" s="110"/>
    </row>
    <row r="56" spans="1:15" ht="57" thickBot="1" x14ac:dyDescent="0.2">
      <c r="A56" s="110"/>
      <c r="B56" s="110"/>
      <c r="C56" s="110"/>
      <c r="D56" s="333"/>
      <c r="E56" s="325"/>
      <c r="F56" s="119" t="s">
        <v>441</v>
      </c>
      <c r="G56" s="119" t="s">
        <v>429</v>
      </c>
      <c r="H56" s="119" t="s">
        <v>441</v>
      </c>
      <c r="I56" s="110"/>
    </row>
    <row r="57" spans="1:15" ht="14" thickTop="1" x14ac:dyDescent="0.15">
      <c r="A57" s="110"/>
      <c r="B57" s="110"/>
      <c r="C57" s="110"/>
      <c r="D57" s="218">
        <f>+Automakers!D114</f>
        <v>0</v>
      </c>
      <c r="E57" s="219">
        <f>+Automakers!D113</f>
        <v>0</v>
      </c>
      <c r="F57" s="235" t="str">
        <f>+Automakers!D124</f>
        <v/>
      </c>
      <c r="G57" s="123"/>
      <c r="H57" s="235" t="str">
        <f>+Automakers!F124</f>
        <v/>
      </c>
      <c r="I57" s="217" t="s">
        <v>312</v>
      </c>
    </row>
    <row r="58" spans="1:15" ht="13" x14ac:dyDescent="0.15">
      <c r="A58" s="110"/>
      <c r="B58" s="110"/>
      <c r="C58" s="110"/>
      <c r="D58" s="110"/>
      <c r="E58" s="110"/>
      <c r="F58" s="110"/>
      <c r="G58" s="220" t="s">
        <v>313</v>
      </c>
      <c r="H58" s="110"/>
      <c r="I58" s="110"/>
    </row>
    <row r="59" spans="1:15" ht="12" customHeight="1" x14ac:dyDescent="0.15">
      <c r="A59" s="110"/>
      <c r="B59" s="110"/>
      <c r="C59" s="110"/>
      <c r="D59" s="110"/>
      <c r="E59" s="110"/>
      <c r="F59" s="110"/>
      <c r="G59" s="110"/>
      <c r="H59" s="110"/>
      <c r="I59" s="110"/>
    </row>
    <row r="60" spans="1:15" ht="19" thickBot="1" x14ac:dyDescent="0.2">
      <c r="A60" s="110"/>
      <c r="B60" s="110"/>
      <c r="C60" s="110"/>
      <c r="D60" s="230" t="s">
        <v>459</v>
      </c>
      <c r="E60" s="231"/>
      <c r="F60" s="232"/>
      <c r="G60" s="231"/>
      <c r="H60" s="231"/>
      <c r="I60" s="110"/>
    </row>
    <row r="61" spans="1:15" ht="14.5" customHeight="1" thickTop="1" thickBot="1" x14ac:dyDescent="0.2">
      <c r="A61" s="110"/>
      <c r="B61" s="110"/>
      <c r="C61" s="110"/>
      <c r="D61" s="336" t="s">
        <v>315</v>
      </c>
      <c r="E61" s="346" t="s">
        <v>3</v>
      </c>
      <c r="F61" s="244" t="s">
        <v>0</v>
      </c>
      <c r="G61" s="350" t="s">
        <v>1</v>
      </c>
      <c r="H61" s="351"/>
      <c r="I61" s="110"/>
    </row>
    <row r="62" spans="1:15" ht="57" thickBot="1" x14ac:dyDescent="0.2">
      <c r="A62" s="110"/>
      <c r="B62" s="110"/>
      <c r="C62" s="110"/>
      <c r="D62" s="337"/>
      <c r="E62" s="339"/>
      <c r="F62" s="122" t="s">
        <v>441</v>
      </c>
      <c r="G62" s="122" t="s">
        <v>429</v>
      </c>
      <c r="H62" s="122" t="s">
        <v>441</v>
      </c>
      <c r="I62" s="110"/>
    </row>
    <row r="63" spans="1:15" ht="30" customHeight="1" thickTop="1" thickBot="1" x14ac:dyDescent="0.2">
      <c r="A63" s="110"/>
      <c r="B63" s="112">
        <v>1</v>
      </c>
      <c r="C63" s="110"/>
      <c r="D63" s="124"/>
      <c r="E63" s="124"/>
      <c r="F63" s="127"/>
      <c r="G63" s="125"/>
      <c r="H63" s="130"/>
      <c r="I63" s="217" t="s">
        <v>435</v>
      </c>
    </row>
    <row r="64" spans="1:15" ht="30" customHeight="1" thickTop="1" thickBot="1" x14ac:dyDescent="0.2">
      <c r="A64" s="110"/>
      <c r="B64" s="112">
        <v>2</v>
      </c>
      <c r="C64" s="110"/>
      <c r="D64" s="124"/>
      <c r="E64" s="124"/>
      <c r="F64" s="131"/>
      <c r="G64" s="128"/>
      <c r="H64" s="132"/>
      <c r="I64" s="110"/>
    </row>
    <row r="65" spans="1:15" ht="30" customHeight="1" thickTop="1" thickBot="1" x14ac:dyDescent="0.2">
      <c r="A65" s="110"/>
      <c r="B65" s="112">
        <v>3</v>
      </c>
      <c r="C65" s="110"/>
      <c r="D65" s="124"/>
      <c r="E65" s="124"/>
      <c r="F65" s="131"/>
      <c r="G65" s="128"/>
      <c r="H65" s="132"/>
      <c r="I65" s="110"/>
    </row>
    <row r="66" spans="1:15" ht="30" customHeight="1" thickTop="1" thickBot="1" x14ac:dyDescent="0.2">
      <c r="A66" s="110"/>
      <c r="B66" s="112">
        <v>4</v>
      </c>
      <c r="C66" s="110"/>
      <c r="D66" s="124"/>
      <c r="E66" s="124"/>
      <c r="F66" s="131"/>
      <c r="G66" s="128"/>
      <c r="H66" s="132"/>
      <c r="I66" s="110"/>
    </row>
    <row r="67" spans="1:15" ht="30" customHeight="1" thickTop="1" thickBot="1" x14ac:dyDescent="0.2">
      <c r="A67" s="110"/>
      <c r="B67" s="112">
        <v>5</v>
      </c>
      <c r="C67" s="110"/>
      <c r="D67" s="124"/>
      <c r="E67" s="124"/>
      <c r="F67" s="131"/>
      <c r="G67" s="128"/>
      <c r="H67" s="132"/>
      <c r="I67" s="110"/>
    </row>
    <row r="68" spans="1:15" ht="30" customHeight="1" thickTop="1" thickBot="1" x14ac:dyDescent="0.2">
      <c r="A68" s="110"/>
      <c r="B68" s="112">
        <v>6</v>
      </c>
      <c r="C68" s="110"/>
      <c r="D68" s="124"/>
      <c r="E68" s="124"/>
      <c r="F68" s="131"/>
      <c r="G68" s="128"/>
      <c r="H68" s="132"/>
      <c r="I68" s="110"/>
    </row>
    <row r="69" spans="1:15" ht="30" customHeight="1" thickTop="1" thickBot="1" x14ac:dyDescent="0.2">
      <c r="A69" s="110"/>
      <c r="B69" s="112">
        <v>7</v>
      </c>
      <c r="C69" s="110"/>
      <c r="D69" s="124"/>
      <c r="E69" s="124"/>
      <c r="F69" s="131"/>
      <c r="G69" s="128"/>
      <c r="H69" s="132"/>
      <c r="I69" s="110"/>
    </row>
    <row r="70" spans="1:15" ht="30" customHeight="1" thickTop="1" thickBot="1" x14ac:dyDescent="0.2">
      <c r="A70" s="110"/>
      <c r="B70" s="112">
        <v>8</v>
      </c>
      <c r="C70" s="110"/>
      <c r="D70" s="124"/>
      <c r="E70" s="124"/>
      <c r="F70" s="131"/>
      <c r="G70" s="128"/>
      <c r="H70" s="132"/>
      <c r="I70" s="110"/>
    </row>
    <row r="71" spans="1:15" ht="30" customHeight="1" thickTop="1" thickBot="1" x14ac:dyDescent="0.2">
      <c r="A71" s="110"/>
      <c r="B71" s="112">
        <v>9</v>
      </c>
      <c r="C71" s="110"/>
      <c r="D71" s="124"/>
      <c r="E71" s="124"/>
      <c r="F71" s="131"/>
      <c r="G71" s="128"/>
      <c r="H71" s="132"/>
      <c r="I71" s="110"/>
    </row>
    <row r="72" spans="1:15" ht="30" customHeight="1" thickTop="1" thickBot="1" x14ac:dyDescent="0.2">
      <c r="A72" s="110"/>
      <c r="B72" s="112">
        <v>10</v>
      </c>
      <c r="C72" s="110"/>
      <c r="D72" s="124"/>
      <c r="E72" s="124"/>
      <c r="F72" s="131"/>
      <c r="G72" s="128"/>
      <c r="H72" s="132"/>
      <c r="I72" s="110"/>
    </row>
    <row r="73" spans="1:15" thickTop="1" thickBot="1" x14ac:dyDescent="0.2">
      <c r="A73" s="110"/>
      <c r="B73" s="110"/>
      <c r="C73" s="110"/>
      <c r="D73" s="110"/>
      <c r="E73" s="110"/>
      <c r="F73" s="113"/>
      <c r="G73" s="113"/>
      <c r="H73" s="110"/>
      <c r="I73" s="110"/>
    </row>
    <row r="74" spans="1:15" ht="18" thickTop="1" thickBot="1" x14ac:dyDescent="0.2">
      <c r="A74" s="110"/>
      <c r="B74" s="110"/>
      <c r="C74" s="110"/>
      <c r="D74" s="110"/>
      <c r="E74" s="117" t="s">
        <v>460</v>
      </c>
      <c r="F74" s="245" t="s">
        <v>430</v>
      </c>
      <c r="G74" s="114">
        <f>+SUMIF(G63:G72,"&gt;0",G63:G72)</f>
        <v>0</v>
      </c>
      <c r="H74" s="121" t="str">
        <f>+IF(G74&lt;&gt;0,SUMPRODUCT(H63:H72,$G63:$G72)/SUM($G63:$G72),"")</f>
        <v/>
      </c>
      <c r="I74" s="110"/>
    </row>
    <row r="75" spans="1:15" ht="14" thickTop="1" x14ac:dyDescent="0.15">
      <c r="A75" s="110"/>
      <c r="B75" s="110"/>
      <c r="C75" s="110"/>
      <c r="D75" s="110"/>
      <c r="E75" s="110"/>
      <c r="F75" s="110"/>
      <c r="G75" s="110"/>
      <c r="H75" s="110"/>
      <c r="I75" s="110"/>
      <c r="J75" s="110"/>
      <c r="K75" s="110"/>
      <c r="L75" s="110"/>
      <c r="M75" s="110"/>
      <c r="N75" s="110"/>
      <c r="O75" s="110"/>
    </row>
    <row r="76" spans="1:15" ht="30" hidden="1" customHeight="1" thickTop="1" thickBot="1" x14ac:dyDescent="0.2">
      <c r="A76" s="110"/>
      <c r="B76" s="110"/>
      <c r="C76" s="110"/>
      <c r="D76" s="225"/>
      <c r="E76" s="223"/>
      <c r="F76" s="222" t="str">
        <f>CONCATENATE("Aggregated GHG emission intensity target formulation | Non LDVs")</f>
        <v>Aggregated GHG emission intensity target formulation | Non LDVs</v>
      </c>
      <c r="G76" s="321" t="e">
        <f>IF(OR(ISBLANK(#REF!),ISBLANK(#REF!)),"Enter data in table",Automakers!$D$71&amp;" commits to reduce the average scope 1, scope 2 and scope 3 category 1, category 11 and category 12 aggregated GHG emission intensity covering all sold "&amp;D63&amp;" across all countries by "&amp;(ROUNDUP(TRUNC(#REF!,4),3)*100)&amp;"%"&amp;" by "&amp;Automakers!D26&amp;" relative to "&amp;Automakers!D27)</f>
        <v>#REF!</v>
      </c>
      <c r="H76" s="322"/>
      <c r="I76" s="322"/>
      <c r="J76" s="322"/>
      <c r="K76" s="322"/>
      <c r="L76" s="322"/>
      <c r="M76" s="323"/>
      <c r="N76" s="110"/>
      <c r="O76" s="110"/>
    </row>
    <row r="77" spans="1:15" ht="30" hidden="1" customHeight="1" thickTop="1" thickBot="1" x14ac:dyDescent="0.2">
      <c r="A77" s="110"/>
      <c r="B77" s="110"/>
      <c r="C77" s="110"/>
      <c r="D77" s="225"/>
      <c r="E77" s="223"/>
      <c r="F77" s="224" t="str">
        <f>CONCATENATE("Aggregated low-emission vehicle sales share target formulation | Non LDVs")</f>
        <v>Aggregated low-emission vehicle sales share target formulation | Non LDVs</v>
      </c>
      <c r="G77" s="321" t="e">
        <f>IF(OR(ISBLANK(#REF!),ISBLANK(#REF!)),"Enter data in table",Automakers!$D$71&amp;" commits to increase the sales share of its low-emission "&amp;D63&amp;" sold across all countries by "&amp;(ROUNDUP(TRUNC(H74,4),3)*100)&amp;"%"&amp;" by "&amp;Automakers!D26&amp;" relative to "&amp;Automakers!D27)</f>
        <v>#VALUE!</v>
      </c>
      <c r="H77" s="322"/>
      <c r="I77" s="322"/>
      <c r="J77" s="322"/>
      <c r="K77" s="322"/>
      <c r="L77" s="322"/>
      <c r="M77" s="323"/>
      <c r="N77" s="110"/>
      <c r="O77" s="110"/>
    </row>
    <row r="78" spans="1:15" ht="12" customHeight="1" x14ac:dyDescent="0.15">
      <c r="A78" s="110"/>
      <c r="B78" s="110"/>
      <c r="C78" s="110"/>
      <c r="D78" s="110"/>
      <c r="E78" s="110"/>
      <c r="F78" s="110"/>
      <c r="G78" s="110"/>
      <c r="H78" s="110"/>
      <c r="I78" s="110"/>
      <c r="J78" s="110"/>
      <c r="K78" s="110"/>
      <c r="L78" s="110"/>
      <c r="M78" s="110"/>
      <c r="N78" s="110"/>
      <c r="O78" s="110"/>
    </row>
    <row r="79" spans="1:15" ht="12" customHeight="1" x14ac:dyDescent="0.15">
      <c r="A79" s="110"/>
      <c r="B79" s="110"/>
      <c r="C79" s="110"/>
      <c r="D79" s="110"/>
      <c r="E79" s="110"/>
      <c r="F79" s="110"/>
      <c r="G79" s="110"/>
      <c r="H79" s="110"/>
      <c r="I79" s="110"/>
      <c r="J79" s="110"/>
      <c r="K79" s="110"/>
      <c r="L79" s="110"/>
      <c r="M79" s="110"/>
      <c r="N79" s="110"/>
      <c r="O79" s="110"/>
    </row>
    <row r="80" spans="1:15" ht="12" customHeight="1" x14ac:dyDescent="0.15">
      <c r="A80" s="110"/>
      <c r="B80" s="110"/>
      <c r="C80" s="110"/>
      <c r="D80" s="110"/>
      <c r="E80" s="110"/>
      <c r="F80" s="110"/>
      <c r="G80" s="110"/>
      <c r="H80" s="110"/>
      <c r="I80" s="110"/>
      <c r="J80" s="110"/>
      <c r="K80" s="110"/>
      <c r="L80" s="110"/>
      <c r="M80" s="110"/>
      <c r="N80" s="110"/>
      <c r="O80" s="110"/>
    </row>
    <row r="81" spans="1:15" ht="12" customHeight="1" x14ac:dyDescent="0.15">
      <c r="A81" s="110"/>
      <c r="B81" s="110"/>
      <c r="C81" s="110"/>
      <c r="D81" s="110"/>
      <c r="E81" s="110"/>
      <c r="F81" s="110"/>
      <c r="G81" s="110"/>
      <c r="H81" s="110"/>
      <c r="I81" s="110"/>
      <c r="J81" s="110"/>
      <c r="K81" s="110"/>
      <c r="L81" s="110"/>
      <c r="M81" s="110"/>
      <c r="N81" s="110"/>
      <c r="O81" s="110"/>
    </row>
    <row r="82" spans="1:15" ht="12" customHeight="1" x14ac:dyDescent="0.15">
      <c r="A82" s="110"/>
      <c r="B82" s="110"/>
      <c r="C82" s="110"/>
      <c r="D82" s="110"/>
      <c r="E82" s="110"/>
      <c r="F82" s="110"/>
      <c r="G82" s="110"/>
      <c r="H82" s="110"/>
      <c r="I82" s="110"/>
      <c r="J82" s="110"/>
      <c r="K82" s="110"/>
      <c r="L82" s="110"/>
      <c r="M82" s="110"/>
      <c r="N82" s="110"/>
      <c r="O82" s="110"/>
    </row>
    <row r="83" spans="1:15" ht="12" customHeight="1" x14ac:dyDescent="0.15">
      <c r="A83" s="110"/>
      <c r="B83" s="110"/>
      <c r="C83" s="110"/>
      <c r="D83" s="110"/>
      <c r="E83" s="110"/>
      <c r="F83" s="110"/>
      <c r="G83" s="110"/>
      <c r="H83" s="110"/>
      <c r="I83" s="110"/>
      <c r="J83" s="110"/>
      <c r="K83" s="110"/>
      <c r="L83" s="110"/>
      <c r="M83" s="110"/>
      <c r="N83" s="110"/>
      <c r="O83" s="110"/>
    </row>
    <row r="84" spans="1:15" ht="12" customHeight="1" x14ac:dyDescent="0.15">
      <c r="A84" s="110"/>
      <c r="B84" s="110"/>
      <c r="C84" s="110"/>
      <c r="D84" s="110"/>
      <c r="E84" s="110"/>
      <c r="F84" s="110"/>
      <c r="G84" s="110"/>
      <c r="H84" s="110"/>
      <c r="I84" s="110"/>
      <c r="J84" s="110"/>
      <c r="K84" s="110"/>
      <c r="L84" s="110"/>
      <c r="M84" s="110"/>
      <c r="N84" s="110"/>
      <c r="O84" s="110"/>
    </row>
    <row r="85" spans="1:15" ht="12" customHeight="1" x14ac:dyDescent="0.15">
      <c r="A85" s="110"/>
      <c r="B85" s="110"/>
      <c r="C85" s="110"/>
      <c r="D85" s="110"/>
      <c r="E85" s="110"/>
      <c r="F85" s="110"/>
      <c r="G85" s="110"/>
      <c r="H85" s="110"/>
      <c r="I85" s="110"/>
      <c r="J85" s="110"/>
      <c r="K85" s="110"/>
      <c r="L85" s="110"/>
      <c r="M85" s="110"/>
      <c r="N85" s="110"/>
      <c r="O85" s="110"/>
    </row>
    <row r="86" spans="1:15" ht="12" customHeight="1" x14ac:dyDescent="0.15">
      <c r="A86" s="110"/>
      <c r="B86" s="110"/>
      <c r="C86" s="110"/>
      <c r="D86" s="110"/>
      <c r="E86" s="110"/>
      <c r="F86" s="110"/>
      <c r="G86" s="110"/>
      <c r="H86" s="110"/>
      <c r="I86" s="110"/>
      <c r="J86" s="110"/>
      <c r="K86" s="110"/>
      <c r="L86" s="110"/>
      <c r="M86" s="110"/>
      <c r="N86" s="110"/>
      <c r="O86" s="110"/>
    </row>
    <row r="87" spans="1:15" ht="12" customHeight="1" x14ac:dyDescent="0.15">
      <c r="A87" s="110"/>
      <c r="B87" s="110"/>
      <c r="C87" s="110"/>
      <c r="D87" s="110"/>
      <c r="E87" s="110"/>
      <c r="F87" s="110"/>
      <c r="G87" s="110"/>
      <c r="H87" s="110"/>
      <c r="I87" s="110"/>
      <c r="J87" s="110"/>
      <c r="K87" s="110"/>
      <c r="L87" s="110"/>
      <c r="M87" s="110"/>
      <c r="N87" s="110"/>
      <c r="O87" s="110"/>
    </row>
    <row r="88" spans="1:15" ht="12" customHeight="1" x14ac:dyDescent="0.15">
      <c r="A88" s="110"/>
      <c r="B88" s="110"/>
      <c r="C88" s="110"/>
      <c r="D88" s="110"/>
      <c r="E88" s="110"/>
      <c r="F88" s="110"/>
      <c r="G88" s="110"/>
      <c r="H88" s="110"/>
      <c r="I88" s="110"/>
      <c r="J88" s="110"/>
      <c r="K88" s="110"/>
      <c r="L88" s="110"/>
      <c r="M88" s="110"/>
      <c r="N88" s="110"/>
      <c r="O88" s="110"/>
    </row>
    <row r="89" spans="1:15" ht="12" customHeight="1" x14ac:dyDescent="0.15">
      <c r="A89" s="110"/>
      <c r="B89" s="110"/>
      <c r="C89" s="110"/>
      <c r="D89" s="110"/>
      <c r="E89" s="110"/>
      <c r="F89" s="110"/>
      <c r="G89" s="110"/>
      <c r="H89" s="110"/>
      <c r="I89" s="110"/>
      <c r="J89" s="110"/>
      <c r="K89" s="110"/>
      <c r="L89" s="110"/>
      <c r="M89" s="110"/>
      <c r="N89" s="110"/>
      <c r="O89" s="110"/>
    </row>
    <row r="90" spans="1:15" ht="12" customHeight="1" x14ac:dyDescent="0.15">
      <c r="A90" s="110"/>
      <c r="B90" s="110"/>
      <c r="C90" s="110"/>
      <c r="D90" s="110"/>
      <c r="E90" s="110"/>
      <c r="F90" s="110"/>
      <c r="G90" s="110"/>
      <c r="H90" s="110"/>
      <c r="I90" s="110"/>
      <c r="J90" s="110"/>
      <c r="K90" s="110"/>
      <c r="L90" s="110"/>
      <c r="M90" s="110"/>
      <c r="N90" s="110"/>
      <c r="O90" s="110"/>
    </row>
    <row r="91" spans="1:15" ht="12" customHeight="1" x14ac:dyDescent="0.15">
      <c r="A91" s="110"/>
      <c r="B91" s="110"/>
      <c r="C91" s="110"/>
      <c r="D91" s="110"/>
      <c r="E91" s="110"/>
      <c r="F91" s="110"/>
      <c r="G91" s="110"/>
      <c r="H91" s="110"/>
      <c r="I91" s="110"/>
      <c r="J91" s="110"/>
      <c r="K91" s="110"/>
      <c r="L91" s="110"/>
      <c r="M91" s="110"/>
      <c r="N91" s="110"/>
      <c r="O91" s="110"/>
    </row>
    <row r="92" spans="1:15" ht="12" customHeight="1" x14ac:dyDescent="0.15">
      <c r="A92" s="110"/>
      <c r="B92" s="110"/>
      <c r="C92" s="110"/>
      <c r="D92" s="110"/>
      <c r="E92" s="110"/>
      <c r="F92" s="110"/>
      <c r="G92" s="110"/>
      <c r="H92" s="110"/>
      <c r="I92" s="110"/>
      <c r="J92" s="110"/>
      <c r="K92" s="110"/>
      <c r="L92" s="110"/>
      <c r="M92" s="110"/>
      <c r="N92" s="110"/>
      <c r="O92" s="110"/>
    </row>
    <row r="93" spans="1:15" ht="12" customHeight="1" x14ac:dyDescent="0.15">
      <c r="A93" s="110"/>
      <c r="B93" s="110"/>
      <c r="C93" s="110"/>
      <c r="D93" s="110"/>
      <c r="E93" s="110"/>
      <c r="F93" s="110"/>
      <c r="G93" s="110"/>
      <c r="H93" s="110"/>
      <c r="I93" s="110"/>
      <c r="J93" s="110"/>
      <c r="K93" s="110"/>
      <c r="L93" s="110"/>
      <c r="M93" s="110"/>
      <c r="N93" s="110"/>
      <c r="O93" s="110"/>
    </row>
    <row r="94" spans="1:15" ht="12" customHeight="1" x14ac:dyDescent="0.15">
      <c r="A94" s="110"/>
      <c r="B94" s="110"/>
      <c r="C94" s="110"/>
      <c r="D94" s="110"/>
      <c r="E94" s="110"/>
      <c r="F94" s="110"/>
      <c r="G94" s="110"/>
      <c r="H94" s="110"/>
      <c r="I94" s="110"/>
      <c r="J94" s="110"/>
      <c r="K94" s="110"/>
      <c r="L94" s="110"/>
      <c r="M94" s="110"/>
      <c r="N94" s="110"/>
      <c r="O94" s="110"/>
    </row>
    <row r="95" spans="1:15" ht="12" customHeight="1" x14ac:dyDescent="0.15">
      <c r="A95" s="110"/>
      <c r="B95" s="110"/>
      <c r="C95" s="110"/>
      <c r="D95" s="110"/>
      <c r="E95" s="110"/>
      <c r="F95" s="110"/>
      <c r="G95" s="110"/>
      <c r="H95" s="110"/>
      <c r="I95" s="110"/>
      <c r="J95" s="110"/>
      <c r="K95" s="110"/>
      <c r="L95" s="110"/>
      <c r="M95" s="110"/>
      <c r="N95" s="110"/>
      <c r="O95" s="110"/>
    </row>
    <row r="96" spans="1:15" ht="12" customHeight="1" x14ac:dyDescent="0.15">
      <c r="A96" s="110"/>
      <c r="B96" s="110"/>
      <c r="C96" s="110"/>
      <c r="D96" s="110"/>
      <c r="E96" s="110"/>
      <c r="F96" s="110"/>
      <c r="G96" s="110"/>
      <c r="H96" s="110"/>
      <c r="I96" s="110"/>
      <c r="J96" s="110"/>
      <c r="K96" s="110"/>
      <c r="L96" s="110"/>
      <c r="M96" s="110"/>
      <c r="N96" s="110"/>
      <c r="O96" s="110"/>
    </row>
    <row r="97" spans="1:15" ht="12" customHeight="1" x14ac:dyDescent="0.15">
      <c r="A97" s="110"/>
      <c r="B97" s="110"/>
      <c r="C97" s="110"/>
      <c r="D97" s="110"/>
      <c r="E97" s="110"/>
      <c r="F97" s="110"/>
      <c r="G97" s="110"/>
      <c r="H97" s="110"/>
      <c r="I97" s="110"/>
      <c r="J97" s="110"/>
      <c r="K97" s="110"/>
      <c r="L97" s="110"/>
      <c r="M97" s="110"/>
      <c r="N97" s="110"/>
      <c r="O97" s="110"/>
    </row>
    <row r="98" spans="1:15" ht="12" customHeight="1" x14ac:dyDescent="0.15">
      <c r="A98" s="110"/>
      <c r="B98" s="110"/>
      <c r="C98" s="110"/>
      <c r="D98" s="110"/>
      <c r="E98" s="110"/>
      <c r="F98" s="110"/>
      <c r="G98" s="110"/>
      <c r="H98" s="110"/>
      <c r="I98" s="110"/>
      <c r="J98" s="110"/>
      <c r="K98" s="110"/>
      <c r="L98" s="110"/>
      <c r="M98" s="110"/>
      <c r="N98" s="110"/>
      <c r="O98" s="110"/>
    </row>
    <row r="99" spans="1:15" ht="12" customHeight="1" x14ac:dyDescent="0.15">
      <c r="A99" s="110"/>
      <c r="B99" s="110"/>
      <c r="C99" s="110"/>
      <c r="D99" s="110"/>
      <c r="E99" s="110"/>
      <c r="F99" s="110"/>
      <c r="G99" s="110"/>
      <c r="H99" s="110"/>
      <c r="I99" s="110"/>
      <c r="J99" s="110"/>
      <c r="K99" s="110"/>
      <c r="L99" s="110"/>
      <c r="M99" s="110"/>
      <c r="N99" s="110"/>
      <c r="O99" s="110"/>
    </row>
    <row r="100" spans="1:15" ht="12" customHeight="1" x14ac:dyDescent="0.15">
      <c r="A100" s="110"/>
      <c r="B100" s="110"/>
      <c r="C100" s="110"/>
      <c r="D100" s="110"/>
      <c r="E100" s="110"/>
      <c r="F100" s="110"/>
      <c r="G100" s="110"/>
      <c r="H100" s="110"/>
      <c r="I100" s="110"/>
      <c r="J100" s="110"/>
      <c r="K100" s="110"/>
      <c r="L100" s="110"/>
      <c r="M100" s="110"/>
      <c r="N100" s="110"/>
      <c r="O100" s="110"/>
    </row>
    <row r="101" spans="1:15" ht="12" customHeight="1" x14ac:dyDescent="0.15">
      <c r="A101" s="110"/>
      <c r="B101" s="110"/>
      <c r="C101" s="110"/>
      <c r="D101" s="110"/>
      <c r="E101" s="110"/>
      <c r="F101" s="110"/>
      <c r="G101" s="110"/>
      <c r="H101" s="110"/>
      <c r="I101" s="110"/>
      <c r="J101" s="110"/>
      <c r="K101" s="110"/>
      <c r="L101" s="110"/>
      <c r="M101" s="110"/>
      <c r="N101" s="110"/>
      <c r="O101" s="110"/>
    </row>
    <row r="102" spans="1:15" ht="12" customHeight="1" x14ac:dyDescent="0.15">
      <c r="A102" s="110"/>
      <c r="B102" s="110"/>
      <c r="C102" s="110"/>
      <c r="D102" s="110"/>
      <c r="E102" s="110"/>
      <c r="F102" s="110"/>
      <c r="G102" s="110"/>
      <c r="H102" s="110"/>
      <c r="I102" s="110"/>
      <c r="J102" s="110"/>
      <c r="K102" s="110"/>
      <c r="L102" s="110"/>
      <c r="M102" s="110"/>
      <c r="N102" s="110"/>
      <c r="O102" s="110"/>
    </row>
    <row r="103" spans="1:15" ht="12" customHeight="1" x14ac:dyDescent="0.15">
      <c r="A103" s="110"/>
      <c r="B103" s="110"/>
      <c r="C103" s="110"/>
      <c r="D103" s="110"/>
      <c r="E103" s="110"/>
      <c r="F103" s="110"/>
      <c r="G103" s="110"/>
      <c r="H103" s="110"/>
      <c r="I103" s="110"/>
      <c r="J103" s="110"/>
      <c r="K103" s="110"/>
      <c r="L103" s="110"/>
      <c r="M103" s="110"/>
      <c r="N103" s="110"/>
      <c r="O103" s="110"/>
    </row>
    <row r="104" spans="1:15" ht="12" customHeight="1" x14ac:dyDescent="0.15">
      <c r="A104" s="110"/>
      <c r="B104" s="110"/>
      <c r="C104" s="110"/>
      <c r="D104" s="110"/>
      <c r="E104" s="110"/>
      <c r="F104" s="110"/>
      <c r="G104" s="110"/>
      <c r="H104" s="110"/>
      <c r="I104" s="110"/>
      <c r="J104" s="110"/>
      <c r="K104" s="110"/>
      <c r="L104" s="110"/>
      <c r="M104" s="110"/>
      <c r="N104" s="110"/>
      <c r="O104" s="110"/>
    </row>
    <row r="105" spans="1:15" ht="12" customHeight="1" x14ac:dyDescent="0.15">
      <c r="A105" s="110"/>
      <c r="B105" s="110"/>
      <c r="C105" s="110"/>
      <c r="D105" s="110"/>
      <c r="E105" s="110"/>
      <c r="F105" s="110"/>
      <c r="G105" s="110"/>
      <c r="H105" s="110"/>
      <c r="I105" s="110"/>
      <c r="J105" s="110"/>
      <c r="K105" s="110"/>
      <c r="L105" s="110"/>
      <c r="M105" s="110"/>
      <c r="N105" s="110"/>
      <c r="O105" s="110"/>
    </row>
    <row r="106" spans="1:15" ht="12" customHeight="1" x14ac:dyDescent="0.15">
      <c r="A106" s="110"/>
      <c r="B106" s="110"/>
      <c r="C106" s="110"/>
      <c r="D106" s="110"/>
      <c r="E106" s="110"/>
      <c r="F106" s="110"/>
      <c r="G106" s="110"/>
      <c r="H106" s="110"/>
      <c r="I106" s="110"/>
      <c r="J106" s="110"/>
      <c r="K106" s="110"/>
      <c r="L106" s="110"/>
      <c r="M106" s="110"/>
      <c r="N106" s="110"/>
      <c r="O106" s="110"/>
    </row>
    <row r="107" spans="1:15" ht="12" customHeight="1" x14ac:dyDescent="0.15">
      <c r="A107" s="110"/>
      <c r="B107" s="110"/>
      <c r="C107" s="110"/>
      <c r="D107" s="110"/>
      <c r="E107" s="110"/>
      <c r="F107" s="110"/>
      <c r="G107" s="110"/>
      <c r="H107" s="110"/>
      <c r="I107" s="110"/>
      <c r="J107" s="110"/>
      <c r="K107" s="110"/>
      <c r="L107" s="110"/>
      <c r="M107" s="110"/>
      <c r="N107" s="110"/>
      <c r="O107" s="110"/>
    </row>
    <row r="108" spans="1:15" ht="12" customHeight="1" x14ac:dyDescent="0.15">
      <c r="A108" s="110"/>
      <c r="B108" s="110"/>
      <c r="C108" s="110"/>
      <c r="D108" s="110"/>
      <c r="E108" s="110"/>
      <c r="F108" s="110"/>
      <c r="G108" s="110"/>
      <c r="H108" s="110"/>
      <c r="I108" s="110"/>
      <c r="J108" s="110"/>
      <c r="K108" s="110"/>
      <c r="L108" s="110"/>
      <c r="M108" s="110"/>
      <c r="N108" s="110"/>
      <c r="O108" s="110"/>
    </row>
    <row r="109" spans="1:15" ht="12" customHeight="1" x14ac:dyDescent="0.15">
      <c r="A109" s="110"/>
      <c r="B109" s="110"/>
      <c r="C109" s="110"/>
      <c r="D109" s="110"/>
      <c r="E109" s="110"/>
      <c r="F109" s="110"/>
      <c r="G109" s="110"/>
      <c r="H109" s="110"/>
      <c r="I109" s="110"/>
      <c r="J109" s="110"/>
      <c r="K109" s="110"/>
      <c r="L109" s="110"/>
      <c r="M109" s="110"/>
      <c r="N109" s="110"/>
      <c r="O109" s="110"/>
    </row>
    <row r="110" spans="1:15" ht="12" customHeight="1" x14ac:dyDescent="0.15">
      <c r="A110" s="110"/>
      <c r="B110" s="110"/>
      <c r="C110" s="110"/>
      <c r="D110" s="110"/>
      <c r="E110" s="110"/>
      <c r="F110" s="110"/>
      <c r="G110" s="110"/>
      <c r="H110" s="110"/>
      <c r="I110" s="110"/>
      <c r="J110" s="110"/>
      <c r="K110" s="110"/>
      <c r="L110" s="110"/>
      <c r="M110" s="110"/>
      <c r="N110" s="110"/>
      <c r="O110" s="110"/>
    </row>
    <row r="111" spans="1:15" ht="12" customHeight="1" x14ac:dyDescent="0.15">
      <c r="A111" s="110"/>
      <c r="B111" s="110"/>
      <c r="C111" s="110"/>
      <c r="D111" s="110"/>
      <c r="E111" s="110"/>
      <c r="F111" s="110"/>
      <c r="G111" s="110"/>
      <c r="H111" s="110"/>
      <c r="I111" s="110"/>
      <c r="J111" s="110"/>
      <c r="K111" s="110"/>
      <c r="L111" s="110"/>
      <c r="M111" s="110"/>
      <c r="N111" s="110"/>
      <c r="O111" s="110"/>
    </row>
    <row r="112" spans="1:15" ht="12" customHeight="1" x14ac:dyDescent="0.15">
      <c r="A112" s="110"/>
      <c r="B112" s="110"/>
      <c r="C112" s="110"/>
      <c r="D112" s="110"/>
      <c r="E112" s="110"/>
      <c r="F112" s="110"/>
      <c r="G112" s="110"/>
      <c r="H112" s="110"/>
      <c r="I112" s="110"/>
      <c r="J112" s="110"/>
      <c r="K112" s="110"/>
      <c r="L112" s="110"/>
      <c r="M112" s="110"/>
      <c r="N112" s="110"/>
      <c r="O112" s="110"/>
    </row>
    <row r="113" spans="1:15" ht="12" customHeight="1" x14ac:dyDescent="0.15">
      <c r="A113" s="110"/>
      <c r="B113" s="110"/>
      <c r="C113" s="110"/>
      <c r="D113" s="110"/>
      <c r="E113" s="110"/>
      <c r="F113" s="110"/>
      <c r="G113" s="110"/>
      <c r="H113" s="110"/>
      <c r="I113" s="110"/>
      <c r="J113" s="110"/>
      <c r="K113" s="110"/>
      <c r="L113" s="110"/>
      <c r="M113" s="110"/>
      <c r="N113" s="110"/>
      <c r="O113" s="110"/>
    </row>
    <row r="114" spans="1:15" ht="12" customHeight="1" x14ac:dyDescent="0.15">
      <c r="A114" s="110"/>
      <c r="B114" s="110"/>
      <c r="C114" s="110"/>
      <c r="D114" s="110"/>
      <c r="E114" s="110"/>
      <c r="F114" s="110"/>
      <c r="G114" s="110"/>
      <c r="H114" s="110"/>
      <c r="I114" s="110"/>
      <c r="J114" s="110"/>
      <c r="K114" s="110"/>
      <c r="L114" s="110"/>
      <c r="M114" s="110"/>
      <c r="N114" s="110"/>
      <c r="O114" s="110"/>
    </row>
    <row r="115" spans="1:15" ht="12" customHeight="1" x14ac:dyDescent="0.15">
      <c r="A115" s="110"/>
      <c r="B115" s="110"/>
      <c r="C115" s="110"/>
      <c r="D115" s="110"/>
      <c r="E115" s="110"/>
      <c r="F115" s="110"/>
      <c r="G115" s="110"/>
      <c r="H115" s="110"/>
      <c r="I115" s="110"/>
      <c r="J115" s="110"/>
      <c r="K115" s="110"/>
      <c r="L115" s="110"/>
      <c r="M115" s="110"/>
      <c r="N115" s="110"/>
      <c r="O115" s="110"/>
    </row>
    <row r="116" spans="1:15" ht="12" customHeight="1" x14ac:dyDescent="0.15">
      <c r="A116" s="110"/>
      <c r="B116" s="110"/>
      <c r="C116" s="110"/>
      <c r="D116" s="110"/>
      <c r="E116" s="110"/>
      <c r="F116" s="110"/>
      <c r="G116" s="110"/>
      <c r="H116" s="110"/>
      <c r="I116" s="110"/>
      <c r="J116" s="110"/>
      <c r="K116" s="110"/>
      <c r="L116" s="110"/>
      <c r="M116" s="110"/>
      <c r="N116" s="110"/>
      <c r="O116" s="110"/>
    </row>
    <row r="117" spans="1:15" ht="12" customHeight="1" x14ac:dyDescent="0.15">
      <c r="A117" s="110"/>
      <c r="B117" s="110"/>
      <c r="C117" s="110"/>
      <c r="D117" s="110"/>
      <c r="E117" s="110"/>
      <c r="F117" s="110"/>
      <c r="G117" s="110"/>
      <c r="H117" s="110"/>
      <c r="I117" s="110"/>
      <c r="J117" s="110"/>
      <c r="K117" s="110"/>
      <c r="L117" s="110"/>
      <c r="M117" s="110"/>
      <c r="N117" s="110"/>
      <c r="O117" s="110"/>
    </row>
    <row r="118" spans="1:15" ht="12" customHeight="1" x14ac:dyDescent="0.15">
      <c r="A118" s="110"/>
      <c r="B118" s="110"/>
      <c r="C118" s="110"/>
      <c r="D118" s="110"/>
      <c r="E118" s="110"/>
      <c r="F118" s="110"/>
      <c r="G118" s="110"/>
      <c r="H118" s="110"/>
      <c r="I118" s="110"/>
      <c r="J118" s="110"/>
      <c r="K118" s="110"/>
      <c r="L118" s="110"/>
      <c r="M118" s="110"/>
      <c r="N118" s="110"/>
      <c r="O118" s="110"/>
    </row>
    <row r="119" spans="1:15" ht="12" customHeight="1" x14ac:dyDescent="0.15">
      <c r="A119" s="110"/>
      <c r="B119" s="110"/>
      <c r="C119" s="110"/>
      <c r="D119" s="110"/>
      <c r="E119" s="110"/>
      <c r="F119" s="110"/>
      <c r="G119" s="110"/>
      <c r="H119" s="110"/>
      <c r="I119" s="110"/>
      <c r="J119" s="110"/>
      <c r="K119" s="110"/>
      <c r="L119" s="110"/>
      <c r="M119" s="110"/>
      <c r="N119" s="110"/>
      <c r="O119" s="110"/>
    </row>
    <row r="120" spans="1:15" ht="12" customHeight="1" x14ac:dyDescent="0.15">
      <c r="A120" s="110"/>
      <c r="B120" s="110"/>
      <c r="C120" s="110"/>
      <c r="D120" s="110"/>
      <c r="E120" s="110"/>
      <c r="F120" s="110"/>
      <c r="G120" s="110"/>
      <c r="H120" s="110"/>
      <c r="I120" s="110"/>
      <c r="J120" s="110"/>
      <c r="K120" s="110"/>
      <c r="L120" s="110"/>
      <c r="M120" s="110"/>
      <c r="N120" s="110"/>
      <c r="O120" s="110"/>
    </row>
    <row r="121" spans="1:15" ht="12" customHeight="1" x14ac:dyDescent="0.15">
      <c r="A121" s="110"/>
      <c r="B121" s="110"/>
      <c r="C121" s="110"/>
      <c r="D121" s="110"/>
      <c r="E121" s="110"/>
      <c r="F121" s="110"/>
      <c r="G121" s="110"/>
      <c r="H121" s="110"/>
      <c r="I121" s="110"/>
      <c r="J121" s="110"/>
      <c r="K121" s="110"/>
      <c r="L121" s="110"/>
      <c r="M121" s="110"/>
      <c r="N121" s="110"/>
      <c r="O121" s="110"/>
    </row>
    <row r="122" spans="1:15" ht="12" customHeight="1" x14ac:dyDescent="0.15">
      <c r="A122" s="110"/>
      <c r="B122" s="110"/>
      <c r="C122" s="110"/>
      <c r="D122" s="110"/>
      <c r="E122" s="110"/>
      <c r="F122" s="110"/>
      <c r="G122" s="110"/>
      <c r="H122" s="110"/>
      <c r="I122" s="110"/>
      <c r="J122" s="110"/>
      <c r="K122" s="110"/>
      <c r="L122" s="110"/>
      <c r="M122" s="110"/>
      <c r="N122" s="110"/>
      <c r="O122" s="110"/>
    </row>
    <row r="123" spans="1:15" ht="12" customHeight="1" x14ac:dyDescent="0.15">
      <c r="A123" s="110"/>
      <c r="B123" s="110"/>
      <c r="C123" s="110"/>
      <c r="D123" s="110"/>
      <c r="E123" s="110"/>
      <c r="F123" s="110"/>
      <c r="G123" s="110"/>
      <c r="H123" s="110"/>
      <c r="I123" s="110"/>
      <c r="J123" s="110"/>
      <c r="K123" s="110"/>
      <c r="L123" s="110"/>
      <c r="M123" s="110"/>
      <c r="N123" s="110"/>
      <c r="O123" s="110"/>
    </row>
    <row r="124" spans="1:15" ht="12" customHeight="1" x14ac:dyDescent="0.15">
      <c r="A124" s="110"/>
      <c r="B124" s="110"/>
      <c r="C124" s="110"/>
      <c r="D124" s="110"/>
      <c r="E124" s="110"/>
      <c r="F124" s="110"/>
      <c r="G124" s="110"/>
      <c r="H124" s="110"/>
      <c r="I124" s="110"/>
      <c r="J124" s="110"/>
      <c r="K124" s="110"/>
      <c r="L124" s="110"/>
      <c r="M124" s="110"/>
      <c r="N124" s="110"/>
      <c r="O124" s="110"/>
    </row>
    <row r="125" spans="1:15" ht="12" customHeight="1" x14ac:dyDescent="0.15">
      <c r="A125" s="110"/>
      <c r="B125" s="110"/>
      <c r="C125" s="110"/>
      <c r="D125" s="110"/>
      <c r="E125" s="110"/>
      <c r="F125" s="110"/>
      <c r="G125" s="110"/>
      <c r="H125" s="110"/>
      <c r="I125" s="110"/>
      <c r="J125" s="110"/>
      <c r="K125" s="110"/>
      <c r="L125" s="110"/>
      <c r="M125" s="110"/>
      <c r="N125" s="110"/>
      <c r="O125" s="110"/>
    </row>
    <row r="126" spans="1:15" ht="12" customHeight="1" x14ac:dyDescent="0.15">
      <c r="A126" s="110"/>
      <c r="B126" s="110"/>
      <c r="C126" s="110"/>
      <c r="D126" s="110"/>
      <c r="E126" s="110"/>
      <c r="F126" s="110"/>
      <c r="G126" s="110"/>
      <c r="H126" s="110"/>
      <c r="I126" s="110"/>
      <c r="J126" s="110"/>
      <c r="K126" s="110"/>
      <c r="L126" s="110"/>
      <c r="M126" s="110"/>
      <c r="N126" s="110"/>
      <c r="O126" s="110"/>
    </row>
    <row r="127" spans="1:15" ht="12" customHeight="1" x14ac:dyDescent="0.15">
      <c r="A127" s="110"/>
      <c r="B127" s="110"/>
      <c r="C127" s="110"/>
      <c r="D127" s="110"/>
      <c r="E127" s="110"/>
      <c r="F127" s="110"/>
      <c r="G127" s="110"/>
      <c r="H127" s="110"/>
      <c r="I127" s="110"/>
      <c r="J127" s="110"/>
      <c r="K127" s="110"/>
      <c r="L127" s="110"/>
      <c r="M127" s="110"/>
      <c r="N127" s="110"/>
      <c r="O127" s="110"/>
    </row>
    <row r="128" spans="1:15" ht="12" customHeight="1" x14ac:dyDescent="0.15">
      <c r="A128" s="110"/>
      <c r="B128" s="110"/>
      <c r="C128" s="110"/>
      <c r="D128" s="110"/>
      <c r="E128" s="110"/>
      <c r="F128" s="110"/>
      <c r="G128" s="110"/>
      <c r="H128" s="110"/>
      <c r="I128" s="110"/>
      <c r="J128" s="110"/>
      <c r="K128" s="110"/>
      <c r="L128" s="110"/>
      <c r="M128" s="110"/>
      <c r="N128" s="110"/>
      <c r="O128" s="110"/>
    </row>
    <row r="129" spans="1:15" ht="12" customHeight="1" x14ac:dyDescent="0.15">
      <c r="A129" s="110"/>
      <c r="B129" s="110"/>
      <c r="C129" s="110"/>
      <c r="D129" s="110"/>
      <c r="E129" s="110"/>
      <c r="F129" s="110"/>
      <c r="G129" s="110"/>
      <c r="H129" s="110"/>
      <c r="I129" s="110"/>
      <c r="J129" s="110"/>
      <c r="K129" s="110"/>
      <c r="L129" s="110"/>
      <c r="M129" s="110"/>
      <c r="N129" s="110"/>
      <c r="O129" s="110"/>
    </row>
    <row r="130" spans="1:15" ht="12" customHeight="1" x14ac:dyDescent="0.15">
      <c r="A130" s="110"/>
      <c r="B130" s="110"/>
      <c r="C130" s="110"/>
      <c r="D130" s="110"/>
      <c r="E130" s="110"/>
      <c r="F130" s="110"/>
      <c r="G130" s="110"/>
      <c r="H130" s="110"/>
      <c r="I130" s="110"/>
      <c r="J130" s="110"/>
      <c r="K130" s="110"/>
      <c r="L130" s="110"/>
      <c r="M130" s="110"/>
      <c r="N130" s="110"/>
      <c r="O130" s="110"/>
    </row>
    <row r="131" spans="1:15" ht="12" customHeight="1" x14ac:dyDescent="0.15">
      <c r="A131" s="110"/>
      <c r="B131" s="110"/>
      <c r="C131" s="110"/>
      <c r="D131" s="110"/>
      <c r="E131" s="110"/>
      <c r="F131" s="110"/>
      <c r="G131" s="110"/>
      <c r="H131" s="110"/>
      <c r="I131" s="110"/>
      <c r="J131" s="110"/>
      <c r="K131" s="110"/>
      <c r="L131" s="110"/>
      <c r="M131" s="110"/>
      <c r="N131" s="110"/>
      <c r="O131" s="110"/>
    </row>
    <row r="132" spans="1:15" ht="12" customHeight="1" x14ac:dyDescent="0.15">
      <c r="A132" s="110"/>
      <c r="B132" s="110"/>
      <c r="C132" s="110"/>
      <c r="D132" s="110"/>
      <c r="E132" s="110"/>
      <c r="F132" s="110"/>
      <c r="G132" s="110"/>
      <c r="H132" s="110"/>
      <c r="I132" s="110"/>
      <c r="J132" s="110"/>
      <c r="K132" s="110"/>
      <c r="L132" s="110"/>
      <c r="M132" s="110"/>
      <c r="N132" s="110"/>
      <c r="O132" s="110"/>
    </row>
    <row r="133" spans="1:15" ht="12" customHeight="1" x14ac:dyDescent="0.15">
      <c r="A133" s="110"/>
      <c r="B133" s="110"/>
      <c r="C133" s="110"/>
      <c r="D133" s="110"/>
      <c r="E133" s="110"/>
      <c r="F133" s="110"/>
      <c r="G133" s="110"/>
      <c r="H133" s="110"/>
      <c r="I133" s="110"/>
      <c r="J133" s="110"/>
      <c r="K133" s="110"/>
      <c r="L133" s="110"/>
      <c r="M133" s="110"/>
      <c r="N133" s="110"/>
      <c r="O133" s="110"/>
    </row>
    <row r="134" spans="1:15" ht="12" customHeight="1" x14ac:dyDescent="0.15">
      <c r="A134" s="110"/>
      <c r="B134" s="110"/>
      <c r="C134" s="110"/>
      <c r="D134" s="110"/>
      <c r="E134" s="110"/>
      <c r="F134" s="110"/>
      <c r="G134" s="110"/>
      <c r="H134" s="110"/>
      <c r="I134" s="110"/>
      <c r="J134" s="110"/>
      <c r="K134" s="110"/>
      <c r="L134" s="110"/>
      <c r="M134" s="110"/>
      <c r="N134" s="110"/>
      <c r="O134" s="110"/>
    </row>
    <row r="135" spans="1:15" ht="12" customHeight="1" x14ac:dyDescent="0.15">
      <c r="A135" s="110"/>
      <c r="B135" s="110"/>
      <c r="C135" s="110"/>
      <c r="D135" s="110"/>
      <c r="E135" s="110"/>
      <c r="F135" s="110"/>
      <c r="G135" s="110"/>
      <c r="H135" s="110"/>
      <c r="I135" s="110"/>
      <c r="J135" s="110"/>
      <c r="K135" s="110"/>
      <c r="L135" s="110"/>
      <c r="M135" s="110"/>
      <c r="N135" s="110"/>
      <c r="O135" s="110"/>
    </row>
    <row r="136" spans="1:15" ht="12" customHeight="1" x14ac:dyDescent="0.15">
      <c r="A136" s="110"/>
      <c r="B136" s="110"/>
      <c r="C136" s="110"/>
      <c r="D136" s="110"/>
      <c r="E136" s="110"/>
      <c r="F136" s="110"/>
      <c r="G136" s="110"/>
      <c r="H136" s="110"/>
      <c r="I136" s="110"/>
      <c r="J136" s="110"/>
      <c r="K136" s="110"/>
      <c r="L136" s="110"/>
      <c r="M136" s="110"/>
      <c r="N136" s="110"/>
      <c r="O136" s="110"/>
    </row>
    <row r="137" spans="1:15" ht="12" customHeight="1" x14ac:dyDescent="0.15">
      <c r="A137" s="110"/>
      <c r="B137" s="110"/>
      <c r="C137" s="110"/>
      <c r="D137" s="110"/>
      <c r="E137" s="110"/>
      <c r="F137" s="110"/>
      <c r="G137" s="110"/>
      <c r="H137" s="110"/>
      <c r="I137" s="110"/>
      <c r="J137" s="110"/>
      <c r="K137" s="110"/>
      <c r="L137" s="110"/>
      <c r="M137" s="110"/>
      <c r="N137" s="110"/>
      <c r="O137" s="110"/>
    </row>
    <row r="138" spans="1:15" ht="12" customHeight="1" x14ac:dyDescent="0.15">
      <c r="A138" s="110"/>
      <c r="B138" s="110"/>
      <c r="C138" s="110"/>
      <c r="D138" s="110"/>
      <c r="E138" s="110"/>
      <c r="F138" s="110"/>
      <c r="G138" s="110"/>
      <c r="H138" s="110"/>
      <c r="I138" s="110"/>
      <c r="J138" s="110"/>
      <c r="K138" s="110"/>
      <c r="L138" s="110"/>
      <c r="M138" s="110"/>
      <c r="N138" s="110"/>
      <c r="O138" s="110"/>
    </row>
    <row r="139" spans="1:15" ht="12" customHeight="1" x14ac:dyDescent="0.15">
      <c r="A139" s="110"/>
      <c r="B139" s="110"/>
      <c r="C139" s="110"/>
      <c r="D139" s="110"/>
      <c r="E139" s="110"/>
      <c r="F139" s="110"/>
      <c r="G139" s="110"/>
      <c r="H139" s="110"/>
      <c r="I139" s="110"/>
      <c r="J139" s="110"/>
      <c r="K139" s="110"/>
      <c r="L139" s="110"/>
      <c r="M139" s="110"/>
      <c r="N139" s="110"/>
      <c r="O139" s="110"/>
    </row>
    <row r="140" spans="1:15" ht="12" customHeight="1" x14ac:dyDescent="0.15">
      <c r="A140" s="110"/>
      <c r="B140" s="110"/>
      <c r="C140" s="110"/>
      <c r="D140" s="110"/>
      <c r="E140" s="110"/>
      <c r="F140" s="110"/>
      <c r="G140" s="110"/>
      <c r="H140" s="110"/>
      <c r="I140" s="110"/>
      <c r="J140" s="110"/>
      <c r="K140" s="110"/>
      <c r="L140" s="110"/>
      <c r="M140" s="110"/>
      <c r="N140" s="110"/>
      <c r="O140" s="110"/>
    </row>
    <row r="141" spans="1:15" ht="12" customHeight="1" x14ac:dyDescent="0.15">
      <c r="A141" s="110"/>
      <c r="B141" s="110"/>
      <c r="C141" s="110"/>
      <c r="D141" s="110"/>
      <c r="E141" s="110"/>
      <c r="F141" s="110"/>
      <c r="G141" s="110"/>
      <c r="H141" s="110"/>
      <c r="I141" s="110"/>
      <c r="J141" s="110"/>
      <c r="K141" s="110"/>
      <c r="L141" s="110"/>
      <c r="M141" s="110"/>
      <c r="N141" s="110"/>
      <c r="O141" s="110"/>
    </row>
    <row r="142" spans="1:15" ht="12" customHeight="1" x14ac:dyDescent="0.15">
      <c r="A142" s="110"/>
      <c r="B142" s="110"/>
      <c r="C142" s="110"/>
      <c r="D142" s="110"/>
      <c r="E142" s="110"/>
      <c r="F142" s="110"/>
      <c r="G142" s="110"/>
      <c r="H142" s="110"/>
      <c r="I142" s="110"/>
      <c r="J142" s="110"/>
      <c r="K142" s="110"/>
      <c r="L142" s="110"/>
      <c r="M142" s="110"/>
      <c r="N142" s="110"/>
      <c r="O142" s="110"/>
    </row>
    <row r="143" spans="1:15" ht="12" customHeight="1" x14ac:dyDescent="0.15">
      <c r="A143" s="110"/>
      <c r="B143" s="110"/>
      <c r="C143" s="110"/>
      <c r="D143" s="110"/>
      <c r="E143" s="110"/>
      <c r="F143" s="110"/>
      <c r="G143" s="110"/>
      <c r="H143" s="110"/>
      <c r="I143" s="110"/>
      <c r="J143" s="110"/>
      <c r="K143" s="110"/>
      <c r="L143" s="110"/>
      <c r="M143" s="110"/>
      <c r="N143" s="110"/>
      <c r="O143" s="110"/>
    </row>
    <row r="144" spans="1:15" ht="12" customHeight="1" x14ac:dyDescent="0.15">
      <c r="A144" s="110"/>
      <c r="B144" s="110"/>
      <c r="C144" s="110"/>
      <c r="D144" s="110"/>
      <c r="E144" s="110"/>
      <c r="F144" s="110"/>
      <c r="G144" s="110"/>
      <c r="H144" s="110"/>
      <c r="I144" s="110"/>
      <c r="J144" s="110"/>
      <c r="K144" s="110"/>
      <c r="L144" s="110"/>
      <c r="M144" s="110"/>
      <c r="N144" s="110"/>
      <c r="O144" s="110"/>
    </row>
    <row r="145" spans="1:15" ht="12" customHeight="1" x14ac:dyDescent="0.15">
      <c r="A145" s="110"/>
      <c r="B145" s="110"/>
      <c r="C145" s="110"/>
      <c r="D145" s="110"/>
      <c r="E145" s="110"/>
      <c r="F145" s="110"/>
      <c r="G145" s="110"/>
      <c r="H145" s="110"/>
      <c r="I145" s="110"/>
      <c r="J145" s="110"/>
      <c r="K145" s="110"/>
      <c r="L145" s="110"/>
      <c r="M145" s="110"/>
      <c r="N145" s="110"/>
      <c r="O145" s="110"/>
    </row>
    <row r="146" spans="1:15" ht="12" customHeight="1" x14ac:dyDescent="0.15">
      <c r="A146" s="110"/>
      <c r="B146" s="110"/>
      <c r="C146" s="110"/>
      <c r="D146" s="110"/>
      <c r="E146" s="110"/>
      <c r="F146" s="110"/>
      <c r="G146" s="110"/>
      <c r="H146" s="110"/>
      <c r="I146" s="110"/>
      <c r="J146" s="110"/>
      <c r="K146" s="110"/>
      <c r="L146" s="110"/>
      <c r="M146" s="110"/>
      <c r="N146" s="110"/>
      <c r="O146" s="110"/>
    </row>
    <row r="147" spans="1:15" ht="12" customHeight="1" x14ac:dyDescent="0.15">
      <c r="A147" s="110"/>
      <c r="B147" s="110"/>
      <c r="C147" s="110"/>
      <c r="D147" s="110"/>
      <c r="E147" s="110"/>
      <c r="F147" s="110"/>
      <c r="G147" s="110"/>
      <c r="H147" s="110"/>
      <c r="I147" s="110"/>
      <c r="J147" s="110"/>
      <c r="K147" s="110"/>
      <c r="L147" s="110"/>
      <c r="M147" s="110"/>
      <c r="N147" s="110"/>
      <c r="O147" s="110"/>
    </row>
    <row r="148" spans="1:15" ht="12" customHeight="1" x14ac:dyDescent="0.15">
      <c r="A148" s="110"/>
      <c r="B148" s="110"/>
      <c r="C148" s="110"/>
      <c r="D148" s="110"/>
      <c r="E148" s="110"/>
      <c r="F148" s="110"/>
      <c r="G148" s="110"/>
      <c r="H148" s="110"/>
      <c r="I148" s="110"/>
      <c r="J148" s="110"/>
      <c r="K148" s="110"/>
      <c r="L148" s="110"/>
      <c r="M148" s="110"/>
      <c r="N148" s="110"/>
      <c r="O148" s="110"/>
    </row>
    <row r="149" spans="1:15" ht="12" customHeight="1" x14ac:dyDescent="0.15">
      <c r="A149" s="110"/>
      <c r="B149" s="110"/>
      <c r="C149" s="110"/>
      <c r="D149" s="110"/>
      <c r="E149" s="110"/>
      <c r="F149" s="110"/>
      <c r="G149" s="110"/>
      <c r="H149" s="110"/>
      <c r="I149" s="110"/>
      <c r="J149" s="110"/>
      <c r="K149" s="110"/>
      <c r="L149" s="110"/>
      <c r="M149" s="110"/>
      <c r="N149" s="110"/>
      <c r="O149" s="110"/>
    </row>
    <row r="150" spans="1:15" ht="12" customHeight="1" x14ac:dyDescent="0.15">
      <c r="A150" s="110"/>
      <c r="B150" s="110"/>
      <c r="C150" s="110"/>
      <c r="D150" s="110"/>
      <c r="E150" s="110"/>
      <c r="F150" s="110"/>
      <c r="G150" s="110"/>
      <c r="H150" s="110"/>
      <c r="I150" s="110"/>
      <c r="J150" s="110"/>
      <c r="K150" s="110"/>
      <c r="L150" s="110"/>
      <c r="M150" s="110"/>
      <c r="N150" s="110"/>
      <c r="O150" s="110"/>
    </row>
    <row r="151" spans="1:15" ht="12" customHeight="1" x14ac:dyDescent="0.15">
      <c r="A151" s="110"/>
      <c r="B151" s="110"/>
      <c r="C151" s="110"/>
      <c r="D151" s="110"/>
      <c r="E151" s="110"/>
      <c r="F151" s="110"/>
      <c r="G151" s="110"/>
      <c r="H151" s="110"/>
      <c r="I151" s="110"/>
      <c r="J151" s="110"/>
      <c r="K151" s="110"/>
      <c r="L151" s="110"/>
      <c r="M151" s="110"/>
      <c r="N151" s="110"/>
      <c r="O151" s="110"/>
    </row>
    <row r="152" spans="1:15" ht="12" customHeight="1" x14ac:dyDescent="0.15">
      <c r="A152" s="110"/>
      <c r="B152" s="110"/>
      <c r="C152" s="110"/>
      <c r="D152" s="110"/>
      <c r="E152" s="110"/>
      <c r="F152" s="110"/>
      <c r="G152" s="110"/>
      <c r="H152" s="110"/>
      <c r="I152" s="110"/>
      <c r="J152" s="110"/>
      <c r="K152" s="110"/>
      <c r="L152" s="110"/>
      <c r="M152" s="110"/>
      <c r="N152" s="110"/>
      <c r="O152" s="110"/>
    </row>
    <row r="153" spans="1:15" ht="12" customHeight="1" x14ac:dyDescent="0.15">
      <c r="A153" s="110"/>
      <c r="B153" s="110"/>
      <c r="C153" s="110"/>
      <c r="D153" s="110"/>
      <c r="E153" s="110"/>
      <c r="F153" s="110"/>
      <c r="G153" s="110"/>
      <c r="H153" s="110"/>
      <c r="I153" s="110"/>
      <c r="J153" s="110"/>
      <c r="K153" s="110"/>
      <c r="L153" s="110"/>
      <c r="M153" s="110"/>
      <c r="N153" s="110"/>
      <c r="O153" s="110"/>
    </row>
    <row r="154" spans="1:15" ht="12" customHeight="1" x14ac:dyDescent="0.15">
      <c r="A154" s="110"/>
      <c r="B154" s="110"/>
      <c r="C154" s="110"/>
      <c r="D154" s="110"/>
      <c r="E154" s="110"/>
      <c r="F154" s="110"/>
      <c r="G154" s="110"/>
      <c r="H154" s="110"/>
      <c r="I154" s="110"/>
      <c r="J154" s="110"/>
      <c r="K154" s="110"/>
      <c r="L154" s="110"/>
      <c r="M154" s="110"/>
      <c r="N154" s="110"/>
      <c r="O154" s="110"/>
    </row>
    <row r="155" spans="1:15" ht="12" customHeight="1" x14ac:dyDescent="0.15">
      <c r="A155" s="110"/>
      <c r="B155" s="110"/>
      <c r="C155" s="110"/>
      <c r="D155" s="110"/>
      <c r="E155" s="110"/>
      <c r="F155" s="110"/>
      <c r="G155" s="110"/>
      <c r="H155" s="110"/>
      <c r="I155" s="110"/>
      <c r="J155" s="110"/>
      <c r="K155" s="110"/>
      <c r="L155" s="110"/>
      <c r="M155" s="110"/>
      <c r="N155" s="110"/>
      <c r="O155" s="110"/>
    </row>
    <row r="156" spans="1:15" ht="12" customHeight="1" x14ac:dyDescent="0.15">
      <c r="A156" s="110"/>
      <c r="B156" s="110"/>
      <c r="C156" s="110"/>
      <c r="D156" s="110"/>
      <c r="E156" s="110"/>
      <c r="F156" s="110"/>
      <c r="G156" s="110"/>
      <c r="H156" s="110"/>
      <c r="I156" s="110"/>
      <c r="J156" s="110"/>
      <c r="K156" s="110"/>
      <c r="L156" s="110"/>
      <c r="M156" s="110"/>
      <c r="N156" s="110"/>
      <c r="O156" s="110"/>
    </row>
    <row r="157" spans="1:15" ht="12" customHeight="1" x14ac:dyDescent="0.15">
      <c r="A157" s="110"/>
      <c r="B157" s="110"/>
      <c r="C157" s="110"/>
      <c r="D157" s="110"/>
      <c r="E157" s="110"/>
      <c r="F157" s="110"/>
      <c r="G157" s="110"/>
      <c r="H157" s="110"/>
      <c r="I157" s="110"/>
      <c r="J157" s="110"/>
      <c r="K157" s="110"/>
      <c r="L157" s="110"/>
      <c r="M157" s="110"/>
      <c r="N157" s="110"/>
      <c r="O157" s="110"/>
    </row>
    <row r="158" spans="1:15" ht="12" customHeight="1" x14ac:dyDescent="0.15">
      <c r="A158" s="110"/>
      <c r="B158" s="110"/>
      <c r="C158" s="110"/>
      <c r="D158" s="110"/>
      <c r="E158" s="110"/>
      <c r="F158" s="110"/>
      <c r="G158" s="110"/>
      <c r="H158" s="110"/>
      <c r="I158" s="110"/>
      <c r="J158" s="110"/>
      <c r="K158" s="110"/>
      <c r="L158" s="110"/>
      <c r="M158" s="110"/>
      <c r="N158" s="110"/>
      <c r="O158" s="110"/>
    </row>
    <row r="159" spans="1:15" ht="12" customHeight="1" x14ac:dyDescent="0.15">
      <c r="A159" s="110"/>
      <c r="B159" s="110"/>
      <c r="C159" s="110"/>
      <c r="D159" s="110"/>
      <c r="E159" s="110"/>
      <c r="F159" s="110"/>
      <c r="G159" s="110"/>
      <c r="H159" s="110"/>
      <c r="I159" s="110"/>
      <c r="J159" s="110"/>
      <c r="K159" s="110"/>
      <c r="L159" s="110"/>
      <c r="M159" s="110"/>
      <c r="N159" s="110"/>
      <c r="O159" s="110"/>
    </row>
    <row r="160" spans="1:15" ht="12" customHeight="1" x14ac:dyDescent="0.15">
      <c r="A160" s="110"/>
      <c r="B160" s="110"/>
      <c r="C160" s="110"/>
      <c r="D160" s="110"/>
      <c r="E160" s="110"/>
      <c r="F160" s="110"/>
      <c r="G160" s="110"/>
      <c r="H160" s="110"/>
      <c r="I160" s="110"/>
      <c r="J160" s="110"/>
      <c r="K160" s="110"/>
      <c r="L160" s="110"/>
      <c r="M160" s="110"/>
      <c r="N160" s="110"/>
      <c r="O160" s="110"/>
    </row>
    <row r="161" spans="1:15" ht="12" customHeight="1" x14ac:dyDescent="0.15">
      <c r="A161" s="110"/>
      <c r="B161" s="110"/>
      <c r="C161" s="110"/>
      <c r="D161" s="110"/>
      <c r="E161" s="110"/>
      <c r="F161" s="110"/>
      <c r="G161" s="110"/>
      <c r="H161" s="110"/>
      <c r="I161" s="110"/>
      <c r="J161" s="110"/>
      <c r="K161" s="110"/>
      <c r="L161" s="110"/>
      <c r="M161" s="110"/>
      <c r="N161" s="110"/>
      <c r="O161" s="110"/>
    </row>
    <row r="162" spans="1:15" ht="12" customHeight="1" x14ac:dyDescent="0.15">
      <c r="A162" s="110"/>
      <c r="B162" s="110"/>
      <c r="C162" s="110"/>
      <c r="D162" s="110"/>
      <c r="E162" s="110"/>
      <c r="F162" s="110"/>
      <c r="G162" s="110"/>
      <c r="H162" s="110"/>
      <c r="I162" s="110"/>
      <c r="J162" s="110"/>
      <c r="K162" s="110"/>
      <c r="L162" s="110"/>
      <c r="M162" s="110"/>
      <c r="N162" s="110"/>
      <c r="O162" s="110"/>
    </row>
    <row r="163" spans="1:15" ht="12" customHeight="1" x14ac:dyDescent="0.15">
      <c r="A163" s="110"/>
      <c r="B163" s="110"/>
      <c r="C163" s="110"/>
      <c r="D163" s="110"/>
      <c r="E163" s="110"/>
      <c r="F163" s="110"/>
      <c r="G163" s="110"/>
      <c r="H163" s="110"/>
      <c r="I163" s="110"/>
      <c r="J163" s="110"/>
      <c r="K163" s="110"/>
      <c r="L163" s="110"/>
      <c r="M163" s="110"/>
      <c r="N163" s="110"/>
      <c r="O163" s="110"/>
    </row>
    <row r="164" spans="1:15" ht="12" customHeight="1" x14ac:dyDescent="0.15">
      <c r="A164" s="110"/>
      <c r="B164" s="110"/>
      <c r="C164" s="110"/>
      <c r="D164" s="110"/>
      <c r="E164" s="110"/>
      <c r="F164" s="110"/>
      <c r="G164" s="110"/>
      <c r="H164" s="110"/>
      <c r="I164" s="110"/>
      <c r="J164" s="110"/>
      <c r="K164" s="110"/>
      <c r="L164" s="110"/>
      <c r="M164" s="110"/>
      <c r="N164" s="110"/>
      <c r="O164" s="110"/>
    </row>
    <row r="165" spans="1:15" ht="12" customHeight="1" x14ac:dyDescent="0.15">
      <c r="A165" s="110"/>
      <c r="B165" s="110"/>
      <c r="C165" s="110"/>
      <c r="D165" s="110"/>
      <c r="E165" s="110"/>
      <c r="F165" s="110"/>
      <c r="G165" s="110"/>
      <c r="H165" s="110"/>
      <c r="I165" s="110"/>
      <c r="J165" s="110"/>
      <c r="K165" s="110"/>
      <c r="L165" s="110"/>
      <c r="M165" s="110"/>
      <c r="N165" s="110"/>
      <c r="O165" s="110"/>
    </row>
    <row r="166" spans="1:15" ht="12" customHeight="1" x14ac:dyDescent="0.15">
      <c r="A166" s="110"/>
      <c r="B166" s="110"/>
      <c r="C166" s="110"/>
      <c r="D166" s="110"/>
      <c r="E166" s="110"/>
      <c r="F166" s="110"/>
      <c r="G166" s="110"/>
      <c r="H166" s="110"/>
      <c r="I166" s="110"/>
      <c r="J166" s="110"/>
      <c r="K166" s="110"/>
      <c r="L166" s="110"/>
      <c r="M166" s="110"/>
      <c r="N166" s="110"/>
      <c r="O166" s="110"/>
    </row>
    <row r="167" spans="1:15" ht="12" customHeight="1" x14ac:dyDescent="0.15">
      <c r="A167" s="110"/>
      <c r="B167" s="110"/>
      <c r="C167" s="110"/>
      <c r="D167" s="110"/>
      <c r="E167" s="110"/>
      <c r="F167" s="110"/>
      <c r="G167" s="110"/>
      <c r="H167" s="110"/>
      <c r="I167" s="110"/>
      <c r="J167" s="110"/>
      <c r="K167" s="110"/>
      <c r="L167" s="110"/>
      <c r="M167" s="110"/>
      <c r="N167" s="110"/>
      <c r="O167" s="110"/>
    </row>
    <row r="168" spans="1:15" ht="12" customHeight="1" x14ac:dyDescent="0.15">
      <c r="A168" s="110"/>
      <c r="B168" s="110"/>
      <c r="C168" s="110"/>
      <c r="D168" s="110"/>
      <c r="E168" s="110"/>
      <c r="F168" s="110"/>
      <c r="G168" s="110"/>
      <c r="H168" s="110"/>
      <c r="I168" s="110"/>
      <c r="J168" s="110"/>
      <c r="K168" s="110"/>
      <c r="L168" s="110"/>
      <c r="M168" s="110"/>
      <c r="N168" s="110"/>
      <c r="O168" s="110"/>
    </row>
    <row r="169" spans="1:15" ht="12" customHeight="1" x14ac:dyDescent="0.15">
      <c r="A169" s="110"/>
      <c r="B169" s="110"/>
      <c r="C169" s="110"/>
      <c r="D169" s="110"/>
      <c r="E169" s="110"/>
      <c r="F169" s="110"/>
      <c r="G169" s="110"/>
      <c r="H169" s="110"/>
      <c r="I169" s="110"/>
      <c r="J169" s="110"/>
      <c r="K169" s="110"/>
      <c r="L169" s="110"/>
      <c r="M169" s="110"/>
      <c r="N169" s="110"/>
      <c r="O169" s="110"/>
    </row>
    <row r="170" spans="1:15" ht="12" customHeight="1" x14ac:dyDescent="0.15">
      <c r="A170" s="110"/>
      <c r="B170" s="110"/>
      <c r="C170" s="110"/>
      <c r="D170" s="110"/>
      <c r="E170" s="110"/>
      <c r="F170" s="110"/>
      <c r="G170" s="110"/>
      <c r="H170" s="110"/>
      <c r="I170" s="110"/>
      <c r="J170" s="110"/>
      <c r="K170" s="110"/>
      <c r="L170" s="110"/>
      <c r="M170" s="110"/>
      <c r="N170" s="110"/>
      <c r="O170" s="110"/>
    </row>
    <row r="171" spans="1:15" ht="12" customHeight="1" x14ac:dyDescent="0.15">
      <c r="A171" s="110"/>
      <c r="B171" s="110"/>
      <c r="C171" s="110"/>
      <c r="D171" s="110"/>
      <c r="E171" s="110"/>
      <c r="F171" s="110"/>
      <c r="G171" s="110"/>
      <c r="H171" s="110"/>
      <c r="I171" s="110"/>
      <c r="J171" s="110"/>
      <c r="K171" s="110"/>
      <c r="L171" s="110"/>
      <c r="M171" s="110"/>
      <c r="N171" s="110"/>
      <c r="O171" s="110"/>
    </row>
    <row r="172" spans="1:15" ht="12" customHeight="1" x14ac:dyDescent="0.15">
      <c r="A172" s="110"/>
      <c r="B172" s="110"/>
      <c r="C172" s="110"/>
      <c r="D172" s="110"/>
      <c r="E172" s="110"/>
      <c r="F172" s="110"/>
      <c r="G172" s="110"/>
      <c r="H172" s="110"/>
      <c r="I172" s="110"/>
      <c r="J172" s="110"/>
      <c r="K172" s="110"/>
      <c r="L172" s="110"/>
      <c r="M172" s="110"/>
      <c r="N172" s="110"/>
      <c r="O172" s="110"/>
    </row>
    <row r="173" spans="1:15" ht="12" customHeight="1" x14ac:dyDescent="0.15">
      <c r="A173" s="110"/>
      <c r="B173" s="110"/>
      <c r="C173" s="110"/>
      <c r="D173" s="110"/>
      <c r="E173" s="110"/>
      <c r="F173" s="110"/>
      <c r="G173" s="110"/>
      <c r="H173" s="110"/>
      <c r="I173" s="110"/>
      <c r="J173" s="110"/>
      <c r="K173" s="110"/>
      <c r="L173" s="110"/>
      <c r="M173" s="110"/>
      <c r="N173" s="110"/>
      <c r="O173" s="110"/>
    </row>
    <row r="174" spans="1:15" ht="12" customHeight="1" x14ac:dyDescent="0.15">
      <c r="A174" s="110"/>
      <c r="B174" s="110"/>
      <c r="C174" s="110"/>
      <c r="D174" s="110"/>
      <c r="E174" s="110"/>
      <c r="F174" s="110"/>
      <c r="G174" s="110"/>
      <c r="H174" s="110"/>
      <c r="I174" s="110"/>
      <c r="J174" s="110"/>
      <c r="K174" s="110"/>
      <c r="L174" s="110"/>
      <c r="M174" s="110"/>
      <c r="N174" s="110"/>
      <c r="O174" s="110"/>
    </row>
    <row r="175" spans="1:15" ht="12" customHeight="1" x14ac:dyDescent="0.15">
      <c r="A175" s="110"/>
      <c r="B175" s="110"/>
      <c r="C175" s="110"/>
      <c r="D175" s="110"/>
      <c r="E175" s="110"/>
      <c r="F175" s="110"/>
      <c r="G175" s="110"/>
      <c r="H175" s="110"/>
      <c r="I175" s="110"/>
      <c r="J175" s="110"/>
      <c r="K175" s="110"/>
      <c r="L175" s="110"/>
      <c r="M175" s="110"/>
      <c r="N175" s="110"/>
      <c r="O175" s="110"/>
    </row>
    <row r="176" spans="1:15" ht="12" customHeight="1" x14ac:dyDescent="0.15">
      <c r="A176" s="110"/>
      <c r="B176" s="110"/>
      <c r="C176" s="110"/>
      <c r="D176" s="110"/>
      <c r="E176" s="110"/>
      <c r="F176" s="110"/>
      <c r="G176" s="110"/>
      <c r="H176" s="110"/>
      <c r="I176" s="110"/>
      <c r="J176" s="110"/>
      <c r="K176" s="110"/>
      <c r="L176" s="110"/>
      <c r="M176" s="110"/>
      <c r="N176" s="110"/>
      <c r="O176" s="110"/>
    </row>
    <row r="177" spans="1:15" ht="12" customHeight="1" x14ac:dyDescent="0.15">
      <c r="A177" s="110"/>
      <c r="B177" s="110"/>
      <c r="C177" s="110"/>
      <c r="D177" s="110"/>
      <c r="E177" s="110"/>
      <c r="F177" s="110"/>
      <c r="G177" s="110"/>
      <c r="H177" s="110"/>
      <c r="I177" s="110"/>
      <c r="J177" s="110"/>
      <c r="K177" s="110"/>
      <c r="L177" s="110"/>
      <c r="M177" s="110"/>
      <c r="N177" s="110"/>
      <c r="O177" s="110"/>
    </row>
    <row r="178" spans="1:15" ht="12" customHeight="1" x14ac:dyDescent="0.15">
      <c r="A178" s="110"/>
      <c r="B178" s="110"/>
      <c r="C178" s="110"/>
      <c r="D178" s="110"/>
      <c r="E178" s="110"/>
      <c r="F178" s="110"/>
      <c r="G178" s="110"/>
      <c r="H178" s="110"/>
      <c r="I178" s="110"/>
      <c r="J178" s="110"/>
      <c r="K178" s="110"/>
      <c r="L178" s="110"/>
      <c r="M178" s="110"/>
      <c r="N178" s="110"/>
      <c r="O178" s="110"/>
    </row>
    <row r="179" spans="1:15" ht="12" customHeight="1" x14ac:dyDescent="0.15">
      <c r="A179" s="110"/>
      <c r="B179" s="110"/>
      <c r="C179" s="110"/>
      <c r="D179" s="110"/>
      <c r="E179" s="110"/>
      <c r="F179" s="110"/>
      <c r="G179" s="110"/>
      <c r="H179" s="110"/>
      <c r="I179" s="110"/>
      <c r="J179" s="110"/>
      <c r="K179" s="110"/>
      <c r="L179" s="110"/>
      <c r="M179" s="110"/>
      <c r="N179" s="110"/>
      <c r="O179" s="110"/>
    </row>
    <row r="180" spans="1:15" ht="12" customHeight="1" x14ac:dyDescent="0.15">
      <c r="A180" s="110"/>
      <c r="B180" s="110"/>
      <c r="C180" s="110"/>
      <c r="D180" s="110"/>
      <c r="E180" s="110"/>
      <c r="F180" s="110"/>
      <c r="G180" s="110"/>
      <c r="H180" s="110"/>
      <c r="I180" s="110"/>
      <c r="J180" s="110"/>
      <c r="K180" s="110"/>
      <c r="L180" s="110"/>
      <c r="M180" s="110"/>
      <c r="N180" s="110"/>
      <c r="O180" s="110"/>
    </row>
    <row r="181" spans="1:15" ht="12" customHeight="1" x14ac:dyDescent="0.15">
      <c r="A181" s="110"/>
      <c r="B181" s="110"/>
      <c r="C181" s="110"/>
      <c r="D181" s="110"/>
      <c r="E181" s="110"/>
      <c r="F181" s="110"/>
      <c r="G181" s="110"/>
      <c r="H181" s="110"/>
      <c r="I181" s="110"/>
      <c r="J181" s="110"/>
      <c r="K181" s="110"/>
      <c r="L181" s="110"/>
      <c r="M181" s="110"/>
      <c r="N181" s="110"/>
      <c r="O181" s="110"/>
    </row>
    <row r="182" spans="1:15" ht="12" customHeight="1" x14ac:dyDescent="0.15">
      <c r="A182" s="110"/>
      <c r="B182" s="110"/>
      <c r="C182" s="110"/>
      <c r="D182" s="110"/>
      <c r="E182" s="110"/>
      <c r="F182" s="110"/>
      <c r="G182" s="110"/>
      <c r="H182" s="110"/>
      <c r="I182" s="110"/>
      <c r="J182" s="110"/>
      <c r="K182" s="110"/>
      <c r="L182" s="110"/>
      <c r="M182" s="110"/>
      <c r="N182" s="110"/>
      <c r="O182" s="110"/>
    </row>
    <row r="183" spans="1:15" ht="12" customHeight="1" x14ac:dyDescent="0.15">
      <c r="A183" s="110"/>
      <c r="B183" s="110"/>
      <c r="C183" s="110"/>
      <c r="D183" s="110"/>
      <c r="E183" s="110"/>
      <c r="F183" s="110"/>
      <c r="G183" s="110"/>
      <c r="H183" s="110"/>
      <c r="I183" s="110"/>
      <c r="J183" s="110"/>
      <c r="K183" s="110"/>
      <c r="L183" s="110"/>
      <c r="M183" s="110"/>
      <c r="N183" s="110"/>
      <c r="O183" s="110"/>
    </row>
    <row r="184" spans="1:15" ht="12" customHeight="1" x14ac:dyDescent="0.15">
      <c r="A184" s="110"/>
      <c r="B184" s="110"/>
      <c r="C184" s="110"/>
      <c r="D184" s="110"/>
      <c r="E184" s="110"/>
      <c r="F184" s="110"/>
      <c r="G184" s="110"/>
      <c r="H184" s="110"/>
      <c r="I184" s="110"/>
      <c r="J184" s="110"/>
      <c r="K184" s="110"/>
      <c r="L184" s="110"/>
      <c r="M184" s="110"/>
      <c r="N184" s="110"/>
      <c r="O184" s="110"/>
    </row>
    <row r="185" spans="1:15" ht="12" customHeight="1" x14ac:dyDescent="0.15">
      <c r="A185" s="110"/>
      <c r="B185" s="110"/>
      <c r="C185" s="110"/>
      <c r="D185" s="110"/>
      <c r="E185" s="110"/>
      <c r="F185" s="110"/>
      <c r="G185" s="110"/>
      <c r="H185" s="110"/>
      <c r="I185" s="110"/>
      <c r="J185" s="110"/>
      <c r="K185" s="110"/>
      <c r="L185" s="110"/>
      <c r="M185" s="110"/>
      <c r="N185" s="110"/>
      <c r="O185" s="110"/>
    </row>
    <row r="186" spans="1:15" ht="12" customHeight="1" x14ac:dyDescent="0.15">
      <c r="A186" s="110"/>
      <c r="B186" s="110"/>
      <c r="C186" s="110"/>
      <c r="D186" s="110"/>
      <c r="E186" s="110"/>
      <c r="F186" s="110"/>
      <c r="G186" s="110"/>
      <c r="H186" s="110"/>
      <c r="I186" s="110"/>
      <c r="J186" s="110"/>
      <c r="K186" s="110"/>
      <c r="L186" s="110"/>
      <c r="M186" s="110"/>
      <c r="N186" s="110"/>
      <c r="O186" s="110"/>
    </row>
    <row r="187" spans="1:15" ht="12" customHeight="1" x14ac:dyDescent="0.15">
      <c r="A187" s="110"/>
      <c r="B187" s="110"/>
      <c r="C187" s="110"/>
      <c r="D187" s="110"/>
      <c r="E187" s="110"/>
      <c r="F187" s="110"/>
      <c r="G187" s="110"/>
      <c r="H187" s="110"/>
      <c r="I187" s="110"/>
      <c r="J187" s="110"/>
      <c r="K187" s="110"/>
      <c r="L187" s="110"/>
      <c r="M187" s="110"/>
      <c r="N187" s="110"/>
      <c r="O187" s="110"/>
    </row>
    <row r="188" spans="1:15" ht="12" customHeight="1" x14ac:dyDescent="0.15">
      <c r="A188" s="110"/>
      <c r="B188" s="110"/>
      <c r="C188" s="110"/>
      <c r="D188" s="110"/>
      <c r="E188" s="110"/>
      <c r="F188" s="110"/>
      <c r="G188" s="110"/>
      <c r="H188" s="110"/>
      <c r="I188" s="110"/>
      <c r="J188" s="110"/>
      <c r="K188" s="110"/>
      <c r="L188" s="110"/>
      <c r="M188" s="110"/>
      <c r="N188" s="110"/>
      <c r="O188" s="110"/>
    </row>
    <row r="189" spans="1:15" ht="12" customHeight="1" x14ac:dyDescent="0.15">
      <c r="A189" s="110"/>
      <c r="B189" s="110"/>
      <c r="C189" s="110"/>
      <c r="D189" s="110"/>
      <c r="E189" s="110"/>
      <c r="F189" s="110"/>
      <c r="G189" s="110"/>
      <c r="H189" s="110"/>
      <c r="I189" s="110"/>
      <c r="J189" s="110"/>
      <c r="K189" s="110"/>
      <c r="L189" s="110"/>
      <c r="M189" s="110"/>
      <c r="N189" s="110"/>
      <c r="O189" s="110"/>
    </row>
    <row r="190" spans="1:15" ht="12" customHeight="1" x14ac:dyDescent="0.15">
      <c r="A190" s="110"/>
      <c r="B190" s="110"/>
      <c r="C190" s="110"/>
      <c r="D190" s="110"/>
      <c r="E190" s="110"/>
      <c r="F190" s="110"/>
      <c r="G190" s="110"/>
      <c r="H190" s="110"/>
      <c r="I190" s="110"/>
      <c r="J190" s="110"/>
      <c r="K190" s="110"/>
      <c r="L190" s="110"/>
      <c r="M190" s="110"/>
      <c r="N190" s="110"/>
      <c r="O190" s="110"/>
    </row>
    <row r="191" spans="1:15" ht="12" customHeight="1" x14ac:dyDescent="0.15">
      <c r="A191" s="110"/>
      <c r="B191" s="110"/>
      <c r="C191" s="110"/>
      <c r="D191" s="110"/>
      <c r="E191" s="110"/>
      <c r="F191" s="110"/>
      <c r="G191" s="110"/>
      <c r="H191" s="110"/>
      <c r="I191" s="110"/>
      <c r="J191" s="110"/>
      <c r="K191" s="110"/>
      <c r="L191" s="110"/>
      <c r="M191" s="110"/>
      <c r="N191" s="110"/>
      <c r="O191" s="110"/>
    </row>
    <row r="192" spans="1:15" ht="12" customHeight="1" x14ac:dyDescent="0.15">
      <c r="A192" s="110"/>
      <c r="B192" s="110"/>
      <c r="C192" s="110"/>
      <c r="D192" s="110"/>
      <c r="E192" s="110"/>
      <c r="F192" s="110"/>
      <c r="G192" s="110"/>
      <c r="H192" s="110"/>
      <c r="I192" s="110"/>
      <c r="J192" s="110"/>
      <c r="K192" s="110"/>
      <c r="L192" s="110"/>
      <c r="M192" s="110"/>
      <c r="N192" s="110"/>
      <c r="O192" s="110"/>
    </row>
    <row r="193" spans="1:15" ht="12" customHeight="1" x14ac:dyDescent="0.15">
      <c r="A193" s="110"/>
      <c r="B193" s="110"/>
      <c r="C193" s="110"/>
      <c r="D193" s="110"/>
      <c r="E193" s="110"/>
      <c r="F193" s="110"/>
      <c r="G193" s="110"/>
      <c r="H193" s="110"/>
      <c r="I193" s="110"/>
      <c r="J193" s="110"/>
      <c r="K193" s="110"/>
      <c r="L193" s="110"/>
      <c r="M193" s="110"/>
      <c r="N193" s="110"/>
      <c r="O193" s="110"/>
    </row>
    <row r="194" spans="1:15" ht="12" customHeight="1" x14ac:dyDescent="0.15">
      <c r="A194" s="110"/>
      <c r="B194" s="110"/>
      <c r="C194" s="110"/>
      <c r="D194" s="110"/>
      <c r="E194" s="110"/>
      <c r="F194" s="110"/>
      <c r="G194" s="110"/>
      <c r="H194" s="110"/>
      <c r="I194" s="110"/>
      <c r="J194" s="110"/>
      <c r="K194" s="110"/>
      <c r="L194" s="110"/>
      <c r="M194" s="110"/>
      <c r="N194" s="110"/>
      <c r="O194" s="110"/>
    </row>
    <row r="195" spans="1:15" ht="12" customHeight="1" x14ac:dyDescent="0.15">
      <c r="A195" s="110"/>
      <c r="B195" s="110"/>
      <c r="C195" s="110"/>
      <c r="D195" s="110"/>
      <c r="E195" s="110"/>
      <c r="F195" s="110"/>
      <c r="G195" s="110"/>
      <c r="H195" s="110"/>
      <c r="I195" s="110"/>
      <c r="J195" s="110"/>
      <c r="K195" s="110"/>
      <c r="L195" s="110"/>
      <c r="M195" s="110"/>
      <c r="N195" s="110"/>
      <c r="O195" s="110"/>
    </row>
    <row r="196" spans="1:15" ht="12" customHeight="1" x14ac:dyDescent="0.15">
      <c r="A196" s="110"/>
      <c r="B196" s="110"/>
      <c r="C196" s="110"/>
      <c r="D196" s="110"/>
      <c r="E196" s="110"/>
      <c r="F196" s="110"/>
      <c r="G196" s="110"/>
      <c r="H196" s="110"/>
      <c r="I196" s="110"/>
      <c r="J196" s="110"/>
      <c r="K196" s="110"/>
      <c r="L196" s="110"/>
      <c r="M196" s="110"/>
      <c r="N196" s="110"/>
      <c r="O196" s="110"/>
    </row>
    <row r="197" spans="1:15" ht="12" customHeight="1" x14ac:dyDescent="0.15">
      <c r="A197" s="110"/>
      <c r="B197" s="110"/>
      <c r="C197" s="110"/>
      <c r="D197" s="110"/>
      <c r="E197" s="110"/>
      <c r="F197" s="110"/>
      <c r="G197" s="110"/>
      <c r="H197" s="110"/>
      <c r="I197" s="110"/>
      <c r="J197" s="110"/>
      <c r="K197" s="110"/>
      <c r="L197" s="110"/>
      <c r="M197" s="110"/>
      <c r="N197" s="110"/>
      <c r="O197" s="110"/>
    </row>
    <row r="198" spans="1:15" ht="12" customHeight="1" x14ac:dyDescent="0.15">
      <c r="A198" s="110"/>
      <c r="B198" s="110"/>
      <c r="C198" s="110"/>
      <c r="D198" s="110"/>
      <c r="E198" s="110"/>
      <c r="F198" s="110"/>
      <c r="G198" s="110"/>
      <c r="H198" s="110"/>
      <c r="I198" s="110"/>
      <c r="J198" s="110"/>
      <c r="K198" s="110"/>
      <c r="L198" s="110"/>
      <c r="M198" s="110"/>
      <c r="N198" s="110"/>
      <c r="O198" s="110"/>
    </row>
    <row r="199" spans="1:15" ht="12" customHeight="1" x14ac:dyDescent="0.15">
      <c r="A199" s="110"/>
      <c r="B199" s="110"/>
      <c r="C199" s="110"/>
      <c r="D199" s="110"/>
      <c r="E199" s="110"/>
      <c r="F199" s="110"/>
      <c r="G199" s="110"/>
      <c r="H199" s="110"/>
      <c r="I199" s="110"/>
      <c r="J199" s="110"/>
      <c r="K199" s="110"/>
      <c r="L199" s="110"/>
      <c r="M199" s="110"/>
      <c r="N199" s="110"/>
      <c r="O199" s="110"/>
    </row>
    <row r="200" spans="1:15" ht="12" customHeight="1" x14ac:dyDescent="0.15">
      <c r="A200" s="110"/>
      <c r="B200" s="110"/>
      <c r="C200" s="110"/>
      <c r="D200" s="110"/>
      <c r="E200" s="110"/>
      <c r="F200" s="110"/>
      <c r="G200" s="110"/>
      <c r="H200" s="110"/>
      <c r="I200" s="110"/>
      <c r="J200" s="110"/>
      <c r="K200" s="110"/>
      <c r="L200" s="110"/>
      <c r="M200" s="110"/>
      <c r="N200" s="110"/>
      <c r="O200" s="110"/>
    </row>
    <row r="201" spans="1:15" ht="12" customHeight="1" x14ac:dyDescent="0.15">
      <c r="A201" s="110"/>
      <c r="B201" s="110"/>
      <c r="C201" s="110"/>
      <c r="D201" s="110"/>
      <c r="E201" s="110"/>
      <c r="F201" s="110"/>
      <c r="G201" s="110"/>
      <c r="H201" s="110"/>
      <c r="I201" s="110"/>
      <c r="J201" s="110"/>
      <c r="K201" s="110"/>
      <c r="L201" s="110"/>
      <c r="M201" s="110"/>
      <c r="N201" s="110"/>
      <c r="O201" s="110"/>
    </row>
    <row r="202" spans="1:15" ht="12" customHeight="1" x14ac:dyDescent="0.15">
      <c r="A202" s="110"/>
      <c r="B202" s="110"/>
      <c r="C202" s="110"/>
      <c r="D202" s="110"/>
      <c r="E202" s="110"/>
      <c r="F202" s="110"/>
      <c r="G202" s="110"/>
      <c r="H202" s="110"/>
      <c r="I202" s="110"/>
      <c r="J202" s="110"/>
      <c r="K202" s="110"/>
      <c r="L202" s="110"/>
      <c r="M202" s="110"/>
      <c r="N202" s="110"/>
      <c r="O202" s="110"/>
    </row>
    <row r="203" spans="1:15" ht="12" customHeight="1" x14ac:dyDescent="0.15">
      <c r="A203" s="110"/>
      <c r="B203" s="110"/>
      <c r="C203" s="110"/>
      <c r="D203" s="110"/>
      <c r="E203" s="110"/>
      <c r="F203" s="110"/>
      <c r="G203" s="110"/>
      <c r="H203" s="110"/>
      <c r="I203" s="110"/>
      <c r="J203" s="110"/>
      <c r="K203" s="110"/>
      <c r="L203" s="110"/>
      <c r="M203" s="110"/>
      <c r="N203" s="110"/>
      <c r="O203" s="110"/>
    </row>
    <row r="204" spans="1:15" ht="12" customHeight="1" x14ac:dyDescent="0.15">
      <c r="A204" s="110"/>
      <c r="B204" s="110"/>
      <c r="C204" s="110"/>
      <c r="D204" s="110"/>
      <c r="E204" s="110"/>
      <c r="F204" s="110"/>
      <c r="G204" s="110"/>
      <c r="H204" s="110"/>
      <c r="I204" s="110"/>
      <c r="J204" s="110"/>
      <c r="K204" s="110"/>
      <c r="L204" s="110"/>
      <c r="M204" s="110"/>
      <c r="N204" s="110"/>
      <c r="O204" s="110"/>
    </row>
    <row r="205" spans="1:15" ht="12" customHeight="1" x14ac:dyDescent="0.15">
      <c r="A205" s="110"/>
      <c r="B205" s="110"/>
      <c r="C205" s="110"/>
      <c r="D205" s="110"/>
      <c r="E205" s="110"/>
      <c r="F205" s="110"/>
      <c r="G205" s="110"/>
      <c r="H205" s="110"/>
      <c r="I205" s="110"/>
      <c r="J205" s="110"/>
      <c r="K205" s="110"/>
      <c r="L205" s="110"/>
      <c r="M205" s="110"/>
      <c r="N205" s="110"/>
      <c r="O205" s="110"/>
    </row>
    <row r="206" spans="1:15" ht="12" customHeight="1" x14ac:dyDescent="0.15">
      <c r="A206" s="110"/>
      <c r="B206" s="110"/>
      <c r="C206" s="110"/>
      <c r="D206" s="110"/>
      <c r="E206" s="110"/>
      <c r="F206" s="110"/>
      <c r="G206" s="110"/>
      <c r="H206" s="110"/>
      <c r="I206" s="110"/>
      <c r="J206" s="110"/>
      <c r="K206" s="110"/>
      <c r="L206" s="110"/>
      <c r="M206" s="110"/>
      <c r="N206" s="110"/>
      <c r="O206" s="110"/>
    </row>
    <row r="207" spans="1:15" ht="12" customHeight="1" x14ac:dyDescent="0.15">
      <c r="A207" s="110"/>
      <c r="B207" s="110"/>
      <c r="C207" s="110"/>
      <c r="D207" s="110"/>
      <c r="E207" s="110"/>
      <c r="F207" s="110"/>
      <c r="G207" s="110"/>
      <c r="H207" s="110"/>
      <c r="I207" s="110"/>
      <c r="J207" s="110"/>
      <c r="K207" s="110"/>
      <c r="L207" s="110"/>
      <c r="M207" s="110"/>
      <c r="N207" s="110"/>
      <c r="O207" s="110"/>
    </row>
    <row r="208" spans="1:15" ht="12" customHeight="1" x14ac:dyDescent="0.15">
      <c r="A208" s="110"/>
      <c r="B208" s="110"/>
      <c r="C208" s="110"/>
      <c r="D208" s="110"/>
      <c r="E208" s="110"/>
      <c r="F208" s="110"/>
      <c r="G208" s="110"/>
      <c r="H208" s="110"/>
      <c r="I208" s="110"/>
      <c r="J208" s="110"/>
      <c r="K208" s="110"/>
      <c r="L208" s="110"/>
      <c r="M208" s="110"/>
      <c r="N208" s="110"/>
      <c r="O208" s="110"/>
    </row>
    <row r="209" spans="1:15" ht="12" customHeight="1" x14ac:dyDescent="0.15">
      <c r="A209" s="110"/>
      <c r="B209" s="110"/>
      <c r="C209" s="110"/>
      <c r="D209" s="110"/>
      <c r="E209" s="110"/>
      <c r="F209" s="110"/>
      <c r="G209" s="110"/>
      <c r="H209" s="110"/>
      <c r="I209" s="110"/>
      <c r="J209" s="110"/>
      <c r="K209" s="110"/>
      <c r="L209" s="110"/>
      <c r="M209" s="110"/>
      <c r="N209" s="110"/>
      <c r="O209" s="110"/>
    </row>
    <row r="210" spans="1:15" ht="12" customHeight="1" x14ac:dyDescent="0.15">
      <c r="A210" s="110"/>
      <c r="B210" s="110"/>
      <c r="C210" s="110"/>
      <c r="D210" s="110"/>
      <c r="E210" s="110"/>
      <c r="F210" s="110"/>
      <c r="G210" s="110"/>
      <c r="H210" s="110"/>
      <c r="I210" s="110"/>
      <c r="J210" s="110"/>
      <c r="K210" s="110"/>
      <c r="L210" s="110"/>
      <c r="M210" s="110"/>
      <c r="N210" s="110"/>
      <c r="O210" s="110"/>
    </row>
    <row r="211" spans="1:15" ht="12" customHeight="1" x14ac:dyDescent="0.15">
      <c r="A211" s="110"/>
      <c r="B211" s="110"/>
      <c r="C211" s="110"/>
      <c r="D211" s="110"/>
      <c r="E211" s="110"/>
      <c r="F211" s="110"/>
      <c r="G211" s="110"/>
      <c r="H211" s="110"/>
      <c r="I211" s="110"/>
      <c r="J211" s="110"/>
      <c r="K211" s="110"/>
      <c r="L211" s="110"/>
      <c r="M211" s="110"/>
      <c r="N211" s="110"/>
      <c r="O211" s="110"/>
    </row>
    <row r="212" spans="1:15" ht="12" customHeight="1" x14ac:dyDescent="0.15">
      <c r="A212" s="110"/>
      <c r="B212" s="110"/>
      <c r="C212" s="110"/>
      <c r="D212" s="110"/>
      <c r="E212" s="110"/>
      <c r="F212" s="110"/>
      <c r="G212" s="110"/>
      <c r="H212" s="110"/>
      <c r="I212" s="110"/>
      <c r="J212" s="110"/>
      <c r="K212" s="110"/>
      <c r="L212" s="110"/>
      <c r="M212" s="110"/>
      <c r="N212" s="110"/>
      <c r="O212" s="110"/>
    </row>
    <row r="213" spans="1:15" ht="12" customHeight="1" x14ac:dyDescent="0.15">
      <c r="A213" s="110"/>
      <c r="B213" s="110"/>
      <c r="C213" s="110"/>
      <c r="D213" s="110"/>
      <c r="E213" s="110"/>
      <c r="F213" s="110"/>
      <c r="G213" s="110"/>
      <c r="H213" s="110"/>
      <c r="I213" s="110"/>
      <c r="J213" s="110"/>
      <c r="K213" s="110"/>
      <c r="L213" s="110"/>
      <c r="M213" s="110"/>
      <c r="N213" s="110"/>
      <c r="O213" s="110"/>
    </row>
    <row r="214" spans="1:15" ht="12" customHeight="1" x14ac:dyDescent="0.15">
      <c r="A214" s="110"/>
      <c r="B214" s="110"/>
      <c r="C214" s="110"/>
      <c r="D214" s="110"/>
      <c r="E214" s="110"/>
      <c r="F214" s="110"/>
      <c r="G214" s="110"/>
      <c r="H214" s="110"/>
      <c r="I214" s="110"/>
      <c r="J214" s="110"/>
      <c r="K214" s="110"/>
      <c r="L214" s="110"/>
      <c r="M214" s="110"/>
      <c r="N214" s="110"/>
      <c r="O214" s="110"/>
    </row>
    <row r="215" spans="1:15" ht="12" customHeight="1" x14ac:dyDescent="0.15">
      <c r="A215" s="110"/>
      <c r="B215" s="110"/>
      <c r="C215" s="110"/>
      <c r="D215" s="110"/>
      <c r="E215" s="110"/>
      <c r="F215" s="110"/>
      <c r="G215" s="110"/>
      <c r="H215" s="110"/>
      <c r="I215" s="110"/>
      <c r="J215" s="110"/>
      <c r="K215" s="110"/>
      <c r="L215" s="110"/>
      <c r="M215" s="110"/>
      <c r="N215" s="110"/>
      <c r="O215" s="110"/>
    </row>
    <row r="216" spans="1:15" ht="12" customHeight="1" x14ac:dyDescent="0.15">
      <c r="A216" s="110"/>
      <c r="B216" s="110"/>
      <c r="C216" s="110"/>
      <c r="D216" s="110"/>
      <c r="E216" s="110"/>
      <c r="F216" s="110"/>
      <c r="G216" s="110"/>
      <c r="H216" s="110"/>
      <c r="I216" s="110"/>
      <c r="J216" s="110"/>
      <c r="K216" s="110"/>
      <c r="L216" s="110"/>
      <c r="M216" s="110"/>
      <c r="N216" s="110"/>
      <c r="O216" s="110"/>
    </row>
    <row r="217" spans="1:15" ht="12" customHeight="1" x14ac:dyDescent="0.15">
      <c r="A217" s="110"/>
      <c r="B217" s="110"/>
      <c r="C217" s="110"/>
      <c r="D217" s="110"/>
      <c r="E217" s="110"/>
      <c r="F217" s="110"/>
      <c r="G217" s="110"/>
      <c r="H217" s="110"/>
      <c r="I217" s="110"/>
      <c r="J217" s="110"/>
      <c r="K217" s="110"/>
      <c r="L217" s="110"/>
      <c r="M217" s="110"/>
      <c r="N217" s="110"/>
      <c r="O217" s="110"/>
    </row>
    <row r="218" spans="1:15" ht="12" customHeight="1" x14ac:dyDescent="0.15">
      <c r="A218" s="110"/>
      <c r="B218" s="110"/>
      <c r="C218" s="110"/>
      <c r="D218" s="110"/>
      <c r="E218" s="110"/>
      <c r="F218" s="110"/>
      <c r="G218" s="110"/>
      <c r="H218" s="110"/>
      <c r="I218" s="110"/>
      <c r="J218" s="110"/>
      <c r="K218" s="110"/>
      <c r="L218" s="110"/>
      <c r="M218" s="110"/>
      <c r="N218" s="110"/>
      <c r="O218" s="110"/>
    </row>
    <row r="219" spans="1:15" ht="12" customHeight="1" x14ac:dyDescent="0.15">
      <c r="A219" s="110"/>
      <c r="B219" s="110"/>
      <c r="C219" s="110"/>
      <c r="D219" s="110"/>
      <c r="E219" s="110"/>
      <c r="F219" s="110"/>
      <c r="G219" s="110"/>
      <c r="H219" s="110"/>
      <c r="I219" s="110"/>
      <c r="J219" s="110"/>
      <c r="K219" s="110"/>
      <c r="L219" s="110"/>
      <c r="M219" s="110"/>
      <c r="N219" s="110"/>
      <c r="O219" s="110"/>
    </row>
    <row r="220" spans="1:15" ht="12" customHeight="1" x14ac:dyDescent="0.15">
      <c r="A220" s="110"/>
      <c r="B220" s="110"/>
      <c r="C220" s="110"/>
      <c r="D220" s="110"/>
      <c r="E220" s="110"/>
      <c r="F220" s="110"/>
      <c r="G220" s="110"/>
      <c r="H220" s="110"/>
      <c r="I220" s="110"/>
      <c r="J220" s="110"/>
      <c r="K220" s="110"/>
      <c r="L220" s="110"/>
      <c r="M220" s="110"/>
      <c r="N220" s="110"/>
      <c r="O220" s="110"/>
    </row>
    <row r="221" spans="1:15" ht="12" customHeight="1" x14ac:dyDescent="0.15">
      <c r="A221" s="110"/>
      <c r="B221" s="110"/>
      <c r="C221" s="110"/>
      <c r="D221" s="110"/>
      <c r="E221" s="110"/>
      <c r="F221" s="110"/>
      <c r="G221" s="110"/>
      <c r="H221" s="110"/>
      <c r="I221" s="110"/>
      <c r="J221" s="110"/>
      <c r="K221" s="110"/>
      <c r="L221" s="110"/>
      <c r="M221" s="110"/>
      <c r="N221" s="110"/>
      <c r="O221" s="110"/>
    </row>
    <row r="222" spans="1:15" ht="12" customHeight="1" x14ac:dyDescent="0.15">
      <c r="A222" s="110"/>
      <c r="B222" s="110"/>
      <c r="C222" s="110"/>
      <c r="D222" s="110"/>
      <c r="E222" s="110"/>
      <c r="F222" s="110"/>
      <c r="G222" s="110"/>
      <c r="H222" s="110"/>
      <c r="I222" s="110"/>
      <c r="J222" s="110"/>
      <c r="K222" s="110"/>
      <c r="L222" s="110"/>
      <c r="M222" s="110"/>
      <c r="N222" s="110"/>
      <c r="O222" s="110"/>
    </row>
    <row r="223" spans="1:15" ht="12" customHeight="1" x14ac:dyDescent="0.15">
      <c r="A223" s="110"/>
      <c r="B223" s="110"/>
      <c r="C223" s="110"/>
      <c r="D223" s="110"/>
      <c r="E223" s="110"/>
      <c r="F223" s="110"/>
      <c r="G223" s="110"/>
      <c r="H223" s="110"/>
      <c r="I223" s="110"/>
      <c r="J223" s="110"/>
      <c r="K223" s="110"/>
      <c r="L223" s="110"/>
      <c r="M223" s="110"/>
      <c r="N223" s="110"/>
      <c r="O223" s="110"/>
    </row>
    <row r="224" spans="1:15" ht="12" customHeight="1" x14ac:dyDescent="0.15">
      <c r="A224" s="110"/>
      <c r="B224" s="110"/>
      <c r="C224" s="110"/>
      <c r="D224" s="110"/>
      <c r="E224" s="110"/>
      <c r="F224" s="110"/>
      <c r="G224" s="110"/>
      <c r="H224" s="110"/>
      <c r="I224" s="110"/>
      <c r="J224" s="110"/>
      <c r="K224" s="110"/>
      <c r="L224" s="110"/>
      <c r="M224" s="110"/>
      <c r="N224" s="110"/>
      <c r="O224" s="110"/>
    </row>
    <row r="225" spans="1:15" ht="12" customHeight="1" x14ac:dyDescent="0.15">
      <c r="A225" s="110"/>
      <c r="B225" s="110"/>
      <c r="C225" s="110"/>
      <c r="D225" s="110"/>
      <c r="E225" s="110"/>
      <c r="F225" s="110"/>
      <c r="G225" s="110"/>
      <c r="H225" s="110"/>
      <c r="I225" s="110"/>
      <c r="J225" s="110"/>
      <c r="K225" s="110"/>
      <c r="L225" s="110"/>
      <c r="M225" s="110"/>
      <c r="N225" s="110"/>
      <c r="O225" s="110"/>
    </row>
    <row r="226" spans="1:15" ht="12" customHeight="1" x14ac:dyDescent="0.15">
      <c r="A226" s="110"/>
      <c r="B226" s="110"/>
      <c r="C226" s="110"/>
      <c r="D226" s="110"/>
      <c r="E226" s="110"/>
      <c r="F226" s="110"/>
      <c r="G226" s="110"/>
      <c r="H226" s="110"/>
      <c r="I226" s="110"/>
      <c r="J226" s="110"/>
      <c r="K226" s="110"/>
      <c r="L226" s="110"/>
      <c r="M226" s="110"/>
      <c r="N226" s="110"/>
      <c r="O226" s="110"/>
    </row>
    <row r="227" spans="1:15" ht="12" customHeight="1" x14ac:dyDescent="0.15">
      <c r="A227" s="110"/>
      <c r="B227" s="110"/>
      <c r="C227" s="110"/>
      <c r="D227" s="110"/>
      <c r="E227" s="110"/>
      <c r="F227" s="110"/>
      <c r="G227" s="110"/>
      <c r="H227" s="110"/>
      <c r="I227" s="110"/>
      <c r="J227" s="110"/>
      <c r="K227" s="110"/>
      <c r="L227" s="110"/>
      <c r="M227" s="110"/>
      <c r="N227" s="110"/>
      <c r="O227" s="110"/>
    </row>
    <row r="228" spans="1:15" ht="12" customHeight="1" x14ac:dyDescent="0.15">
      <c r="A228" s="110"/>
      <c r="B228" s="110"/>
      <c r="C228" s="110"/>
      <c r="D228" s="110"/>
      <c r="E228" s="110"/>
      <c r="F228" s="110"/>
      <c r="G228" s="110"/>
      <c r="H228" s="110"/>
      <c r="I228" s="110"/>
      <c r="J228" s="110"/>
      <c r="K228" s="110"/>
      <c r="L228" s="110"/>
      <c r="M228" s="110"/>
      <c r="N228" s="110"/>
      <c r="O228" s="110"/>
    </row>
    <row r="229" spans="1:15" ht="12" customHeight="1" x14ac:dyDescent="0.15">
      <c r="A229" s="110"/>
      <c r="B229" s="110"/>
      <c r="C229" s="110"/>
      <c r="D229" s="110"/>
      <c r="E229" s="110"/>
      <c r="F229" s="110"/>
      <c r="G229" s="110"/>
      <c r="H229" s="110"/>
      <c r="I229" s="110"/>
      <c r="J229" s="110"/>
      <c r="K229" s="110"/>
      <c r="L229" s="110"/>
      <c r="M229" s="110"/>
      <c r="N229" s="110"/>
      <c r="O229" s="110"/>
    </row>
    <row r="230" spans="1:15" ht="12" customHeight="1" x14ac:dyDescent="0.15">
      <c r="A230" s="110"/>
      <c r="B230" s="110"/>
      <c r="C230" s="110"/>
      <c r="D230" s="110"/>
      <c r="E230" s="110"/>
      <c r="F230" s="110"/>
      <c r="G230" s="110"/>
      <c r="H230" s="110"/>
      <c r="I230" s="110"/>
      <c r="J230" s="110"/>
      <c r="K230" s="110"/>
      <c r="L230" s="110"/>
      <c r="M230" s="110"/>
      <c r="N230" s="110"/>
      <c r="O230" s="110"/>
    </row>
    <row r="231" spans="1:15" ht="12" customHeight="1" x14ac:dyDescent="0.15">
      <c r="A231" s="110"/>
      <c r="B231" s="110"/>
      <c r="C231" s="110"/>
      <c r="D231" s="110"/>
      <c r="E231" s="110"/>
      <c r="F231" s="110"/>
      <c r="G231" s="110"/>
      <c r="H231" s="110"/>
      <c r="I231" s="110"/>
      <c r="J231" s="110"/>
      <c r="K231" s="110"/>
      <c r="L231" s="110"/>
      <c r="M231" s="110"/>
      <c r="N231" s="110"/>
      <c r="O231" s="110"/>
    </row>
    <row r="232" spans="1:15" ht="12" customHeight="1" x14ac:dyDescent="0.15">
      <c r="A232" s="110"/>
      <c r="B232" s="110"/>
      <c r="C232" s="110"/>
      <c r="D232" s="110"/>
      <c r="E232" s="110"/>
      <c r="F232" s="110"/>
      <c r="G232" s="110"/>
      <c r="H232" s="110"/>
      <c r="I232" s="110"/>
      <c r="J232" s="110"/>
      <c r="K232" s="110"/>
      <c r="L232" s="110"/>
      <c r="M232" s="110"/>
      <c r="N232" s="110"/>
      <c r="O232" s="110"/>
    </row>
    <row r="233" spans="1:15" ht="12" customHeight="1" x14ac:dyDescent="0.15">
      <c r="A233" s="110"/>
      <c r="B233" s="110"/>
      <c r="C233" s="110"/>
      <c r="D233" s="110"/>
      <c r="E233" s="110"/>
      <c r="F233" s="110"/>
      <c r="G233" s="110"/>
      <c r="H233" s="110"/>
      <c r="I233" s="110"/>
      <c r="J233" s="110"/>
      <c r="K233" s="110"/>
      <c r="L233" s="110"/>
      <c r="M233" s="110"/>
      <c r="N233" s="110"/>
      <c r="O233" s="110"/>
    </row>
    <row r="234" spans="1:15" ht="12" customHeight="1" x14ac:dyDescent="0.15">
      <c r="A234" s="110"/>
      <c r="B234" s="110"/>
      <c r="C234" s="110"/>
      <c r="D234" s="110"/>
      <c r="E234" s="110"/>
      <c r="F234" s="110"/>
      <c r="G234" s="110"/>
      <c r="H234" s="110"/>
      <c r="I234" s="110"/>
      <c r="J234" s="110"/>
      <c r="K234" s="110"/>
      <c r="L234" s="110"/>
      <c r="M234" s="110"/>
      <c r="N234" s="110"/>
      <c r="O234" s="110"/>
    </row>
    <row r="235" spans="1:15" ht="12" customHeight="1" x14ac:dyDescent="0.15">
      <c r="A235" s="110"/>
      <c r="B235" s="110"/>
      <c r="C235" s="110"/>
      <c r="D235" s="110"/>
      <c r="E235" s="110"/>
      <c r="F235" s="110"/>
      <c r="G235" s="110"/>
      <c r="H235" s="110"/>
      <c r="I235" s="110"/>
      <c r="J235" s="110"/>
      <c r="K235" s="110"/>
      <c r="L235" s="110"/>
      <c r="M235" s="110"/>
      <c r="N235" s="110"/>
      <c r="O235" s="110"/>
    </row>
    <row r="236" spans="1:15" ht="12" customHeight="1" x14ac:dyDescent="0.15">
      <c r="A236" s="110"/>
      <c r="B236" s="110"/>
      <c r="C236" s="110"/>
      <c r="D236" s="110"/>
      <c r="E236" s="110"/>
      <c r="F236" s="110"/>
      <c r="G236" s="110"/>
      <c r="H236" s="110"/>
      <c r="I236" s="110"/>
      <c r="J236" s="110"/>
      <c r="K236" s="110"/>
      <c r="L236" s="110"/>
      <c r="M236" s="110"/>
      <c r="N236" s="110"/>
      <c r="O236" s="110"/>
    </row>
    <row r="237" spans="1:15" ht="12" customHeight="1" x14ac:dyDescent="0.15">
      <c r="A237" s="110"/>
      <c r="B237" s="110"/>
      <c r="C237" s="110"/>
      <c r="D237" s="110"/>
      <c r="E237" s="110"/>
      <c r="F237" s="110"/>
      <c r="G237" s="110"/>
      <c r="H237" s="110"/>
      <c r="I237" s="110"/>
      <c r="J237" s="110"/>
      <c r="K237" s="110"/>
      <c r="L237" s="110"/>
      <c r="M237" s="110"/>
      <c r="N237" s="110"/>
      <c r="O237" s="110"/>
    </row>
    <row r="238" spans="1:15" ht="12" customHeight="1" x14ac:dyDescent="0.15">
      <c r="A238" s="110"/>
      <c r="B238" s="110"/>
      <c r="C238" s="110"/>
      <c r="D238" s="110"/>
      <c r="E238" s="110"/>
      <c r="F238" s="110"/>
      <c r="G238" s="110"/>
      <c r="H238" s="110"/>
      <c r="I238" s="110"/>
      <c r="J238" s="110"/>
      <c r="K238" s="110"/>
      <c r="L238" s="110"/>
      <c r="M238" s="110"/>
      <c r="N238" s="110"/>
      <c r="O238" s="110"/>
    </row>
    <row r="239" spans="1:15" ht="12" customHeight="1" x14ac:dyDescent="0.15">
      <c r="A239" s="110"/>
      <c r="B239" s="110"/>
      <c r="C239" s="110"/>
      <c r="D239" s="110"/>
      <c r="E239" s="110"/>
      <c r="F239" s="110"/>
      <c r="G239" s="110"/>
      <c r="H239" s="110"/>
      <c r="I239" s="110"/>
      <c r="J239" s="110"/>
      <c r="K239" s="110"/>
      <c r="L239" s="110"/>
      <c r="M239" s="110"/>
      <c r="N239" s="110"/>
      <c r="O239" s="110"/>
    </row>
    <row r="240" spans="1:15" ht="12" customHeight="1" x14ac:dyDescent="0.15">
      <c r="A240" s="110"/>
      <c r="B240" s="110"/>
      <c r="C240" s="110"/>
      <c r="D240" s="110"/>
      <c r="E240" s="110"/>
      <c r="F240" s="110"/>
      <c r="G240" s="110"/>
      <c r="H240" s="110"/>
      <c r="I240" s="110"/>
      <c r="J240" s="110"/>
      <c r="K240" s="110"/>
      <c r="L240" s="110"/>
      <c r="M240" s="110"/>
      <c r="N240" s="110"/>
      <c r="O240" s="110"/>
    </row>
    <row r="241" spans="1:15" ht="12" customHeight="1" x14ac:dyDescent="0.15">
      <c r="A241" s="110"/>
      <c r="B241" s="110"/>
      <c r="C241" s="110"/>
      <c r="D241" s="110"/>
      <c r="E241" s="110"/>
      <c r="F241" s="110"/>
      <c r="G241" s="110"/>
      <c r="H241" s="110"/>
      <c r="I241" s="110"/>
      <c r="J241" s="110"/>
      <c r="K241" s="110"/>
      <c r="L241" s="110"/>
      <c r="M241" s="110"/>
      <c r="N241" s="110"/>
      <c r="O241" s="110"/>
    </row>
    <row r="242" spans="1:15" ht="12" customHeight="1" x14ac:dyDescent="0.15">
      <c r="A242" s="110"/>
      <c r="B242" s="110"/>
      <c r="C242" s="110"/>
      <c r="D242" s="110"/>
      <c r="E242" s="110"/>
      <c r="F242" s="110"/>
      <c r="G242" s="110"/>
      <c r="H242" s="110"/>
      <c r="I242" s="110"/>
      <c r="J242" s="110"/>
      <c r="K242" s="110"/>
      <c r="L242" s="110"/>
      <c r="M242" s="110"/>
      <c r="N242" s="110"/>
      <c r="O242" s="110"/>
    </row>
    <row r="243" spans="1:15" ht="12" customHeight="1" x14ac:dyDescent="0.15">
      <c r="A243" s="110"/>
      <c r="B243" s="110"/>
      <c r="C243" s="110"/>
      <c r="D243" s="110"/>
      <c r="E243" s="110"/>
      <c r="F243" s="110"/>
      <c r="G243" s="110"/>
      <c r="H243" s="110"/>
      <c r="I243" s="110"/>
      <c r="J243" s="110"/>
      <c r="K243" s="110"/>
      <c r="L243" s="110"/>
      <c r="M243" s="110"/>
      <c r="N243" s="110"/>
      <c r="O243" s="110"/>
    </row>
    <row r="244" spans="1:15" ht="12" customHeight="1" x14ac:dyDescent="0.15">
      <c r="A244" s="110"/>
      <c r="B244" s="110"/>
      <c r="C244" s="110"/>
      <c r="D244" s="110"/>
      <c r="E244" s="110"/>
      <c r="F244" s="110"/>
      <c r="G244" s="110"/>
      <c r="H244" s="110"/>
      <c r="I244" s="110"/>
      <c r="J244" s="110"/>
      <c r="K244" s="110"/>
      <c r="L244" s="110"/>
      <c r="M244" s="110"/>
      <c r="N244" s="110"/>
      <c r="O244" s="110"/>
    </row>
    <row r="245" spans="1:15" ht="12" customHeight="1" x14ac:dyDescent="0.15">
      <c r="A245" s="110"/>
      <c r="B245" s="110"/>
      <c r="C245" s="110"/>
      <c r="D245" s="110"/>
      <c r="E245" s="110"/>
      <c r="F245" s="110"/>
      <c r="G245" s="110"/>
      <c r="H245" s="110"/>
      <c r="I245" s="110"/>
      <c r="J245" s="110"/>
      <c r="K245" s="110"/>
      <c r="L245" s="110"/>
      <c r="M245" s="110"/>
      <c r="N245" s="110"/>
      <c r="O245" s="110"/>
    </row>
    <row r="246" spans="1:15" ht="12" customHeight="1" x14ac:dyDescent="0.15">
      <c r="A246" s="110"/>
      <c r="B246" s="110"/>
      <c r="C246" s="110"/>
      <c r="D246" s="110"/>
      <c r="E246" s="110"/>
      <c r="F246" s="110"/>
      <c r="G246" s="110"/>
      <c r="H246" s="110"/>
      <c r="I246" s="110"/>
      <c r="J246" s="110"/>
      <c r="K246" s="110"/>
      <c r="L246" s="110"/>
      <c r="M246" s="110"/>
      <c r="N246" s="110"/>
      <c r="O246" s="110"/>
    </row>
    <row r="247" spans="1:15" ht="12" customHeight="1" x14ac:dyDescent="0.15">
      <c r="A247" s="110"/>
      <c r="B247" s="110"/>
      <c r="C247" s="110"/>
      <c r="D247" s="110"/>
      <c r="E247" s="110"/>
      <c r="F247" s="110"/>
      <c r="G247" s="110"/>
      <c r="H247" s="110"/>
      <c r="I247" s="110"/>
      <c r="J247" s="110"/>
      <c r="K247" s="110"/>
      <c r="L247" s="110"/>
      <c r="M247" s="110"/>
      <c r="N247" s="110"/>
      <c r="O247" s="110"/>
    </row>
    <row r="248" spans="1:15" ht="12" customHeight="1" x14ac:dyDescent="0.15">
      <c r="A248" s="110"/>
      <c r="B248" s="110"/>
      <c r="C248" s="110"/>
      <c r="D248" s="110"/>
      <c r="E248" s="110"/>
      <c r="F248" s="110"/>
      <c r="G248" s="110"/>
      <c r="H248" s="110"/>
      <c r="I248" s="110"/>
      <c r="J248" s="110"/>
      <c r="K248" s="110"/>
      <c r="L248" s="110"/>
      <c r="M248" s="110"/>
      <c r="N248" s="110"/>
      <c r="O248" s="110"/>
    </row>
    <row r="249" spans="1:15" ht="12" customHeight="1" x14ac:dyDescent="0.15">
      <c r="A249" s="110"/>
      <c r="B249" s="110"/>
      <c r="C249" s="110"/>
      <c r="D249" s="110"/>
      <c r="E249" s="110"/>
      <c r="F249" s="110"/>
      <c r="G249" s="110"/>
      <c r="H249" s="110"/>
      <c r="I249" s="110"/>
      <c r="J249" s="110"/>
      <c r="K249" s="110"/>
      <c r="L249" s="110"/>
      <c r="M249" s="110"/>
      <c r="N249" s="110"/>
      <c r="O249" s="110"/>
    </row>
    <row r="250" spans="1:15" ht="12" customHeight="1" x14ac:dyDescent="0.15">
      <c r="A250" s="110"/>
      <c r="B250" s="110"/>
      <c r="C250" s="110"/>
      <c r="D250" s="110"/>
      <c r="E250" s="110"/>
      <c r="F250" s="110"/>
      <c r="G250" s="110"/>
      <c r="H250" s="110"/>
      <c r="I250" s="110"/>
      <c r="J250" s="110"/>
      <c r="K250" s="110"/>
      <c r="L250" s="110"/>
      <c r="M250" s="110"/>
      <c r="N250" s="110"/>
      <c r="O250" s="110"/>
    </row>
    <row r="251" spans="1:15" ht="12" customHeight="1" x14ac:dyDescent="0.15">
      <c r="A251" s="110"/>
      <c r="B251" s="110"/>
      <c r="C251" s="110"/>
      <c r="D251" s="110"/>
      <c r="E251" s="110"/>
      <c r="F251" s="110"/>
      <c r="G251" s="110"/>
      <c r="H251" s="110"/>
      <c r="I251" s="110"/>
      <c r="J251" s="110"/>
      <c r="K251" s="110"/>
      <c r="L251" s="110"/>
      <c r="M251" s="110"/>
      <c r="N251" s="110"/>
      <c r="O251" s="110"/>
    </row>
    <row r="252" spans="1:15" ht="12" customHeight="1" x14ac:dyDescent="0.15">
      <c r="A252" s="110"/>
      <c r="B252" s="110"/>
      <c r="C252" s="110"/>
      <c r="D252" s="110"/>
      <c r="E252" s="110"/>
      <c r="F252" s="110"/>
      <c r="G252" s="110"/>
      <c r="H252" s="110"/>
      <c r="I252" s="110"/>
      <c r="J252" s="110"/>
      <c r="K252" s="110"/>
      <c r="L252" s="110"/>
      <c r="M252" s="110"/>
      <c r="N252" s="110"/>
      <c r="O252" s="110"/>
    </row>
    <row r="253" spans="1:15" ht="12" customHeight="1" x14ac:dyDescent="0.15">
      <c r="A253" s="110"/>
      <c r="B253" s="110"/>
      <c r="C253" s="110"/>
      <c r="D253" s="110"/>
      <c r="E253" s="110"/>
      <c r="F253" s="110"/>
      <c r="G253" s="110"/>
      <c r="H253" s="110"/>
      <c r="I253" s="110"/>
      <c r="J253" s="110"/>
      <c r="K253" s="110"/>
      <c r="L253" s="110"/>
      <c r="M253" s="110"/>
      <c r="N253" s="110"/>
      <c r="O253" s="110"/>
    </row>
    <row r="254" spans="1:15" ht="12" customHeight="1" x14ac:dyDescent="0.15">
      <c r="A254" s="110"/>
      <c r="B254" s="110"/>
      <c r="C254" s="110"/>
      <c r="D254" s="110"/>
      <c r="E254" s="110"/>
      <c r="F254" s="110"/>
      <c r="G254" s="110"/>
      <c r="H254" s="110"/>
      <c r="I254" s="110"/>
      <c r="J254" s="110"/>
      <c r="K254" s="110"/>
      <c r="L254" s="110"/>
      <c r="M254" s="110"/>
      <c r="N254" s="110"/>
      <c r="O254" s="110"/>
    </row>
    <row r="255" spans="1:15" ht="12" customHeight="1" x14ac:dyDescent="0.15">
      <c r="A255" s="110"/>
      <c r="B255" s="110"/>
      <c r="C255" s="110"/>
      <c r="D255" s="110"/>
      <c r="E255" s="110"/>
      <c r="F255" s="110"/>
      <c r="G255" s="110"/>
      <c r="H255" s="110"/>
      <c r="I255" s="110"/>
      <c r="J255" s="110"/>
      <c r="K255" s="110"/>
      <c r="L255" s="110"/>
      <c r="M255" s="110"/>
      <c r="N255" s="110"/>
      <c r="O255" s="110"/>
    </row>
    <row r="256" spans="1:15" ht="12" customHeight="1" x14ac:dyDescent="0.15">
      <c r="A256" s="110"/>
      <c r="B256" s="110"/>
      <c r="C256" s="110"/>
      <c r="D256" s="110"/>
      <c r="E256" s="110"/>
      <c r="F256" s="110"/>
      <c r="G256" s="110"/>
      <c r="H256" s="110"/>
      <c r="I256" s="110"/>
      <c r="J256" s="110"/>
      <c r="K256" s="110"/>
      <c r="L256" s="110"/>
      <c r="M256" s="110"/>
      <c r="N256" s="110"/>
      <c r="O256" s="110"/>
    </row>
    <row r="257" spans="1:15" ht="12" customHeight="1" x14ac:dyDescent="0.15">
      <c r="A257" s="110"/>
      <c r="B257" s="110"/>
      <c r="C257" s="110"/>
      <c r="D257" s="110"/>
      <c r="E257" s="110"/>
      <c r="F257" s="110"/>
      <c r="G257" s="110"/>
      <c r="H257" s="110"/>
      <c r="I257" s="110"/>
      <c r="J257" s="110"/>
      <c r="K257" s="110"/>
      <c r="L257" s="110"/>
      <c r="M257" s="110"/>
      <c r="N257" s="110"/>
      <c r="O257" s="110"/>
    </row>
    <row r="258" spans="1:15" ht="12" customHeight="1" x14ac:dyDescent="0.15">
      <c r="A258" s="110"/>
      <c r="B258" s="110"/>
      <c r="C258" s="110"/>
      <c r="D258" s="110"/>
      <c r="E258" s="110"/>
      <c r="F258" s="110"/>
      <c r="G258" s="110"/>
      <c r="H258" s="110"/>
      <c r="I258" s="110"/>
      <c r="J258" s="110"/>
      <c r="K258" s="110"/>
      <c r="L258" s="110"/>
      <c r="M258" s="110"/>
      <c r="N258" s="110"/>
      <c r="O258" s="110"/>
    </row>
    <row r="259" spans="1:15" ht="12" customHeight="1" x14ac:dyDescent="0.15">
      <c r="A259" s="110"/>
      <c r="B259" s="110"/>
      <c r="C259" s="110"/>
      <c r="D259" s="110"/>
      <c r="E259" s="110"/>
      <c r="F259" s="110"/>
      <c r="G259" s="110"/>
      <c r="H259" s="110"/>
      <c r="I259" s="110"/>
      <c r="J259" s="110"/>
      <c r="K259" s="110"/>
      <c r="L259" s="110"/>
      <c r="M259" s="110"/>
      <c r="N259" s="110"/>
      <c r="O259" s="110"/>
    </row>
    <row r="260" spans="1:15" ht="12" customHeight="1" x14ac:dyDescent="0.15">
      <c r="A260" s="110"/>
      <c r="B260" s="110"/>
      <c r="C260" s="110"/>
      <c r="D260" s="110"/>
      <c r="E260" s="110"/>
      <c r="F260" s="110"/>
      <c r="G260" s="110"/>
      <c r="H260" s="110"/>
      <c r="I260" s="110"/>
      <c r="J260" s="110"/>
      <c r="K260" s="110"/>
      <c r="L260" s="110"/>
      <c r="M260" s="110"/>
      <c r="N260" s="110"/>
      <c r="O260" s="110"/>
    </row>
    <row r="261" spans="1:15" ht="12" customHeight="1" x14ac:dyDescent="0.15">
      <c r="A261" s="110"/>
      <c r="B261" s="110"/>
      <c r="C261" s="110"/>
      <c r="D261" s="110"/>
      <c r="E261" s="110"/>
      <c r="F261" s="110"/>
      <c r="G261" s="110"/>
      <c r="H261" s="110"/>
      <c r="I261" s="110"/>
      <c r="J261" s="110"/>
      <c r="K261" s="110"/>
      <c r="L261" s="110"/>
      <c r="M261" s="110"/>
      <c r="N261" s="110"/>
      <c r="O261" s="110"/>
    </row>
    <row r="262" spans="1:15" ht="12" customHeight="1" x14ac:dyDescent="0.15">
      <c r="A262" s="110"/>
      <c r="B262" s="110"/>
      <c r="C262" s="110"/>
      <c r="D262" s="110"/>
      <c r="E262" s="110"/>
      <c r="F262" s="110"/>
      <c r="G262" s="110"/>
      <c r="H262" s="110"/>
      <c r="I262" s="110"/>
      <c r="J262" s="110"/>
      <c r="K262" s="110"/>
      <c r="L262" s="110"/>
      <c r="M262" s="110"/>
      <c r="N262" s="110"/>
      <c r="O262" s="110"/>
    </row>
    <row r="263" spans="1:15" ht="12" customHeight="1" x14ac:dyDescent="0.15">
      <c r="A263" s="110"/>
      <c r="B263" s="110"/>
      <c r="C263" s="110"/>
      <c r="D263" s="110"/>
      <c r="E263" s="110"/>
      <c r="F263" s="110"/>
      <c r="G263" s="110"/>
      <c r="H263" s="110"/>
      <c r="I263" s="110"/>
      <c r="J263" s="110"/>
      <c r="K263" s="110"/>
      <c r="L263" s="110"/>
      <c r="M263" s="110"/>
      <c r="N263" s="110"/>
      <c r="O263" s="110"/>
    </row>
    <row r="264" spans="1:15" ht="12" customHeight="1" x14ac:dyDescent="0.15">
      <c r="A264" s="110"/>
      <c r="B264" s="110"/>
      <c r="C264" s="110"/>
      <c r="D264" s="110"/>
      <c r="E264" s="110"/>
      <c r="F264" s="110"/>
      <c r="G264" s="110"/>
      <c r="H264" s="110"/>
      <c r="I264" s="110"/>
      <c r="J264" s="110"/>
      <c r="K264" s="110"/>
      <c r="L264" s="110"/>
      <c r="M264" s="110"/>
      <c r="N264" s="110"/>
      <c r="O264" s="110"/>
    </row>
    <row r="265" spans="1:15" ht="12" customHeight="1" x14ac:dyDescent="0.15">
      <c r="A265" s="110"/>
      <c r="B265" s="110"/>
      <c r="C265" s="110"/>
      <c r="D265" s="110"/>
      <c r="E265" s="110"/>
      <c r="F265" s="110"/>
      <c r="G265" s="110"/>
      <c r="H265" s="110"/>
      <c r="I265" s="110"/>
      <c r="J265" s="110"/>
      <c r="K265" s="110"/>
      <c r="L265" s="110"/>
      <c r="M265" s="110"/>
      <c r="N265" s="110"/>
      <c r="O265" s="110"/>
    </row>
    <row r="266" spans="1:15" ht="12" customHeight="1" x14ac:dyDescent="0.15">
      <c r="A266" s="110"/>
      <c r="B266" s="110"/>
      <c r="C266" s="110"/>
      <c r="D266" s="110"/>
      <c r="E266" s="110"/>
      <c r="F266" s="110"/>
      <c r="G266" s="110"/>
      <c r="H266" s="110"/>
      <c r="I266" s="110"/>
      <c r="J266" s="110"/>
      <c r="K266" s="110"/>
      <c r="L266" s="110"/>
      <c r="M266" s="110"/>
      <c r="N266" s="110"/>
      <c r="O266" s="110"/>
    </row>
    <row r="267" spans="1:15" ht="12" customHeight="1" x14ac:dyDescent="0.15">
      <c r="A267" s="110"/>
      <c r="B267" s="110"/>
      <c r="C267" s="110"/>
      <c r="D267" s="110"/>
      <c r="E267" s="110"/>
      <c r="F267" s="110"/>
      <c r="G267" s="110"/>
      <c r="H267" s="110"/>
      <c r="I267" s="110"/>
      <c r="J267" s="110"/>
      <c r="K267" s="110"/>
      <c r="L267" s="110"/>
      <c r="M267" s="110"/>
      <c r="N267" s="110"/>
      <c r="O267" s="110"/>
    </row>
    <row r="268" spans="1:15" ht="12" customHeight="1" x14ac:dyDescent="0.15">
      <c r="A268" s="110"/>
      <c r="B268" s="110"/>
      <c r="C268" s="110"/>
      <c r="D268" s="110"/>
      <c r="E268" s="110"/>
      <c r="F268" s="110"/>
      <c r="G268" s="110"/>
      <c r="H268" s="110"/>
      <c r="I268" s="110"/>
      <c r="J268" s="110"/>
      <c r="K268" s="110"/>
      <c r="L268" s="110"/>
      <c r="M268" s="110"/>
      <c r="N268" s="110"/>
      <c r="O268" s="110"/>
    </row>
    <row r="269" spans="1:15" ht="12" customHeight="1" x14ac:dyDescent="0.15">
      <c r="A269" s="110"/>
      <c r="B269" s="110"/>
      <c r="C269" s="110"/>
      <c r="D269" s="110"/>
      <c r="E269" s="110"/>
      <c r="F269" s="110"/>
      <c r="G269" s="110"/>
      <c r="H269" s="110"/>
      <c r="I269" s="110"/>
      <c r="J269" s="110"/>
      <c r="K269" s="110"/>
      <c r="L269" s="110"/>
      <c r="M269" s="110"/>
      <c r="N269" s="110"/>
      <c r="O269" s="110"/>
    </row>
    <row r="270" spans="1:15" ht="12" customHeight="1" x14ac:dyDescent="0.15">
      <c r="A270" s="110"/>
      <c r="B270" s="110"/>
      <c r="C270" s="110"/>
      <c r="D270" s="110"/>
      <c r="E270" s="110"/>
      <c r="F270" s="110"/>
      <c r="G270" s="110"/>
      <c r="H270" s="110"/>
      <c r="I270" s="110"/>
      <c r="J270" s="110"/>
      <c r="K270" s="110"/>
      <c r="L270" s="110"/>
      <c r="M270" s="110"/>
      <c r="N270" s="110"/>
      <c r="O270" s="110"/>
    </row>
    <row r="271" spans="1:15" ht="12" customHeight="1" x14ac:dyDescent="0.15">
      <c r="A271" s="110"/>
      <c r="B271" s="110"/>
      <c r="C271" s="110"/>
      <c r="D271" s="110"/>
      <c r="E271" s="110"/>
      <c r="F271" s="110"/>
      <c r="G271" s="110"/>
      <c r="H271" s="110"/>
      <c r="I271" s="110"/>
      <c r="J271" s="110"/>
      <c r="K271" s="110"/>
      <c r="L271" s="110"/>
      <c r="M271" s="110"/>
      <c r="N271" s="110"/>
      <c r="O271" s="110"/>
    </row>
    <row r="272" spans="1:15" ht="12" customHeight="1" x14ac:dyDescent="0.15">
      <c r="A272" s="110"/>
      <c r="B272" s="110"/>
      <c r="C272" s="110"/>
      <c r="D272" s="110"/>
      <c r="E272" s="110"/>
      <c r="F272" s="110"/>
      <c r="G272" s="110"/>
      <c r="H272" s="110"/>
      <c r="I272" s="110"/>
      <c r="J272" s="110"/>
      <c r="K272" s="110"/>
      <c r="L272" s="110"/>
      <c r="M272" s="110"/>
      <c r="N272" s="110"/>
      <c r="O272" s="110"/>
    </row>
    <row r="273" spans="1:15" ht="12" customHeight="1" x14ac:dyDescent="0.15">
      <c r="A273" s="110"/>
      <c r="B273" s="110"/>
      <c r="C273" s="110"/>
      <c r="D273" s="110"/>
      <c r="E273" s="110"/>
      <c r="F273" s="110"/>
      <c r="G273" s="110"/>
      <c r="H273" s="110"/>
      <c r="I273" s="110"/>
      <c r="J273" s="110"/>
      <c r="K273" s="110"/>
      <c r="L273" s="110"/>
      <c r="M273" s="110"/>
      <c r="N273" s="110"/>
      <c r="O273" s="110"/>
    </row>
    <row r="274" spans="1:15" ht="12" customHeight="1" x14ac:dyDescent="0.15">
      <c r="A274" s="110"/>
      <c r="B274" s="110"/>
      <c r="C274" s="110"/>
      <c r="D274" s="110"/>
      <c r="E274" s="110"/>
      <c r="F274" s="110"/>
      <c r="G274" s="110"/>
      <c r="H274" s="110"/>
      <c r="I274" s="110"/>
      <c r="J274" s="110"/>
      <c r="K274" s="110"/>
      <c r="L274" s="110"/>
      <c r="M274" s="110"/>
      <c r="N274" s="110"/>
      <c r="O274" s="110"/>
    </row>
    <row r="275" spans="1:15" ht="12" customHeight="1" x14ac:dyDescent="0.15">
      <c r="A275" s="110"/>
      <c r="B275" s="110"/>
      <c r="C275" s="110"/>
      <c r="D275" s="110"/>
      <c r="E275" s="110"/>
      <c r="F275" s="110"/>
      <c r="G275" s="110"/>
      <c r="H275" s="110"/>
      <c r="I275" s="110"/>
      <c r="J275" s="110"/>
      <c r="K275" s="110"/>
      <c r="L275" s="110"/>
      <c r="M275" s="110"/>
      <c r="N275" s="110"/>
      <c r="O275" s="110"/>
    </row>
    <row r="276" spans="1:15" ht="12" customHeight="1" x14ac:dyDescent="0.15">
      <c r="A276" s="110"/>
      <c r="B276" s="110"/>
      <c r="C276" s="110"/>
      <c r="D276" s="110"/>
      <c r="E276" s="110"/>
      <c r="F276" s="110"/>
      <c r="G276" s="110"/>
      <c r="H276" s="110"/>
      <c r="I276" s="110"/>
      <c r="J276" s="110"/>
      <c r="K276" s="110"/>
      <c r="L276" s="110"/>
      <c r="M276" s="110"/>
      <c r="N276" s="110"/>
      <c r="O276" s="110"/>
    </row>
    <row r="277" spans="1:15" ht="12" customHeight="1" x14ac:dyDescent="0.15">
      <c r="A277" s="110"/>
      <c r="B277" s="110"/>
      <c r="C277" s="110"/>
      <c r="D277" s="110"/>
      <c r="E277" s="110"/>
      <c r="F277" s="110"/>
      <c r="G277" s="110"/>
      <c r="H277" s="110"/>
      <c r="I277" s="110"/>
      <c r="J277" s="110"/>
      <c r="K277" s="110"/>
      <c r="L277" s="110"/>
      <c r="M277" s="110"/>
      <c r="N277" s="110"/>
      <c r="O277" s="110"/>
    </row>
    <row r="278" spans="1:15" ht="12" customHeight="1" x14ac:dyDescent="0.15">
      <c r="A278" s="110"/>
      <c r="B278" s="110"/>
      <c r="C278" s="110"/>
      <c r="D278" s="110"/>
      <c r="E278" s="110"/>
      <c r="F278" s="110"/>
      <c r="G278" s="110"/>
      <c r="H278" s="110"/>
      <c r="I278" s="110"/>
      <c r="J278" s="110"/>
      <c r="K278" s="110"/>
      <c r="L278" s="110"/>
      <c r="M278" s="110"/>
      <c r="N278" s="110"/>
      <c r="O278" s="110"/>
    </row>
    <row r="279" spans="1:15" ht="12" customHeight="1" x14ac:dyDescent="0.15">
      <c r="A279" s="110"/>
      <c r="B279" s="110"/>
      <c r="C279" s="110"/>
      <c r="D279" s="110"/>
      <c r="E279" s="110"/>
      <c r="F279" s="110"/>
      <c r="G279" s="110"/>
      <c r="H279" s="110"/>
      <c r="I279" s="110"/>
      <c r="J279" s="110"/>
      <c r="K279" s="110"/>
      <c r="L279" s="110"/>
      <c r="M279" s="110"/>
      <c r="N279" s="110"/>
      <c r="O279" s="110"/>
    </row>
    <row r="280" spans="1:15" ht="12" customHeight="1" x14ac:dyDescent="0.15">
      <c r="A280" s="110"/>
      <c r="B280" s="110"/>
      <c r="C280" s="110"/>
      <c r="D280" s="110"/>
      <c r="E280" s="110"/>
      <c r="F280" s="110"/>
      <c r="G280" s="110"/>
      <c r="H280" s="110"/>
      <c r="I280" s="110"/>
      <c r="J280" s="110"/>
      <c r="K280" s="110"/>
      <c r="L280" s="110"/>
      <c r="M280" s="110"/>
      <c r="N280" s="110"/>
      <c r="O280" s="110"/>
    </row>
    <row r="281" spans="1:15" ht="12" customHeight="1" x14ac:dyDescent="0.15">
      <c r="A281" s="110"/>
      <c r="B281" s="110"/>
      <c r="C281" s="110"/>
      <c r="D281" s="110"/>
      <c r="E281" s="110"/>
      <c r="F281" s="110"/>
      <c r="G281" s="110"/>
      <c r="H281" s="110"/>
      <c r="I281" s="110"/>
      <c r="J281" s="110"/>
      <c r="K281" s="110"/>
      <c r="L281" s="110"/>
      <c r="M281" s="110"/>
      <c r="N281" s="110"/>
      <c r="O281" s="110"/>
    </row>
    <row r="282" spans="1:15" ht="12" customHeight="1" x14ac:dyDescent="0.15">
      <c r="A282" s="110"/>
      <c r="B282" s="110"/>
      <c r="C282" s="110"/>
      <c r="D282" s="110"/>
      <c r="E282" s="110"/>
      <c r="F282" s="110"/>
      <c r="G282" s="110"/>
      <c r="H282" s="110"/>
      <c r="I282" s="110"/>
      <c r="J282" s="110"/>
      <c r="K282" s="110"/>
      <c r="L282" s="110"/>
      <c r="M282" s="110"/>
      <c r="N282" s="110"/>
      <c r="O282" s="110"/>
    </row>
    <row r="283" spans="1:15" ht="12" customHeight="1" x14ac:dyDescent="0.15">
      <c r="A283" s="110"/>
      <c r="B283" s="110"/>
      <c r="C283" s="110"/>
      <c r="D283" s="110"/>
      <c r="E283" s="110"/>
      <c r="F283" s="110"/>
      <c r="G283" s="110"/>
      <c r="H283" s="110"/>
      <c r="I283" s="110"/>
      <c r="J283" s="110"/>
      <c r="K283" s="110"/>
      <c r="L283" s="110"/>
      <c r="M283" s="110"/>
      <c r="N283" s="110"/>
      <c r="O283" s="110"/>
    </row>
    <row r="284" spans="1:15" ht="12" customHeight="1" x14ac:dyDescent="0.15">
      <c r="A284" s="110"/>
      <c r="B284" s="110"/>
      <c r="C284" s="110"/>
      <c r="D284" s="110"/>
      <c r="E284" s="110"/>
      <c r="F284" s="110"/>
      <c r="G284" s="110"/>
      <c r="H284" s="110"/>
      <c r="I284" s="110"/>
      <c r="J284" s="110"/>
      <c r="K284" s="110"/>
      <c r="L284" s="110"/>
      <c r="M284" s="110"/>
      <c r="N284" s="110"/>
      <c r="O284" s="110"/>
    </row>
    <row r="285" spans="1:15" ht="12" customHeight="1" x14ac:dyDescent="0.15">
      <c r="A285" s="110"/>
      <c r="B285" s="110"/>
      <c r="C285" s="110"/>
      <c r="D285" s="110"/>
      <c r="E285" s="110"/>
      <c r="F285" s="110"/>
      <c r="G285" s="110"/>
      <c r="H285" s="110"/>
      <c r="I285" s="110"/>
      <c r="J285" s="110"/>
      <c r="K285" s="110"/>
      <c r="L285" s="110"/>
      <c r="M285" s="110"/>
      <c r="N285" s="110"/>
      <c r="O285" s="110"/>
    </row>
    <row r="286" spans="1:15" ht="12" customHeight="1" x14ac:dyDescent="0.15">
      <c r="A286" s="110"/>
      <c r="B286" s="110"/>
      <c r="C286" s="110"/>
      <c r="D286" s="110"/>
      <c r="E286" s="110"/>
      <c r="F286" s="110"/>
      <c r="G286" s="110"/>
      <c r="H286" s="110"/>
      <c r="I286" s="110"/>
      <c r="J286" s="110"/>
      <c r="K286" s="110"/>
      <c r="L286" s="110"/>
      <c r="M286" s="110"/>
      <c r="N286" s="110"/>
      <c r="O286" s="110"/>
    </row>
    <row r="287" spans="1:15" ht="12" customHeight="1" x14ac:dyDescent="0.15">
      <c r="A287" s="110"/>
      <c r="B287" s="110"/>
      <c r="C287" s="110"/>
      <c r="D287" s="110"/>
      <c r="E287" s="110"/>
      <c r="F287" s="110"/>
      <c r="G287" s="110"/>
      <c r="H287" s="110"/>
      <c r="I287" s="110"/>
      <c r="J287" s="110"/>
      <c r="K287" s="110"/>
      <c r="L287" s="110"/>
      <c r="M287" s="110"/>
      <c r="N287" s="110"/>
      <c r="O287" s="110"/>
    </row>
    <row r="288" spans="1:15" ht="12" customHeight="1" x14ac:dyDescent="0.15">
      <c r="A288" s="110"/>
      <c r="B288" s="110"/>
      <c r="C288" s="110"/>
      <c r="D288" s="110"/>
      <c r="E288" s="110"/>
      <c r="F288" s="110"/>
      <c r="G288" s="110"/>
      <c r="H288" s="110"/>
      <c r="I288" s="110"/>
      <c r="J288" s="110"/>
      <c r="K288" s="110"/>
      <c r="L288" s="110"/>
      <c r="M288" s="110"/>
      <c r="N288" s="110"/>
      <c r="O288" s="110"/>
    </row>
    <row r="289" spans="1:15" ht="12" customHeight="1" x14ac:dyDescent="0.15">
      <c r="A289" s="110"/>
      <c r="B289" s="110"/>
      <c r="C289" s="110"/>
      <c r="D289" s="110"/>
      <c r="E289" s="110"/>
      <c r="F289" s="110"/>
      <c r="G289" s="110"/>
      <c r="H289" s="110"/>
      <c r="I289" s="110"/>
      <c r="J289" s="110"/>
      <c r="K289" s="110"/>
      <c r="L289" s="110"/>
      <c r="M289" s="110"/>
      <c r="N289" s="110"/>
      <c r="O289" s="110"/>
    </row>
    <row r="290" spans="1:15" ht="12" customHeight="1" x14ac:dyDescent="0.15">
      <c r="A290" s="110"/>
      <c r="B290" s="110"/>
      <c r="C290" s="110"/>
      <c r="D290" s="110"/>
      <c r="E290" s="110"/>
      <c r="F290" s="110"/>
      <c r="G290" s="110"/>
      <c r="H290" s="110"/>
      <c r="I290" s="110"/>
      <c r="J290" s="110"/>
      <c r="K290" s="110"/>
      <c r="L290" s="110"/>
      <c r="M290" s="110"/>
      <c r="N290" s="110"/>
      <c r="O290" s="110"/>
    </row>
    <row r="291" spans="1:15" ht="12" customHeight="1" x14ac:dyDescent="0.15">
      <c r="A291" s="110"/>
      <c r="B291" s="110"/>
      <c r="C291" s="110"/>
      <c r="D291" s="110"/>
      <c r="E291" s="110"/>
      <c r="F291" s="110"/>
      <c r="G291" s="110"/>
      <c r="H291" s="110"/>
      <c r="I291" s="110"/>
      <c r="J291" s="110"/>
      <c r="K291" s="110"/>
      <c r="L291" s="110"/>
      <c r="M291" s="110"/>
      <c r="N291" s="110"/>
      <c r="O291" s="110"/>
    </row>
    <row r="292" spans="1:15" ht="12" customHeight="1" x14ac:dyDescent="0.15">
      <c r="A292" s="110"/>
      <c r="B292" s="110"/>
      <c r="C292" s="110"/>
      <c r="D292" s="110"/>
      <c r="E292" s="110"/>
      <c r="F292" s="110"/>
      <c r="G292" s="110"/>
      <c r="H292" s="110"/>
      <c r="I292" s="110"/>
      <c r="J292" s="110"/>
      <c r="K292" s="110"/>
      <c r="L292" s="110"/>
      <c r="M292" s="110"/>
      <c r="N292" s="110"/>
      <c r="O292" s="110"/>
    </row>
    <row r="293" spans="1:15" ht="12" customHeight="1" x14ac:dyDescent="0.15">
      <c r="A293" s="110"/>
      <c r="B293" s="110"/>
      <c r="C293" s="110"/>
      <c r="D293" s="110"/>
      <c r="E293" s="110"/>
      <c r="F293" s="110"/>
      <c r="G293" s="110"/>
      <c r="H293" s="110"/>
      <c r="I293" s="110"/>
      <c r="J293" s="110"/>
      <c r="K293" s="110"/>
      <c r="L293" s="110"/>
      <c r="M293" s="110"/>
      <c r="N293" s="110"/>
      <c r="O293" s="110"/>
    </row>
    <row r="294" spans="1:15" ht="12" customHeight="1" x14ac:dyDescent="0.15">
      <c r="A294" s="110"/>
      <c r="B294" s="110"/>
      <c r="C294" s="110"/>
      <c r="D294" s="110"/>
      <c r="E294" s="110"/>
      <c r="F294" s="110"/>
      <c r="G294" s="110"/>
      <c r="H294" s="110"/>
      <c r="I294" s="110"/>
      <c r="J294" s="110"/>
      <c r="K294" s="110"/>
      <c r="L294" s="110"/>
      <c r="M294" s="110"/>
      <c r="N294" s="110"/>
      <c r="O294" s="110"/>
    </row>
    <row r="295" spans="1:15" ht="12" customHeight="1" x14ac:dyDescent="0.15">
      <c r="A295" s="110"/>
      <c r="B295" s="110"/>
      <c r="C295" s="110"/>
      <c r="D295" s="110"/>
      <c r="E295" s="110"/>
      <c r="F295" s="110"/>
      <c r="G295" s="110"/>
      <c r="H295" s="110"/>
      <c r="I295" s="110"/>
      <c r="J295" s="110"/>
      <c r="K295" s="110"/>
      <c r="L295" s="110"/>
      <c r="M295" s="110"/>
      <c r="N295" s="110"/>
      <c r="O295" s="110"/>
    </row>
    <row r="296" spans="1:15" ht="12" customHeight="1" x14ac:dyDescent="0.15">
      <c r="A296" s="110"/>
      <c r="B296" s="110"/>
      <c r="C296" s="110"/>
      <c r="D296" s="110"/>
      <c r="E296" s="110"/>
      <c r="F296" s="110"/>
      <c r="G296" s="110"/>
      <c r="H296" s="110"/>
      <c r="I296" s="110"/>
      <c r="J296" s="110"/>
      <c r="K296" s="110"/>
      <c r="L296" s="110"/>
      <c r="M296" s="110"/>
      <c r="N296" s="110"/>
      <c r="O296" s="110"/>
    </row>
    <row r="297" spans="1:15" ht="12" customHeight="1" x14ac:dyDescent="0.15">
      <c r="A297" s="110"/>
      <c r="B297" s="110"/>
      <c r="C297" s="110"/>
      <c r="D297" s="110"/>
      <c r="E297" s="110"/>
      <c r="F297" s="110"/>
      <c r="G297" s="110"/>
      <c r="H297" s="110"/>
      <c r="I297" s="110"/>
      <c r="J297" s="110"/>
      <c r="K297" s="110"/>
      <c r="L297" s="110"/>
      <c r="M297" s="110"/>
      <c r="N297" s="110"/>
      <c r="O297" s="110"/>
    </row>
    <row r="298" spans="1:15" ht="12" customHeight="1" x14ac:dyDescent="0.15">
      <c r="A298" s="110"/>
      <c r="B298" s="110"/>
      <c r="C298" s="110"/>
      <c r="D298" s="110"/>
      <c r="E298" s="110"/>
      <c r="F298" s="110"/>
      <c r="G298" s="110"/>
      <c r="H298" s="110"/>
      <c r="I298" s="110"/>
      <c r="J298" s="110"/>
      <c r="K298" s="110"/>
      <c r="L298" s="110"/>
      <c r="M298" s="110"/>
      <c r="N298" s="110"/>
      <c r="O298" s="110"/>
    </row>
    <row r="299" spans="1:15" ht="12" customHeight="1" x14ac:dyDescent="0.15">
      <c r="A299" s="110"/>
      <c r="B299" s="110"/>
      <c r="C299" s="110"/>
      <c r="D299" s="110"/>
      <c r="E299" s="110"/>
      <c r="F299" s="110"/>
      <c r="G299" s="110"/>
      <c r="H299" s="110"/>
      <c r="I299" s="110"/>
      <c r="J299" s="110"/>
      <c r="K299" s="110"/>
      <c r="L299" s="110"/>
      <c r="M299" s="110"/>
      <c r="N299" s="110"/>
      <c r="O299" s="110"/>
    </row>
    <row r="300" spans="1:15" ht="12" customHeight="1" x14ac:dyDescent="0.15">
      <c r="A300" s="110"/>
      <c r="B300" s="110"/>
      <c r="C300" s="110"/>
      <c r="D300" s="110"/>
      <c r="E300" s="110"/>
      <c r="F300" s="110"/>
      <c r="G300" s="110"/>
      <c r="H300" s="110"/>
      <c r="I300" s="110"/>
      <c r="J300" s="110"/>
      <c r="K300" s="110"/>
      <c r="L300" s="110"/>
      <c r="M300" s="110"/>
      <c r="N300" s="110"/>
      <c r="O300" s="110"/>
    </row>
    <row r="301" spans="1:15" ht="12" customHeight="1" x14ac:dyDescent="0.15">
      <c r="A301" s="110"/>
      <c r="B301" s="110"/>
      <c r="C301" s="110"/>
      <c r="D301" s="110"/>
      <c r="E301" s="110"/>
      <c r="F301" s="110"/>
      <c r="G301" s="110"/>
      <c r="H301" s="110"/>
      <c r="I301" s="110"/>
      <c r="J301" s="110"/>
      <c r="K301" s="110"/>
      <c r="L301" s="110"/>
      <c r="M301" s="110"/>
      <c r="N301" s="110"/>
      <c r="O301" s="110"/>
    </row>
    <row r="302" spans="1:15" ht="12" customHeight="1" x14ac:dyDescent="0.15">
      <c r="A302" s="110"/>
      <c r="B302" s="110"/>
      <c r="C302" s="110"/>
      <c r="D302" s="110"/>
      <c r="E302" s="110"/>
      <c r="F302" s="110"/>
      <c r="G302" s="110"/>
      <c r="H302" s="110"/>
      <c r="I302" s="110"/>
      <c r="J302" s="110"/>
      <c r="K302" s="110"/>
      <c r="L302" s="110"/>
      <c r="M302" s="110"/>
      <c r="N302" s="110"/>
      <c r="O302" s="110"/>
    </row>
    <row r="303" spans="1:15" ht="12" customHeight="1" x14ac:dyDescent="0.15">
      <c r="A303" s="110"/>
      <c r="B303" s="110"/>
      <c r="C303" s="110"/>
      <c r="D303" s="110"/>
      <c r="E303" s="110"/>
      <c r="F303" s="110"/>
      <c r="G303" s="110"/>
      <c r="H303" s="110"/>
      <c r="I303" s="110"/>
      <c r="J303" s="110"/>
      <c r="K303" s="110"/>
      <c r="L303" s="110"/>
      <c r="M303" s="110"/>
      <c r="N303" s="110"/>
      <c r="O303" s="110"/>
    </row>
    <row r="304" spans="1:15" ht="12" customHeight="1" x14ac:dyDescent="0.15">
      <c r="A304" s="110"/>
      <c r="B304" s="110"/>
      <c r="C304" s="110"/>
      <c r="D304" s="110"/>
      <c r="E304" s="110"/>
      <c r="F304" s="110"/>
      <c r="G304" s="110"/>
      <c r="H304" s="110"/>
      <c r="I304" s="110"/>
      <c r="J304" s="110"/>
      <c r="K304" s="110"/>
      <c r="L304" s="110"/>
      <c r="M304" s="110"/>
      <c r="N304" s="110"/>
      <c r="O304" s="110"/>
    </row>
    <row r="305" spans="1:15" ht="12" customHeight="1" x14ac:dyDescent="0.15">
      <c r="A305" s="110"/>
      <c r="B305" s="110"/>
      <c r="C305" s="110"/>
      <c r="D305" s="110"/>
      <c r="E305" s="110"/>
      <c r="F305" s="110"/>
      <c r="G305" s="110"/>
      <c r="H305" s="110"/>
      <c r="I305" s="110"/>
      <c r="J305" s="110"/>
      <c r="K305" s="110"/>
      <c r="L305" s="110"/>
      <c r="M305" s="110"/>
      <c r="N305" s="110"/>
      <c r="O305" s="110"/>
    </row>
    <row r="306" spans="1:15" ht="12" customHeight="1" x14ac:dyDescent="0.15">
      <c r="A306" s="110"/>
      <c r="B306" s="110"/>
      <c r="C306" s="110"/>
      <c r="D306" s="110"/>
      <c r="E306" s="110"/>
      <c r="F306" s="110"/>
      <c r="G306" s="110"/>
      <c r="H306" s="110"/>
      <c r="I306" s="110"/>
      <c r="J306" s="110"/>
      <c r="K306" s="110"/>
      <c r="L306" s="110"/>
      <c r="M306" s="110"/>
      <c r="N306" s="110"/>
      <c r="O306" s="110"/>
    </row>
    <row r="307" spans="1:15" ht="12" customHeight="1" x14ac:dyDescent="0.15">
      <c r="A307" s="110"/>
      <c r="B307" s="110"/>
      <c r="C307" s="110"/>
      <c r="D307" s="110"/>
      <c r="E307" s="110"/>
      <c r="F307" s="110"/>
      <c r="G307" s="110"/>
      <c r="H307" s="110"/>
      <c r="I307" s="110"/>
      <c r="J307" s="110"/>
      <c r="K307" s="110"/>
      <c r="L307" s="110"/>
      <c r="M307" s="110"/>
      <c r="N307" s="110"/>
      <c r="O307" s="110"/>
    </row>
    <row r="308" spans="1:15" ht="12" customHeight="1" x14ac:dyDescent="0.15">
      <c r="A308" s="110"/>
      <c r="B308" s="110"/>
      <c r="C308" s="110"/>
      <c r="D308" s="110"/>
      <c r="E308" s="110"/>
      <c r="F308" s="110"/>
      <c r="G308" s="110"/>
      <c r="H308" s="110"/>
      <c r="I308" s="110"/>
      <c r="J308" s="110"/>
      <c r="K308" s="110"/>
      <c r="L308" s="110"/>
      <c r="M308" s="110"/>
      <c r="N308" s="110"/>
      <c r="O308" s="110"/>
    </row>
    <row r="309" spans="1:15" ht="12" customHeight="1" x14ac:dyDescent="0.15">
      <c r="A309" s="110"/>
      <c r="B309" s="110"/>
      <c r="C309" s="110"/>
      <c r="D309" s="110"/>
      <c r="E309" s="110"/>
      <c r="F309" s="110"/>
      <c r="G309" s="110"/>
      <c r="H309" s="110"/>
      <c r="I309" s="110"/>
      <c r="J309" s="110"/>
      <c r="K309" s="110"/>
      <c r="L309" s="110"/>
      <c r="M309" s="110"/>
      <c r="N309" s="110"/>
      <c r="O309" s="110"/>
    </row>
    <row r="310" spans="1:15" ht="12" customHeight="1" x14ac:dyDescent="0.15">
      <c r="A310" s="110"/>
      <c r="B310" s="110"/>
      <c r="C310" s="110"/>
      <c r="D310" s="110"/>
      <c r="E310" s="110"/>
      <c r="F310" s="110"/>
      <c r="G310" s="110"/>
      <c r="H310" s="110"/>
      <c r="I310" s="110"/>
      <c r="J310" s="110"/>
      <c r="K310" s="110"/>
      <c r="L310" s="110"/>
      <c r="M310" s="110"/>
      <c r="N310" s="110"/>
      <c r="O310" s="110"/>
    </row>
    <row r="311" spans="1:15" ht="12" customHeight="1" x14ac:dyDescent="0.15">
      <c r="A311" s="110"/>
      <c r="B311" s="110"/>
      <c r="C311" s="110"/>
      <c r="D311" s="110"/>
      <c r="E311" s="110"/>
      <c r="F311" s="110"/>
      <c r="G311" s="110"/>
      <c r="H311" s="110"/>
      <c r="I311" s="110"/>
      <c r="J311" s="110"/>
      <c r="K311" s="110"/>
      <c r="L311" s="110"/>
      <c r="M311" s="110"/>
      <c r="N311" s="110"/>
      <c r="O311" s="110"/>
    </row>
    <row r="312" spans="1:15" ht="12" customHeight="1" x14ac:dyDescent="0.15">
      <c r="A312" s="110"/>
      <c r="B312" s="110"/>
      <c r="C312" s="110"/>
      <c r="D312" s="110"/>
      <c r="E312" s="110"/>
      <c r="F312" s="110"/>
      <c r="G312" s="110"/>
      <c r="H312" s="110"/>
      <c r="I312" s="110"/>
      <c r="J312" s="110"/>
      <c r="K312" s="110"/>
      <c r="L312" s="110"/>
      <c r="M312" s="110"/>
      <c r="N312" s="110"/>
      <c r="O312" s="110"/>
    </row>
    <row r="313" spans="1:15" ht="12" customHeight="1" x14ac:dyDescent="0.15">
      <c r="A313" s="110"/>
      <c r="B313" s="110"/>
      <c r="C313" s="110"/>
      <c r="D313" s="110"/>
      <c r="E313" s="110"/>
      <c r="F313" s="110"/>
      <c r="G313" s="110"/>
      <c r="H313" s="110"/>
      <c r="I313" s="110"/>
      <c r="J313" s="110"/>
      <c r="K313" s="110"/>
      <c r="L313" s="110"/>
      <c r="M313" s="110"/>
      <c r="N313" s="110"/>
      <c r="O313" s="110"/>
    </row>
    <row r="314" spans="1:15" ht="12" customHeight="1" x14ac:dyDescent="0.15">
      <c r="A314" s="110"/>
      <c r="B314" s="110"/>
      <c r="C314" s="110"/>
      <c r="D314" s="110"/>
      <c r="E314" s="110"/>
      <c r="F314" s="110"/>
      <c r="G314" s="110"/>
      <c r="H314" s="110"/>
      <c r="I314" s="110"/>
      <c r="J314" s="110"/>
      <c r="K314" s="110"/>
      <c r="L314" s="110"/>
      <c r="M314" s="110"/>
      <c r="N314" s="110"/>
      <c r="O314" s="110"/>
    </row>
    <row r="315" spans="1:15" ht="12" customHeight="1" x14ac:dyDescent="0.15">
      <c r="A315" s="110"/>
      <c r="B315" s="110"/>
      <c r="C315" s="110"/>
      <c r="D315" s="110"/>
      <c r="E315" s="110"/>
      <c r="F315" s="110"/>
      <c r="G315" s="110"/>
      <c r="H315" s="110"/>
      <c r="I315" s="110"/>
      <c r="J315" s="110"/>
      <c r="K315" s="110"/>
      <c r="L315" s="110"/>
      <c r="M315" s="110"/>
      <c r="N315" s="110"/>
      <c r="O315" s="110"/>
    </row>
    <row r="316" spans="1:15" ht="12" customHeight="1" x14ac:dyDescent="0.15">
      <c r="A316" s="110"/>
      <c r="B316" s="110"/>
      <c r="C316" s="110"/>
      <c r="D316" s="110"/>
      <c r="E316" s="110"/>
      <c r="F316" s="110"/>
      <c r="G316" s="110"/>
      <c r="H316" s="110"/>
      <c r="I316" s="110"/>
      <c r="J316" s="110"/>
      <c r="K316" s="110"/>
      <c r="L316" s="110"/>
      <c r="M316" s="110"/>
      <c r="N316" s="110"/>
      <c r="O316" s="110"/>
    </row>
    <row r="317" spans="1:15" ht="12" customHeight="1" x14ac:dyDescent="0.15">
      <c r="A317" s="110"/>
      <c r="B317" s="110"/>
      <c r="C317" s="110"/>
      <c r="D317" s="110"/>
      <c r="E317" s="110"/>
      <c r="F317" s="110"/>
      <c r="G317" s="110"/>
      <c r="H317" s="110"/>
      <c r="I317" s="110"/>
      <c r="J317" s="110"/>
      <c r="K317" s="110"/>
      <c r="L317" s="110"/>
      <c r="M317" s="110"/>
      <c r="N317" s="110"/>
      <c r="O317" s="110"/>
    </row>
    <row r="318" spans="1:15" ht="12" customHeight="1" x14ac:dyDescent="0.15">
      <c r="A318" s="110"/>
      <c r="B318" s="110"/>
      <c r="C318" s="110"/>
      <c r="D318" s="110"/>
      <c r="E318" s="110"/>
      <c r="F318" s="110"/>
      <c r="G318" s="110"/>
      <c r="H318" s="110"/>
      <c r="I318" s="110"/>
      <c r="J318" s="110"/>
      <c r="K318" s="110"/>
      <c r="L318" s="110"/>
      <c r="M318" s="110"/>
      <c r="N318" s="110"/>
      <c r="O318" s="110"/>
    </row>
    <row r="319" spans="1:15" ht="12" customHeight="1" x14ac:dyDescent="0.15">
      <c r="A319" s="110"/>
      <c r="B319" s="110"/>
      <c r="C319" s="110"/>
      <c r="D319" s="110"/>
      <c r="E319" s="110"/>
      <c r="F319" s="110"/>
      <c r="G319" s="110"/>
      <c r="H319" s="110"/>
      <c r="I319" s="110"/>
      <c r="J319" s="110"/>
      <c r="K319" s="110"/>
      <c r="L319" s="110"/>
      <c r="M319" s="110"/>
      <c r="N319" s="110"/>
      <c r="O319" s="110"/>
    </row>
    <row r="320" spans="1:15" ht="12" customHeight="1" x14ac:dyDescent="0.15">
      <c r="A320" s="110"/>
      <c r="B320" s="110"/>
      <c r="C320" s="110"/>
      <c r="D320" s="110"/>
      <c r="E320" s="110"/>
      <c r="F320" s="110"/>
      <c r="G320" s="110"/>
      <c r="H320" s="110"/>
      <c r="I320" s="110"/>
      <c r="J320" s="110"/>
      <c r="K320" s="110"/>
      <c r="L320" s="110"/>
      <c r="M320" s="110"/>
      <c r="N320" s="110"/>
      <c r="O320" s="110"/>
    </row>
    <row r="321" spans="1:15" ht="12" customHeight="1" x14ac:dyDescent="0.15">
      <c r="A321" s="110"/>
      <c r="B321" s="110"/>
      <c r="C321" s="110"/>
      <c r="D321" s="110"/>
      <c r="E321" s="110"/>
      <c r="F321" s="110"/>
      <c r="G321" s="110"/>
      <c r="H321" s="110"/>
      <c r="I321" s="110"/>
      <c r="J321" s="110"/>
      <c r="K321" s="110"/>
      <c r="L321" s="110"/>
      <c r="M321" s="110"/>
      <c r="N321" s="110"/>
      <c r="O321" s="110"/>
    </row>
    <row r="322" spans="1:15" ht="12" customHeight="1" x14ac:dyDescent="0.15">
      <c r="A322" s="110"/>
      <c r="B322" s="110"/>
      <c r="C322" s="110"/>
      <c r="D322" s="110"/>
      <c r="E322" s="110"/>
      <c r="F322" s="110"/>
      <c r="G322" s="110"/>
      <c r="H322" s="110"/>
      <c r="I322" s="110"/>
      <c r="J322" s="110"/>
      <c r="K322" s="110"/>
      <c r="L322" s="110"/>
      <c r="M322" s="110"/>
      <c r="N322" s="110"/>
      <c r="O322" s="110"/>
    </row>
    <row r="323" spans="1:15" ht="12" customHeight="1" x14ac:dyDescent="0.15">
      <c r="A323" s="110"/>
      <c r="B323" s="110"/>
      <c r="C323" s="110"/>
      <c r="D323" s="110"/>
      <c r="E323" s="110"/>
      <c r="F323" s="110"/>
      <c r="G323" s="110"/>
      <c r="H323" s="110"/>
      <c r="I323" s="110"/>
      <c r="J323" s="110"/>
      <c r="K323" s="110"/>
      <c r="L323" s="110"/>
      <c r="M323" s="110"/>
      <c r="N323" s="110"/>
      <c r="O323" s="110"/>
    </row>
    <row r="324" spans="1:15" ht="12" customHeight="1" x14ac:dyDescent="0.15">
      <c r="A324" s="110"/>
      <c r="B324" s="110"/>
      <c r="C324" s="110"/>
      <c r="D324" s="110"/>
      <c r="E324" s="110"/>
      <c r="F324" s="110"/>
      <c r="G324" s="110"/>
      <c r="H324" s="110"/>
      <c r="I324" s="110"/>
      <c r="J324" s="110"/>
      <c r="K324" s="110"/>
      <c r="L324" s="110"/>
      <c r="M324" s="110"/>
      <c r="N324" s="110"/>
      <c r="O324" s="110"/>
    </row>
    <row r="325" spans="1:15" ht="12" customHeight="1" x14ac:dyDescent="0.15">
      <c r="A325" s="110"/>
      <c r="B325" s="110"/>
      <c r="C325" s="110"/>
      <c r="D325" s="110"/>
      <c r="E325" s="110"/>
      <c r="F325" s="110"/>
      <c r="G325" s="110"/>
      <c r="H325" s="110"/>
      <c r="I325" s="110"/>
      <c r="J325" s="110"/>
      <c r="K325" s="110"/>
      <c r="L325" s="110"/>
      <c r="M325" s="110"/>
      <c r="N325" s="110"/>
      <c r="O325" s="110"/>
    </row>
    <row r="326" spans="1:15" ht="12" customHeight="1" x14ac:dyDescent="0.15">
      <c r="A326" s="110"/>
      <c r="B326" s="110"/>
      <c r="C326" s="110"/>
      <c r="D326" s="110"/>
      <c r="E326" s="110"/>
      <c r="F326" s="110"/>
      <c r="G326" s="110"/>
      <c r="H326" s="110"/>
      <c r="I326" s="110"/>
      <c r="J326" s="110"/>
      <c r="K326" s="110"/>
      <c r="L326" s="110"/>
      <c r="M326" s="110"/>
      <c r="N326" s="110"/>
      <c r="O326" s="110"/>
    </row>
    <row r="327" spans="1:15" ht="12" customHeight="1" x14ac:dyDescent="0.15">
      <c r="A327" s="110"/>
      <c r="B327" s="110"/>
      <c r="C327" s="110"/>
      <c r="D327" s="110"/>
      <c r="E327" s="110"/>
      <c r="F327" s="110"/>
      <c r="G327" s="110"/>
      <c r="H327" s="110"/>
      <c r="I327" s="110"/>
      <c r="J327" s="110"/>
      <c r="K327" s="110"/>
      <c r="L327" s="110"/>
      <c r="M327" s="110"/>
      <c r="N327" s="110"/>
      <c r="O327" s="110"/>
    </row>
    <row r="328" spans="1:15" ht="12" customHeight="1" x14ac:dyDescent="0.15">
      <c r="A328" s="110"/>
      <c r="B328" s="110"/>
      <c r="C328" s="110"/>
      <c r="D328" s="110"/>
      <c r="E328" s="110"/>
      <c r="F328" s="110"/>
      <c r="G328" s="110"/>
      <c r="H328" s="110"/>
      <c r="I328" s="110"/>
      <c r="J328" s="110"/>
      <c r="K328" s="110"/>
      <c r="L328" s="110"/>
      <c r="M328" s="110"/>
      <c r="N328" s="110"/>
      <c r="O328" s="110"/>
    </row>
    <row r="329" spans="1:15" ht="12" customHeight="1" x14ac:dyDescent="0.15">
      <c r="A329" s="110"/>
      <c r="B329" s="110"/>
      <c r="C329" s="110"/>
      <c r="D329" s="110"/>
      <c r="E329" s="110"/>
      <c r="F329" s="110"/>
      <c r="G329" s="110"/>
      <c r="H329" s="110"/>
      <c r="I329" s="110"/>
      <c r="J329" s="110"/>
      <c r="K329" s="110"/>
      <c r="L329" s="110"/>
      <c r="M329" s="110"/>
      <c r="N329" s="110"/>
      <c r="O329" s="110"/>
    </row>
    <row r="330" spans="1:15" ht="12" customHeight="1" x14ac:dyDescent="0.15">
      <c r="A330" s="110"/>
      <c r="B330" s="110"/>
      <c r="C330" s="110"/>
      <c r="D330" s="110"/>
      <c r="E330" s="110"/>
      <c r="F330" s="110"/>
      <c r="G330" s="110"/>
      <c r="H330" s="110"/>
      <c r="I330" s="110"/>
      <c r="J330" s="110"/>
      <c r="K330" s="110"/>
      <c r="L330" s="110"/>
      <c r="M330" s="110"/>
      <c r="N330" s="110"/>
      <c r="O330" s="110"/>
    </row>
    <row r="331" spans="1:15" ht="12" customHeight="1" x14ac:dyDescent="0.15">
      <c r="A331" s="110"/>
      <c r="B331" s="110"/>
      <c r="C331" s="110"/>
      <c r="D331" s="110"/>
      <c r="E331" s="110"/>
      <c r="F331" s="110"/>
      <c r="G331" s="110"/>
      <c r="H331" s="110"/>
      <c r="I331" s="110"/>
      <c r="J331" s="110"/>
      <c r="K331" s="110"/>
      <c r="L331" s="110"/>
      <c r="M331" s="110"/>
      <c r="N331" s="110"/>
      <c r="O331" s="110"/>
    </row>
    <row r="332" spans="1:15" ht="12" customHeight="1" x14ac:dyDescent="0.15">
      <c r="A332" s="110"/>
      <c r="B332" s="110"/>
      <c r="C332" s="110"/>
      <c r="D332" s="110"/>
      <c r="E332" s="110"/>
      <c r="F332" s="110"/>
      <c r="G332" s="110"/>
      <c r="H332" s="110"/>
      <c r="I332" s="110"/>
      <c r="J332" s="110"/>
      <c r="K332" s="110"/>
      <c r="L332" s="110"/>
      <c r="M332" s="110"/>
      <c r="N332" s="110"/>
      <c r="O332" s="110"/>
    </row>
    <row r="333" spans="1:15" ht="12" customHeight="1" x14ac:dyDescent="0.15">
      <c r="A333" s="110"/>
      <c r="B333" s="110"/>
      <c r="C333" s="110"/>
      <c r="D333" s="110"/>
      <c r="E333" s="110"/>
      <c r="F333" s="110"/>
      <c r="G333" s="110"/>
      <c r="H333" s="110"/>
      <c r="I333" s="110"/>
      <c r="J333" s="110"/>
      <c r="K333" s="110"/>
      <c r="L333" s="110"/>
      <c r="M333" s="110"/>
      <c r="N333" s="110"/>
      <c r="O333" s="110"/>
    </row>
    <row r="334" spans="1:15" ht="12" customHeight="1" x14ac:dyDescent="0.15">
      <c r="A334" s="110"/>
      <c r="B334" s="110"/>
      <c r="C334" s="110"/>
      <c r="D334" s="110"/>
      <c r="E334" s="110"/>
      <c r="F334" s="110"/>
      <c r="G334" s="110"/>
      <c r="H334" s="110"/>
      <c r="I334" s="110"/>
      <c r="J334" s="110"/>
      <c r="K334" s="110"/>
      <c r="L334" s="110"/>
      <c r="M334" s="110"/>
      <c r="N334" s="110"/>
      <c r="O334" s="110"/>
    </row>
    <row r="335" spans="1:15" ht="12" customHeight="1" x14ac:dyDescent="0.15">
      <c r="A335" s="110"/>
      <c r="B335" s="110"/>
      <c r="C335" s="110"/>
      <c r="D335" s="110"/>
      <c r="E335" s="110"/>
      <c r="F335" s="110"/>
      <c r="G335" s="110"/>
      <c r="H335" s="110"/>
      <c r="I335" s="110"/>
      <c r="J335" s="110"/>
      <c r="K335" s="110"/>
      <c r="L335" s="110"/>
      <c r="M335" s="110"/>
      <c r="N335" s="110"/>
      <c r="O335" s="110"/>
    </row>
    <row r="336" spans="1:15" ht="12" customHeight="1" x14ac:dyDescent="0.15">
      <c r="A336" s="110"/>
      <c r="B336" s="110"/>
      <c r="C336" s="110"/>
      <c r="D336" s="110"/>
      <c r="E336" s="110"/>
      <c r="F336" s="110"/>
      <c r="G336" s="110"/>
      <c r="H336" s="110"/>
      <c r="I336" s="110"/>
      <c r="J336" s="110"/>
      <c r="K336" s="110"/>
      <c r="L336" s="110"/>
      <c r="M336" s="110"/>
      <c r="N336" s="110"/>
      <c r="O336" s="110"/>
    </row>
    <row r="337" spans="1:15" ht="12" customHeight="1" x14ac:dyDescent="0.15">
      <c r="A337" s="110"/>
      <c r="B337" s="110"/>
      <c r="C337" s="110"/>
      <c r="D337" s="110"/>
      <c r="E337" s="110"/>
      <c r="F337" s="110"/>
      <c r="G337" s="110"/>
      <c r="H337" s="110"/>
      <c r="I337" s="110"/>
      <c r="J337" s="110"/>
      <c r="K337" s="110"/>
      <c r="L337" s="110"/>
      <c r="M337" s="110"/>
      <c r="N337" s="110"/>
      <c r="O337" s="110"/>
    </row>
    <row r="338" spans="1:15" ht="12" customHeight="1" x14ac:dyDescent="0.15">
      <c r="A338" s="110"/>
      <c r="B338" s="110"/>
      <c r="C338" s="110"/>
      <c r="D338" s="110"/>
      <c r="E338" s="110"/>
      <c r="F338" s="110"/>
      <c r="G338" s="110"/>
      <c r="H338" s="110"/>
      <c r="I338" s="110"/>
      <c r="J338" s="110"/>
      <c r="K338" s="110"/>
      <c r="L338" s="110"/>
      <c r="M338" s="110"/>
      <c r="N338" s="110"/>
      <c r="O338" s="110"/>
    </row>
    <row r="339" spans="1:15" ht="12" customHeight="1" x14ac:dyDescent="0.15">
      <c r="A339" s="110"/>
      <c r="B339" s="110"/>
      <c r="C339" s="110"/>
      <c r="D339" s="110"/>
      <c r="E339" s="110"/>
      <c r="F339" s="110"/>
      <c r="G339" s="110"/>
      <c r="H339" s="110"/>
      <c r="I339" s="110"/>
      <c r="J339" s="110"/>
      <c r="K339" s="110"/>
      <c r="L339" s="110"/>
      <c r="M339" s="110"/>
      <c r="N339" s="110"/>
      <c r="O339" s="110"/>
    </row>
    <row r="340" spans="1:15" ht="12" customHeight="1" x14ac:dyDescent="0.15">
      <c r="A340" s="110"/>
      <c r="B340" s="110"/>
      <c r="C340" s="110"/>
      <c r="D340" s="110"/>
      <c r="E340" s="110"/>
      <c r="F340" s="110"/>
      <c r="G340" s="110"/>
      <c r="H340" s="110"/>
      <c r="I340" s="110"/>
      <c r="J340" s="110"/>
      <c r="K340" s="110"/>
      <c r="L340" s="110"/>
      <c r="M340" s="110"/>
      <c r="N340" s="110"/>
      <c r="O340" s="110"/>
    </row>
    <row r="341" spans="1:15" ht="12" customHeight="1" x14ac:dyDescent="0.15">
      <c r="A341" s="110"/>
      <c r="B341" s="110"/>
      <c r="C341" s="110"/>
      <c r="D341" s="110"/>
      <c r="E341" s="110"/>
      <c r="F341" s="110"/>
      <c r="G341" s="110"/>
      <c r="H341" s="110"/>
      <c r="I341" s="110"/>
      <c r="J341" s="110"/>
      <c r="K341" s="110"/>
      <c r="L341" s="110"/>
      <c r="M341" s="110"/>
      <c r="N341" s="110"/>
      <c r="O341" s="110"/>
    </row>
    <row r="342" spans="1:15" ht="12" customHeight="1" x14ac:dyDescent="0.15">
      <c r="A342" s="110"/>
      <c r="B342" s="110"/>
      <c r="C342" s="110"/>
      <c r="D342" s="110"/>
      <c r="E342" s="110"/>
      <c r="F342" s="110"/>
      <c r="G342" s="110"/>
      <c r="H342" s="110"/>
      <c r="I342" s="110"/>
      <c r="J342" s="110"/>
      <c r="K342" s="110"/>
      <c r="L342" s="110"/>
      <c r="M342" s="110"/>
      <c r="N342" s="110"/>
      <c r="O342" s="110"/>
    </row>
    <row r="343" spans="1:15" ht="12" customHeight="1" x14ac:dyDescent="0.15">
      <c r="A343" s="110"/>
      <c r="B343" s="110"/>
      <c r="C343" s="110"/>
      <c r="D343" s="110"/>
      <c r="E343" s="110"/>
      <c r="F343" s="110"/>
      <c r="G343" s="110"/>
      <c r="H343" s="110"/>
      <c r="I343" s="110"/>
      <c r="J343" s="110"/>
      <c r="K343" s="110"/>
      <c r="L343" s="110"/>
      <c r="M343" s="110"/>
      <c r="N343" s="110"/>
      <c r="O343" s="110"/>
    </row>
    <row r="344" spans="1:15" ht="12" customHeight="1" x14ac:dyDescent="0.15">
      <c r="A344" s="110"/>
      <c r="B344" s="110"/>
      <c r="C344" s="110"/>
      <c r="D344" s="110"/>
      <c r="E344" s="110"/>
      <c r="F344" s="110"/>
      <c r="G344" s="110"/>
      <c r="H344" s="110"/>
      <c r="I344" s="110"/>
      <c r="J344" s="110"/>
      <c r="K344" s="110"/>
      <c r="L344" s="110"/>
      <c r="M344" s="110"/>
      <c r="N344" s="110"/>
      <c r="O344" s="110"/>
    </row>
    <row r="345" spans="1:15" ht="12" customHeight="1" x14ac:dyDescent="0.15">
      <c r="A345" s="110"/>
      <c r="B345" s="110"/>
      <c r="C345" s="110"/>
      <c r="D345" s="110"/>
      <c r="E345" s="110"/>
      <c r="F345" s="110"/>
      <c r="G345" s="110"/>
      <c r="H345" s="110"/>
      <c r="I345" s="110"/>
      <c r="J345" s="110"/>
      <c r="K345" s="110"/>
      <c r="L345" s="110"/>
      <c r="M345" s="110"/>
      <c r="N345" s="110"/>
      <c r="O345" s="110"/>
    </row>
    <row r="346" spans="1:15" ht="12" customHeight="1" x14ac:dyDescent="0.15">
      <c r="A346" s="110"/>
      <c r="B346" s="110"/>
      <c r="C346" s="110"/>
      <c r="D346" s="110"/>
      <c r="E346" s="110"/>
      <c r="F346" s="110"/>
      <c r="G346" s="110"/>
      <c r="H346" s="110"/>
      <c r="I346" s="110"/>
      <c r="J346" s="110"/>
      <c r="K346" s="110"/>
      <c r="L346" s="110"/>
      <c r="M346" s="110"/>
      <c r="N346" s="110"/>
      <c r="O346" s="110"/>
    </row>
    <row r="347" spans="1:15" ht="12" customHeight="1" x14ac:dyDescent="0.15">
      <c r="A347" s="110"/>
      <c r="B347" s="110"/>
      <c r="C347" s="110"/>
      <c r="D347" s="110"/>
      <c r="E347" s="110"/>
      <c r="F347" s="110"/>
      <c r="G347" s="110"/>
      <c r="H347" s="110"/>
      <c r="I347" s="110"/>
      <c r="J347" s="110"/>
      <c r="K347" s="110"/>
      <c r="L347" s="110"/>
      <c r="M347" s="110"/>
      <c r="N347" s="110"/>
      <c r="O347" s="110"/>
    </row>
    <row r="348" spans="1:15" ht="12" customHeight="1" x14ac:dyDescent="0.15">
      <c r="A348" s="110"/>
      <c r="B348" s="110"/>
      <c r="C348" s="110"/>
      <c r="D348" s="110"/>
      <c r="E348" s="110"/>
      <c r="F348" s="110"/>
      <c r="G348" s="110"/>
      <c r="H348" s="110"/>
      <c r="I348" s="110"/>
      <c r="J348" s="110"/>
      <c r="K348" s="110"/>
      <c r="L348" s="110"/>
      <c r="M348" s="110"/>
      <c r="N348" s="110"/>
      <c r="O348" s="110"/>
    </row>
    <row r="349" spans="1:15" ht="12" customHeight="1" x14ac:dyDescent="0.15">
      <c r="A349" s="110"/>
      <c r="B349" s="110"/>
      <c r="C349" s="110"/>
      <c r="D349" s="110"/>
      <c r="E349" s="110"/>
      <c r="F349" s="110"/>
      <c r="G349" s="110"/>
      <c r="H349" s="110"/>
      <c r="I349" s="110"/>
      <c r="J349" s="110"/>
      <c r="K349" s="110"/>
      <c r="L349" s="110"/>
      <c r="M349" s="110"/>
      <c r="N349" s="110"/>
      <c r="O349" s="110"/>
    </row>
    <row r="350" spans="1:15" ht="12" customHeight="1" x14ac:dyDescent="0.15">
      <c r="A350" s="110"/>
      <c r="B350" s="110"/>
      <c r="C350" s="110"/>
      <c r="D350" s="110"/>
      <c r="E350" s="110"/>
      <c r="F350" s="110"/>
      <c r="G350" s="110"/>
      <c r="H350" s="110"/>
      <c r="I350" s="110"/>
      <c r="J350" s="110"/>
      <c r="K350" s="110"/>
      <c r="L350" s="110"/>
      <c r="M350" s="110"/>
      <c r="N350" s="110"/>
      <c r="O350" s="110"/>
    </row>
    <row r="351" spans="1:15" ht="12" customHeight="1" x14ac:dyDescent="0.15">
      <c r="A351" s="110"/>
      <c r="B351" s="110"/>
      <c r="C351" s="110"/>
      <c r="D351" s="110"/>
      <c r="E351" s="110"/>
      <c r="F351" s="110"/>
      <c r="G351" s="110"/>
      <c r="H351" s="110"/>
      <c r="I351" s="110"/>
      <c r="J351" s="110"/>
      <c r="K351" s="110"/>
      <c r="L351" s="110"/>
      <c r="M351" s="110"/>
      <c r="N351" s="110"/>
      <c r="O351" s="110"/>
    </row>
    <row r="352" spans="1:15" ht="12" customHeight="1" x14ac:dyDescent="0.15">
      <c r="A352" s="110"/>
      <c r="B352" s="110"/>
      <c r="C352" s="110"/>
      <c r="D352" s="110"/>
      <c r="E352" s="110"/>
      <c r="F352" s="110"/>
      <c r="G352" s="110"/>
      <c r="H352" s="110"/>
      <c r="I352" s="110"/>
      <c r="J352" s="110"/>
      <c r="K352" s="110"/>
      <c r="L352" s="110"/>
      <c r="M352" s="110"/>
      <c r="N352" s="110"/>
      <c r="O352" s="110"/>
    </row>
    <row r="353" spans="1:15" ht="12" customHeight="1" x14ac:dyDescent="0.15">
      <c r="A353" s="110"/>
      <c r="B353" s="110"/>
      <c r="C353" s="110"/>
      <c r="D353" s="110"/>
      <c r="E353" s="110"/>
      <c r="F353" s="110"/>
      <c r="G353" s="110"/>
      <c r="H353" s="110"/>
      <c r="I353" s="110"/>
      <c r="J353" s="110"/>
      <c r="K353" s="110"/>
      <c r="L353" s="110"/>
      <c r="M353" s="110"/>
      <c r="N353" s="110"/>
      <c r="O353" s="110"/>
    </row>
    <row r="354" spans="1:15" ht="12" customHeight="1" x14ac:dyDescent="0.15">
      <c r="A354" s="110"/>
      <c r="B354" s="110"/>
      <c r="C354" s="110"/>
      <c r="D354" s="110"/>
      <c r="E354" s="110"/>
      <c r="F354" s="110"/>
      <c r="G354" s="110"/>
      <c r="H354" s="110"/>
      <c r="I354" s="110"/>
      <c r="J354" s="110"/>
      <c r="K354" s="110"/>
      <c r="L354" s="110"/>
      <c r="M354" s="110"/>
      <c r="N354" s="110"/>
      <c r="O354" s="110"/>
    </row>
    <row r="355" spans="1:15" ht="12" customHeight="1" x14ac:dyDescent="0.15">
      <c r="A355" s="110"/>
      <c r="B355" s="110"/>
      <c r="C355" s="110"/>
      <c r="D355" s="110"/>
      <c r="E355" s="110"/>
      <c r="F355" s="110"/>
      <c r="G355" s="110"/>
      <c r="H355" s="110"/>
      <c r="I355" s="110"/>
      <c r="J355" s="110"/>
      <c r="K355" s="110"/>
      <c r="L355" s="110"/>
      <c r="M355" s="110"/>
      <c r="N355" s="110"/>
      <c r="O355" s="110"/>
    </row>
    <row r="356" spans="1:15" ht="12" customHeight="1" x14ac:dyDescent="0.15">
      <c r="A356" s="110"/>
      <c r="B356" s="110"/>
      <c r="C356" s="110"/>
      <c r="D356" s="110"/>
      <c r="E356" s="110"/>
      <c r="F356" s="110"/>
      <c r="G356" s="110"/>
      <c r="H356" s="110"/>
      <c r="I356" s="110"/>
      <c r="J356" s="110"/>
      <c r="K356" s="110"/>
      <c r="L356" s="110"/>
      <c r="M356" s="110"/>
      <c r="N356" s="110"/>
      <c r="O356" s="110"/>
    </row>
    <row r="357" spans="1:15" ht="12" customHeight="1" x14ac:dyDescent="0.15">
      <c r="A357" s="110"/>
      <c r="B357" s="110"/>
      <c r="C357" s="110"/>
      <c r="D357" s="110"/>
      <c r="E357" s="110"/>
      <c r="F357" s="110"/>
      <c r="G357" s="110"/>
      <c r="H357" s="110"/>
      <c r="I357" s="110"/>
      <c r="J357" s="110"/>
      <c r="K357" s="110"/>
      <c r="L357" s="110"/>
      <c r="M357" s="110"/>
      <c r="N357" s="110"/>
      <c r="O357" s="110"/>
    </row>
    <row r="358" spans="1:15" ht="12" customHeight="1" x14ac:dyDescent="0.15">
      <c r="A358" s="110"/>
      <c r="B358" s="110"/>
      <c r="C358" s="110"/>
      <c r="D358" s="110"/>
      <c r="E358" s="110"/>
      <c r="F358" s="110"/>
      <c r="G358" s="110"/>
      <c r="H358" s="110"/>
      <c r="I358" s="110"/>
      <c r="J358" s="110"/>
      <c r="K358" s="110"/>
      <c r="L358" s="110"/>
      <c r="M358" s="110"/>
      <c r="N358" s="110"/>
      <c r="O358" s="110"/>
    </row>
    <row r="359" spans="1:15" ht="12" customHeight="1" x14ac:dyDescent="0.15">
      <c r="A359" s="110"/>
      <c r="B359" s="110"/>
      <c r="C359" s="110"/>
      <c r="D359" s="110"/>
      <c r="E359" s="110"/>
      <c r="F359" s="110"/>
      <c r="G359" s="110"/>
      <c r="H359" s="110"/>
      <c r="I359" s="110"/>
      <c r="J359" s="110"/>
      <c r="K359" s="110"/>
      <c r="L359" s="110"/>
      <c r="M359" s="110"/>
      <c r="N359" s="110"/>
      <c r="O359" s="110"/>
    </row>
    <row r="360" spans="1:15" ht="12" customHeight="1" x14ac:dyDescent="0.15">
      <c r="A360" s="110"/>
      <c r="B360" s="110"/>
      <c r="C360" s="110"/>
      <c r="D360" s="110"/>
      <c r="E360" s="110"/>
      <c r="F360" s="110"/>
      <c r="G360" s="110"/>
      <c r="H360" s="110"/>
      <c r="I360" s="110"/>
      <c r="J360" s="110"/>
      <c r="K360" s="110"/>
      <c r="L360" s="110"/>
      <c r="M360" s="110"/>
      <c r="N360" s="110"/>
      <c r="O360" s="110"/>
    </row>
    <row r="361" spans="1:15" ht="12" customHeight="1" x14ac:dyDescent="0.15">
      <c r="A361" s="110"/>
      <c r="B361" s="110"/>
      <c r="C361" s="110"/>
      <c r="D361" s="110"/>
      <c r="E361" s="110"/>
      <c r="F361" s="110"/>
      <c r="G361" s="110"/>
      <c r="H361" s="110"/>
      <c r="I361" s="110"/>
      <c r="J361" s="110"/>
      <c r="K361" s="110"/>
      <c r="L361" s="110"/>
      <c r="M361" s="110"/>
      <c r="N361" s="110"/>
      <c r="O361" s="110"/>
    </row>
    <row r="362" spans="1:15" ht="12" customHeight="1" x14ac:dyDescent="0.15">
      <c r="A362" s="110"/>
      <c r="B362" s="110"/>
      <c r="C362" s="110"/>
      <c r="D362" s="110"/>
      <c r="E362" s="110"/>
      <c r="F362" s="110"/>
      <c r="G362" s="110"/>
      <c r="H362" s="110"/>
      <c r="I362" s="110"/>
      <c r="J362" s="110"/>
      <c r="K362" s="110"/>
      <c r="L362" s="110"/>
      <c r="M362" s="110"/>
      <c r="N362" s="110"/>
      <c r="O362" s="110"/>
    </row>
    <row r="363" spans="1:15" ht="12" customHeight="1" x14ac:dyDescent="0.15">
      <c r="A363" s="110"/>
      <c r="B363" s="110"/>
      <c r="C363" s="110"/>
      <c r="D363" s="110"/>
      <c r="E363" s="110"/>
      <c r="F363" s="110"/>
      <c r="G363" s="110"/>
      <c r="H363" s="110"/>
      <c r="I363" s="110"/>
      <c r="J363" s="110"/>
      <c r="K363" s="110"/>
      <c r="L363" s="110"/>
      <c r="M363" s="110"/>
      <c r="N363" s="110"/>
      <c r="O363" s="110"/>
    </row>
    <row r="364" spans="1:15" ht="12" customHeight="1" x14ac:dyDescent="0.15">
      <c r="A364" s="110"/>
      <c r="B364" s="110"/>
      <c r="C364" s="110"/>
      <c r="D364" s="110"/>
      <c r="E364" s="110"/>
      <c r="F364" s="110"/>
      <c r="G364" s="110"/>
      <c r="H364" s="110"/>
      <c r="I364" s="110"/>
      <c r="J364" s="110"/>
      <c r="K364" s="110"/>
      <c r="L364" s="110"/>
      <c r="M364" s="110"/>
      <c r="N364" s="110"/>
      <c r="O364" s="110"/>
    </row>
    <row r="365" spans="1:15" ht="12" customHeight="1" x14ac:dyDescent="0.15">
      <c r="A365" s="110"/>
      <c r="B365" s="110"/>
      <c r="C365" s="110"/>
      <c r="D365" s="110"/>
      <c r="E365" s="110"/>
      <c r="F365" s="110"/>
      <c r="G365" s="110"/>
      <c r="H365" s="110"/>
      <c r="I365" s="110"/>
      <c r="J365" s="110"/>
      <c r="K365" s="110"/>
      <c r="L365" s="110"/>
      <c r="M365" s="110"/>
      <c r="N365" s="110"/>
      <c r="O365" s="110"/>
    </row>
    <row r="366" spans="1:15" ht="12" customHeight="1" x14ac:dyDescent="0.15">
      <c r="A366" s="110"/>
      <c r="B366" s="110"/>
      <c r="C366" s="110"/>
      <c r="D366" s="110"/>
      <c r="E366" s="110"/>
      <c r="F366" s="110"/>
      <c r="G366" s="110"/>
      <c r="H366" s="110"/>
      <c r="I366" s="110"/>
      <c r="J366" s="110"/>
      <c r="K366" s="110"/>
      <c r="L366" s="110"/>
      <c r="M366" s="110"/>
      <c r="N366" s="110"/>
      <c r="O366" s="110"/>
    </row>
    <row r="367" spans="1:15" ht="12" customHeight="1" x14ac:dyDescent="0.15">
      <c r="A367" s="110"/>
      <c r="B367" s="110"/>
      <c r="C367" s="110"/>
      <c r="D367" s="110"/>
      <c r="E367" s="110"/>
      <c r="F367" s="110"/>
      <c r="G367" s="110"/>
      <c r="H367" s="110"/>
      <c r="I367" s="110"/>
      <c r="J367" s="110"/>
      <c r="K367" s="110"/>
      <c r="L367" s="110"/>
      <c r="M367" s="110"/>
      <c r="N367" s="110"/>
      <c r="O367" s="110"/>
    </row>
    <row r="368" spans="1:15" ht="12" customHeight="1" x14ac:dyDescent="0.15">
      <c r="A368" s="110"/>
      <c r="B368" s="110"/>
      <c r="C368" s="110"/>
      <c r="D368" s="110"/>
      <c r="E368" s="110"/>
      <c r="F368" s="110"/>
      <c r="G368" s="110"/>
      <c r="H368" s="110"/>
      <c r="I368" s="110"/>
      <c r="J368" s="110"/>
      <c r="K368" s="110"/>
      <c r="L368" s="110"/>
      <c r="M368" s="110"/>
      <c r="N368" s="110"/>
      <c r="O368" s="110"/>
    </row>
    <row r="369" spans="1:15" ht="12" customHeight="1" x14ac:dyDescent="0.15">
      <c r="A369" s="110"/>
      <c r="B369" s="110"/>
      <c r="C369" s="110"/>
      <c r="D369" s="110"/>
      <c r="E369" s="110"/>
      <c r="F369" s="110"/>
      <c r="G369" s="110"/>
      <c r="H369" s="110"/>
      <c r="I369" s="110"/>
      <c r="J369" s="110"/>
      <c r="K369" s="110"/>
      <c r="L369" s="110"/>
      <c r="M369" s="110"/>
      <c r="N369" s="110"/>
      <c r="O369" s="110"/>
    </row>
    <row r="370" spans="1:15" ht="12" customHeight="1" x14ac:dyDescent="0.15">
      <c r="A370" s="110"/>
      <c r="B370" s="110"/>
      <c r="C370" s="110"/>
      <c r="D370" s="110"/>
      <c r="E370" s="110"/>
      <c r="F370" s="110"/>
      <c r="G370" s="110"/>
      <c r="H370" s="110"/>
      <c r="I370" s="110"/>
      <c r="J370" s="110"/>
      <c r="K370" s="110"/>
      <c r="L370" s="110"/>
      <c r="M370" s="110"/>
      <c r="N370" s="110"/>
      <c r="O370" s="110"/>
    </row>
    <row r="371" spans="1:15" ht="12" customHeight="1" x14ac:dyDescent="0.15">
      <c r="A371" s="110"/>
      <c r="B371" s="110"/>
      <c r="C371" s="110"/>
      <c r="D371" s="110"/>
      <c r="E371" s="110"/>
      <c r="F371" s="110"/>
      <c r="G371" s="110"/>
      <c r="H371" s="110"/>
      <c r="I371" s="110"/>
      <c r="J371" s="110"/>
      <c r="K371" s="110"/>
      <c r="L371" s="110"/>
      <c r="M371" s="110"/>
      <c r="N371" s="110"/>
      <c r="O371" s="110"/>
    </row>
    <row r="372" spans="1:15" ht="12" customHeight="1" x14ac:dyDescent="0.15">
      <c r="A372" s="110"/>
      <c r="B372" s="110"/>
      <c r="C372" s="110"/>
      <c r="D372" s="110"/>
      <c r="E372" s="110"/>
      <c r="F372" s="110"/>
      <c r="G372" s="110"/>
      <c r="H372" s="110"/>
      <c r="I372" s="110"/>
      <c r="J372" s="110"/>
      <c r="K372" s="110"/>
      <c r="L372" s="110"/>
      <c r="M372" s="110"/>
      <c r="N372" s="110"/>
      <c r="O372" s="110"/>
    </row>
    <row r="373" spans="1:15" ht="12" customHeight="1" x14ac:dyDescent="0.15">
      <c r="A373" s="110"/>
      <c r="B373" s="110"/>
      <c r="C373" s="110"/>
      <c r="D373" s="110"/>
      <c r="E373" s="110"/>
      <c r="F373" s="110"/>
      <c r="G373" s="110"/>
      <c r="H373" s="110"/>
      <c r="I373" s="110"/>
      <c r="J373" s="110"/>
      <c r="K373" s="110"/>
      <c r="L373" s="110"/>
      <c r="M373" s="110"/>
      <c r="N373" s="110"/>
      <c r="O373" s="110"/>
    </row>
    <row r="374" spans="1:15" ht="12" customHeight="1" x14ac:dyDescent="0.15">
      <c r="A374" s="110"/>
      <c r="B374" s="110"/>
      <c r="C374" s="110"/>
      <c r="D374" s="110"/>
      <c r="E374" s="110"/>
      <c r="F374" s="110"/>
      <c r="G374" s="110"/>
      <c r="H374" s="110"/>
      <c r="I374" s="110"/>
      <c r="J374" s="110"/>
      <c r="K374" s="110"/>
      <c r="L374" s="110"/>
      <c r="M374" s="110"/>
      <c r="N374" s="110"/>
      <c r="O374" s="110"/>
    </row>
    <row r="375" spans="1:15" ht="12" customHeight="1" x14ac:dyDescent="0.15">
      <c r="A375" s="110"/>
      <c r="B375" s="110"/>
      <c r="C375" s="110"/>
      <c r="D375" s="110"/>
      <c r="E375" s="110"/>
      <c r="F375" s="110"/>
      <c r="G375" s="110"/>
      <c r="H375" s="110"/>
      <c r="I375" s="110"/>
      <c r="J375" s="110"/>
      <c r="K375" s="110"/>
      <c r="L375" s="110"/>
      <c r="M375" s="110"/>
      <c r="N375" s="110"/>
      <c r="O375" s="110"/>
    </row>
    <row r="376" spans="1:15" ht="12" customHeight="1" x14ac:dyDescent="0.15">
      <c r="A376" s="110"/>
      <c r="B376" s="110"/>
      <c r="C376" s="110"/>
      <c r="D376" s="110"/>
      <c r="E376" s="110"/>
      <c r="F376" s="110"/>
      <c r="G376" s="110"/>
      <c r="H376" s="110"/>
      <c r="I376" s="110"/>
      <c r="J376" s="110"/>
      <c r="K376" s="110"/>
      <c r="L376" s="110"/>
      <c r="M376" s="110"/>
      <c r="N376" s="110"/>
      <c r="O376" s="110"/>
    </row>
    <row r="377" spans="1:15" ht="12" customHeight="1" x14ac:dyDescent="0.15">
      <c r="A377" s="110"/>
      <c r="B377" s="110"/>
      <c r="C377" s="110"/>
      <c r="D377" s="110"/>
      <c r="E377" s="110"/>
      <c r="F377" s="110"/>
      <c r="G377" s="110"/>
      <c r="H377" s="110"/>
      <c r="I377" s="110"/>
      <c r="J377" s="110"/>
      <c r="K377" s="110"/>
      <c r="L377" s="110"/>
      <c r="M377" s="110"/>
      <c r="N377" s="110"/>
      <c r="O377" s="110"/>
    </row>
    <row r="378" spans="1:15" ht="12" customHeight="1" x14ac:dyDescent="0.15">
      <c r="A378" s="110"/>
      <c r="B378" s="110"/>
      <c r="C378" s="110"/>
      <c r="D378" s="110"/>
      <c r="E378" s="110"/>
      <c r="F378" s="110"/>
      <c r="G378" s="110"/>
      <c r="H378" s="110"/>
      <c r="I378" s="110"/>
      <c r="J378" s="110"/>
      <c r="K378" s="110"/>
      <c r="L378" s="110"/>
      <c r="M378" s="110"/>
      <c r="N378" s="110"/>
      <c r="O378" s="110"/>
    </row>
    <row r="379" spans="1:15" ht="12" customHeight="1" x14ac:dyDescent="0.15">
      <c r="A379" s="110"/>
      <c r="B379" s="110"/>
      <c r="C379" s="110"/>
      <c r="D379" s="110"/>
      <c r="E379" s="110"/>
      <c r="F379" s="110"/>
      <c r="G379" s="110"/>
      <c r="H379" s="110"/>
      <c r="I379" s="110"/>
      <c r="J379" s="110"/>
      <c r="K379" s="110"/>
      <c r="L379" s="110"/>
      <c r="M379" s="110"/>
      <c r="N379" s="110"/>
      <c r="O379" s="110"/>
    </row>
    <row r="380" spans="1:15" ht="12" customHeight="1" x14ac:dyDescent="0.15">
      <c r="A380" s="110"/>
      <c r="B380" s="110"/>
      <c r="C380" s="110"/>
      <c r="D380" s="110"/>
      <c r="E380" s="110"/>
      <c r="F380" s="110"/>
      <c r="G380" s="110"/>
      <c r="H380" s="110"/>
      <c r="I380" s="110"/>
      <c r="J380" s="110"/>
      <c r="K380" s="110"/>
      <c r="L380" s="110"/>
      <c r="M380" s="110"/>
      <c r="N380" s="110"/>
      <c r="O380" s="110"/>
    </row>
    <row r="381" spans="1:15" ht="12" customHeight="1" x14ac:dyDescent="0.15">
      <c r="A381" s="110"/>
      <c r="B381" s="110"/>
      <c r="C381" s="110"/>
      <c r="D381" s="110"/>
      <c r="E381" s="110"/>
      <c r="F381" s="110"/>
      <c r="G381" s="110"/>
      <c r="H381" s="110"/>
      <c r="I381" s="110"/>
      <c r="J381" s="110"/>
      <c r="K381" s="110"/>
      <c r="L381" s="110"/>
      <c r="M381" s="110"/>
      <c r="N381" s="110"/>
      <c r="O381" s="110"/>
    </row>
    <row r="382" spans="1:15" ht="12" customHeight="1" x14ac:dyDescent="0.15">
      <c r="A382" s="110"/>
      <c r="B382" s="110"/>
      <c r="C382" s="110"/>
      <c r="D382" s="110"/>
      <c r="E382" s="110"/>
      <c r="F382" s="110"/>
      <c r="G382" s="110"/>
      <c r="H382" s="110"/>
      <c r="I382" s="110"/>
      <c r="J382" s="110"/>
      <c r="K382" s="110"/>
      <c r="L382" s="110"/>
      <c r="M382" s="110"/>
      <c r="N382" s="110"/>
      <c r="O382" s="110"/>
    </row>
    <row r="383" spans="1:15" ht="12" customHeight="1" x14ac:dyDescent="0.15">
      <c r="A383" s="110"/>
      <c r="B383" s="110"/>
      <c r="C383" s="110"/>
      <c r="D383" s="110"/>
      <c r="E383" s="110"/>
      <c r="F383" s="110"/>
      <c r="G383" s="110"/>
      <c r="H383" s="110"/>
      <c r="I383" s="110"/>
      <c r="J383" s="110"/>
      <c r="K383" s="110"/>
      <c r="L383" s="110"/>
      <c r="M383" s="110"/>
      <c r="N383" s="110"/>
      <c r="O383" s="110"/>
    </row>
    <row r="384" spans="1:15" ht="12" customHeight="1" x14ac:dyDescent="0.15">
      <c r="A384" s="110"/>
      <c r="B384" s="110"/>
      <c r="C384" s="110"/>
      <c r="D384" s="110"/>
      <c r="E384" s="110"/>
      <c r="F384" s="110"/>
      <c r="G384" s="110"/>
      <c r="H384" s="110"/>
      <c r="I384" s="110"/>
      <c r="J384" s="110"/>
      <c r="K384" s="110"/>
      <c r="L384" s="110"/>
      <c r="M384" s="110"/>
      <c r="N384" s="110"/>
      <c r="O384" s="110"/>
    </row>
    <row r="385" spans="1:15" ht="12" customHeight="1" x14ac:dyDescent="0.15">
      <c r="A385" s="110"/>
      <c r="B385" s="110"/>
      <c r="C385" s="110"/>
      <c r="D385" s="110"/>
      <c r="E385" s="110"/>
      <c r="F385" s="110"/>
      <c r="G385" s="110"/>
      <c r="H385" s="110"/>
      <c r="I385" s="110"/>
      <c r="J385" s="110"/>
      <c r="K385" s="110"/>
      <c r="L385" s="110"/>
      <c r="M385" s="110"/>
      <c r="N385" s="110"/>
      <c r="O385" s="110"/>
    </row>
    <row r="386" spans="1:15" ht="12" customHeight="1" x14ac:dyDescent="0.15">
      <c r="A386" s="110"/>
      <c r="B386" s="110"/>
      <c r="C386" s="110"/>
      <c r="D386" s="110"/>
      <c r="E386" s="110"/>
      <c r="F386" s="110"/>
      <c r="G386" s="110"/>
      <c r="H386" s="110"/>
      <c r="I386" s="110"/>
      <c r="J386" s="110"/>
      <c r="K386" s="110"/>
      <c r="L386" s="110"/>
      <c r="M386" s="110"/>
      <c r="N386" s="110"/>
      <c r="O386" s="110"/>
    </row>
    <row r="387" spans="1:15" ht="12" customHeight="1" x14ac:dyDescent="0.15">
      <c r="A387" s="110"/>
      <c r="B387" s="110"/>
      <c r="C387" s="110"/>
      <c r="D387" s="110"/>
      <c r="E387" s="110"/>
      <c r="F387" s="110"/>
      <c r="G387" s="110"/>
      <c r="H387" s="110"/>
      <c r="I387" s="110"/>
      <c r="J387" s="110"/>
      <c r="K387" s="110"/>
      <c r="L387" s="110"/>
      <c r="M387" s="110"/>
      <c r="N387" s="110"/>
      <c r="O387" s="110"/>
    </row>
    <row r="388" spans="1:15" ht="12" customHeight="1" x14ac:dyDescent="0.15">
      <c r="A388" s="110"/>
      <c r="B388" s="110"/>
      <c r="C388" s="110"/>
      <c r="D388" s="110"/>
      <c r="E388" s="110"/>
      <c r="F388" s="110"/>
      <c r="G388" s="110"/>
      <c r="H388" s="110"/>
      <c r="I388" s="110"/>
      <c r="J388" s="110"/>
      <c r="K388" s="110"/>
      <c r="L388" s="110"/>
      <c r="M388" s="110"/>
      <c r="N388" s="110"/>
      <c r="O388" s="110"/>
    </row>
    <row r="389" spans="1:15" ht="12" customHeight="1" x14ac:dyDescent="0.15">
      <c r="A389" s="110"/>
      <c r="B389" s="110"/>
      <c r="C389" s="110"/>
      <c r="D389" s="110"/>
      <c r="E389" s="110"/>
      <c r="F389" s="110"/>
      <c r="G389" s="110"/>
      <c r="H389" s="110"/>
      <c r="I389" s="110"/>
      <c r="J389" s="110"/>
      <c r="K389" s="110"/>
      <c r="L389" s="110"/>
      <c r="M389" s="110"/>
      <c r="N389" s="110"/>
      <c r="O389" s="110"/>
    </row>
    <row r="390" spans="1:15" ht="12" customHeight="1" x14ac:dyDescent="0.15">
      <c r="A390" s="110"/>
      <c r="B390" s="110"/>
      <c r="C390" s="110"/>
      <c r="D390" s="110"/>
      <c r="E390" s="110"/>
      <c r="F390" s="110"/>
      <c r="G390" s="110"/>
      <c r="H390" s="110"/>
      <c r="I390" s="110"/>
      <c r="J390" s="110"/>
      <c r="K390" s="110"/>
      <c r="L390" s="110"/>
      <c r="M390" s="110"/>
      <c r="N390" s="110"/>
      <c r="O390" s="110"/>
    </row>
    <row r="391" spans="1:15" ht="12" customHeight="1" x14ac:dyDescent="0.15">
      <c r="A391" s="110"/>
      <c r="B391" s="110"/>
      <c r="C391" s="110"/>
      <c r="D391" s="110"/>
      <c r="E391" s="110"/>
      <c r="F391" s="110"/>
      <c r="G391" s="110"/>
      <c r="H391" s="110"/>
      <c r="I391" s="110"/>
      <c r="J391" s="110"/>
      <c r="K391" s="110"/>
      <c r="L391" s="110"/>
      <c r="M391" s="110"/>
      <c r="N391" s="110"/>
      <c r="O391" s="110"/>
    </row>
    <row r="392" spans="1:15" ht="12" customHeight="1" x14ac:dyDescent="0.15">
      <c r="A392" s="110"/>
      <c r="B392" s="110"/>
      <c r="C392" s="110"/>
      <c r="D392" s="110"/>
      <c r="E392" s="110"/>
      <c r="F392" s="110"/>
      <c r="G392" s="110"/>
      <c r="H392" s="110"/>
      <c r="I392" s="110"/>
      <c r="J392" s="110"/>
      <c r="K392" s="110"/>
      <c r="L392" s="110"/>
      <c r="M392" s="110"/>
      <c r="N392" s="110"/>
      <c r="O392" s="110"/>
    </row>
    <row r="393" spans="1:15" ht="12" customHeight="1" x14ac:dyDescent="0.15">
      <c r="A393" s="110"/>
      <c r="B393" s="110"/>
      <c r="C393" s="110"/>
      <c r="D393" s="110"/>
      <c r="E393" s="110"/>
      <c r="F393" s="110"/>
      <c r="G393" s="110"/>
      <c r="H393" s="110"/>
      <c r="I393" s="110"/>
      <c r="J393" s="110"/>
      <c r="K393" s="110"/>
      <c r="L393" s="110"/>
      <c r="M393" s="110"/>
      <c r="N393" s="110"/>
      <c r="O393" s="110"/>
    </row>
    <row r="394" spans="1:15" ht="12" customHeight="1" x14ac:dyDescent="0.15">
      <c r="A394" s="110"/>
      <c r="B394" s="110"/>
      <c r="C394" s="110"/>
      <c r="D394" s="110"/>
      <c r="E394" s="110"/>
      <c r="F394" s="110"/>
      <c r="G394" s="110"/>
      <c r="H394" s="110"/>
      <c r="I394" s="110"/>
      <c r="J394" s="110"/>
      <c r="K394" s="110"/>
      <c r="L394" s="110"/>
      <c r="M394" s="110"/>
      <c r="N394" s="110"/>
      <c r="O394" s="110"/>
    </row>
    <row r="395" spans="1:15" ht="12" customHeight="1" x14ac:dyDescent="0.15">
      <c r="A395" s="110"/>
      <c r="B395" s="110"/>
      <c r="C395" s="110"/>
      <c r="D395" s="110"/>
      <c r="E395" s="110"/>
      <c r="F395" s="110"/>
      <c r="G395" s="110"/>
      <c r="H395" s="110"/>
      <c r="I395" s="110"/>
      <c r="J395" s="110"/>
      <c r="K395" s="110"/>
      <c r="L395" s="110"/>
      <c r="M395" s="110"/>
      <c r="N395" s="110"/>
      <c r="O395" s="110"/>
    </row>
    <row r="396" spans="1:15" ht="12" customHeight="1" x14ac:dyDescent="0.15">
      <c r="A396" s="110"/>
      <c r="B396" s="110"/>
      <c r="C396" s="110"/>
      <c r="D396" s="110"/>
      <c r="E396" s="110"/>
      <c r="F396" s="110"/>
      <c r="G396" s="110"/>
      <c r="H396" s="110"/>
      <c r="I396" s="110"/>
      <c r="J396" s="110"/>
      <c r="K396" s="110"/>
      <c r="L396" s="110"/>
      <c r="M396" s="110"/>
      <c r="N396" s="110"/>
      <c r="O396" s="110"/>
    </row>
    <row r="397" spans="1:15" ht="12" customHeight="1" x14ac:dyDescent="0.15">
      <c r="A397" s="110"/>
      <c r="B397" s="110"/>
      <c r="C397" s="110"/>
      <c r="D397" s="110"/>
      <c r="E397" s="110"/>
      <c r="F397" s="110"/>
      <c r="G397" s="110"/>
      <c r="H397" s="110"/>
      <c r="I397" s="110"/>
      <c r="J397" s="110"/>
      <c r="K397" s="110"/>
      <c r="L397" s="110"/>
      <c r="M397" s="110"/>
      <c r="N397" s="110"/>
      <c r="O397" s="110"/>
    </row>
    <row r="398" spans="1:15" ht="12" customHeight="1" x14ac:dyDescent="0.15">
      <c r="A398" s="110"/>
      <c r="B398" s="110"/>
      <c r="C398" s="110"/>
      <c r="D398" s="110"/>
      <c r="E398" s="110"/>
      <c r="F398" s="110"/>
      <c r="G398" s="110"/>
      <c r="H398" s="110"/>
      <c r="I398" s="110"/>
      <c r="J398" s="110"/>
      <c r="K398" s="110"/>
      <c r="L398" s="110"/>
      <c r="M398" s="110"/>
      <c r="N398" s="110"/>
      <c r="O398" s="110"/>
    </row>
    <row r="399" spans="1:15" ht="12" customHeight="1" x14ac:dyDescent="0.15">
      <c r="A399" s="110"/>
      <c r="B399" s="110"/>
      <c r="C399" s="110"/>
      <c r="D399" s="110"/>
      <c r="E399" s="110"/>
      <c r="F399" s="110"/>
      <c r="G399" s="110"/>
      <c r="H399" s="110"/>
      <c r="I399" s="110"/>
      <c r="J399" s="110"/>
      <c r="K399" s="110"/>
      <c r="L399" s="110"/>
      <c r="M399" s="110"/>
      <c r="N399" s="110"/>
      <c r="O399" s="110"/>
    </row>
    <row r="400" spans="1:15" ht="12" customHeight="1" x14ac:dyDescent="0.15">
      <c r="A400" s="110"/>
      <c r="B400" s="110"/>
      <c r="C400" s="110"/>
      <c r="D400" s="110"/>
      <c r="E400" s="110"/>
      <c r="F400" s="110"/>
      <c r="G400" s="110"/>
      <c r="H400" s="110"/>
      <c r="I400" s="110"/>
      <c r="J400" s="110"/>
      <c r="K400" s="110"/>
      <c r="L400" s="110"/>
      <c r="M400" s="110"/>
      <c r="N400" s="110"/>
      <c r="O400" s="110"/>
    </row>
    <row r="401" spans="1:15" ht="12" customHeight="1" x14ac:dyDescent="0.15">
      <c r="A401" s="110"/>
      <c r="B401" s="110"/>
      <c r="C401" s="110"/>
      <c r="D401" s="110"/>
      <c r="E401" s="110"/>
      <c r="F401" s="110"/>
      <c r="G401" s="110"/>
      <c r="H401" s="110"/>
      <c r="I401" s="110"/>
      <c r="J401" s="110"/>
      <c r="K401" s="110"/>
      <c r="L401" s="110"/>
      <c r="M401" s="110"/>
      <c r="N401" s="110"/>
      <c r="O401" s="110"/>
    </row>
    <row r="402" spans="1:15" ht="12" customHeight="1" x14ac:dyDescent="0.15">
      <c r="A402" s="110"/>
      <c r="B402" s="110"/>
      <c r="C402" s="110"/>
      <c r="D402" s="110"/>
      <c r="E402" s="110"/>
      <c r="F402" s="110"/>
      <c r="G402" s="110"/>
      <c r="H402" s="110"/>
      <c r="I402" s="110"/>
      <c r="J402" s="110"/>
      <c r="K402" s="110"/>
      <c r="L402" s="110"/>
      <c r="M402" s="110"/>
      <c r="N402" s="110"/>
      <c r="O402" s="110"/>
    </row>
    <row r="403" spans="1:15" ht="12" customHeight="1" x14ac:dyDescent="0.15">
      <c r="A403" s="110"/>
      <c r="B403" s="110"/>
      <c r="C403" s="110"/>
      <c r="D403" s="110"/>
      <c r="E403" s="110"/>
      <c r="F403" s="110"/>
      <c r="G403" s="110"/>
      <c r="H403" s="110"/>
      <c r="I403" s="110"/>
      <c r="J403" s="110"/>
      <c r="K403" s="110"/>
      <c r="L403" s="110"/>
      <c r="M403" s="110"/>
      <c r="N403" s="110"/>
      <c r="O403" s="110"/>
    </row>
    <row r="404" spans="1:15" ht="12" customHeight="1" x14ac:dyDescent="0.15">
      <c r="A404" s="110"/>
      <c r="B404" s="110"/>
      <c r="C404" s="110"/>
      <c r="D404" s="110"/>
      <c r="E404" s="110"/>
      <c r="F404" s="110"/>
      <c r="G404" s="110"/>
      <c r="H404" s="110"/>
      <c r="I404" s="110"/>
      <c r="J404" s="110"/>
      <c r="K404" s="110"/>
      <c r="L404" s="110"/>
      <c r="M404" s="110"/>
      <c r="N404" s="110"/>
      <c r="O404" s="110"/>
    </row>
    <row r="405" spans="1:15" ht="12" customHeight="1" x14ac:dyDescent="0.15">
      <c r="A405" s="110"/>
      <c r="B405" s="110"/>
      <c r="C405" s="110"/>
      <c r="D405" s="110"/>
      <c r="E405" s="110"/>
      <c r="F405" s="110"/>
      <c r="G405" s="110"/>
      <c r="H405" s="110"/>
      <c r="I405" s="110"/>
      <c r="J405" s="110"/>
      <c r="K405" s="110"/>
      <c r="L405" s="110"/>
      <c r="M405" s="110"/>
      <c r="N405" s="110"/>
      <c r="O405" s="110"/>
    </row>
    <row r="406" spans="1:15" ht="12" customHeight="1" x14ac:dyDescent="0.15">
      <c r="A406" s="110"/>
      <c r="B406" s="110"/>
      <c r="C406" s="110"/>
      <c r="D406" s="110"/>
      <c r="E406" s="110"/>
      <c r="F406" s="110"/>
      <c r="G406" s="110"/>
      <c r="H406" s="110"/>
      <c r="I406" s="110"/>
      <c r="J406" s="110"/>
      <c r="K406" s="110"/>
      <c r="L406" s="110"/>
      <c r="M406" s="110"/>
      <c r="N406" s="110"/>
      <c r="O406" s="110"/>
    </row>
    <row r="407" spans="1:15" ht="12" customHeight="1" x14ac:dyDescent="0.15">
      <c r="A407" s="110"/>
      <c r="B407" s="110"/>
      <c r="C407" s="110"/>
      <c r="D407" s="110"/>
      <c r="E407" s="110"/>
      <c r="F407" s="110"/>
      <c r="G407" s="110"/>
      <c r="H407" s="110"/>
      <c r="I407" s="110"/>
      <c r="J407" s="110"/>
      <c r="K407" s="110"/>
      <c r="L407" s="110"/>
      <c r="M407" s="110"/>
      <c r="N407" s="110"/>
      <c r="O407" s="110"/>
    </row>
    <row r="408" spans="1:15" ht="12" customHeight="1" x14ac:dyDescent="0.15">
      <c r="A408" s="110"/>
      <c r="B408" s="110"/>
      <c r="C408" s="110"/>
      <c r="D408" s="110"/>
      <c r="E408" s="110"/>
      <c r="F408" s="110"/>
      <c r="G408" s="110"/>
      <c r="H408" s="110"/>
      <c r="I408" s="110"/>
      <c r="J408" s="110"/>
      <c r="K408" s="110"/>
      <c r="L408" s="110"/>
      <c r="M408" s="110"/>
      <c r="N408" s="110"/>
      <c r="O408" s="110"/>
    </row>
    <row r="409" spans="1:15" ht="12" customHeight="1" x14ac:dyDescent="0.15">
      <c r="A409" s="110"/>
      <c r="B409" s="110"/>
      <c r="C409" s="110"/>
      <c r="D409" s="110"/>
      <c r="E409" s="110"/>
      <c r="F409" s="110"/>
      <c r="G409" s="110"/>
      <c r="H409" s="110"/>
      <c r="I409" s="110"/>
      <c r="J409" s="110"/>
      <c r="K409" s="110"/>
      <c r="L409" s="110"/>
      <c r="M409" s="110"/>
      <c r="N409" s="110"/>
      <c r="O409" s="110"/>
    </row>
    <row r="410" spans="1:15" ht="12" customHeight="1" x14ac:dyDescent="0.15">
      <c r="A410" s="110"/>
      <c r="B410" s="110"/>
      <c r="C410" s="110"/>
      <c r="D410" s="110"/>
      <c r="E410" s="110"/>
      <c r="F410" s="110"/>
      <c r="G410" s="110"/>
      <c r="H410" s="110"/>
      <c r="I410" s="110"/>
      <c r="J410" s="110"/>
      <c r="K410" s="110"/>
      <c r="L410" s="110"/>
      <c r="M410" s="110"/>
      <c r="N410" s="110"/>
      <c r="O410" s="110"/>
    </row>
    <row r="411" spans="1:15" ht="12" customHeight="1" x14ac:dyDescent="0.15">
      <c r="A411" s="110"/>
      <c r="B411" s="110"/>
      <c r="C411" s="110"/>
      <c r="D411" s="110"/>
      <c r="E411" s="110"/>
      <c r="F411" s="110"/>
      <c r="G411" s="110"/>
      <c r="H411" s="110"/>
      <c r="I411" s="110"/>
      <c r="J411" s="110"/>
      <c r="K411" s="110"/>
      <c r="L411" s="110"/>
      <c r="M411" s="110"/>
      <c r="N411" s="110"/>
      <c r="O411" s="110"/>
    </row>
    <row r="412" spans="1:15" ht="12" customHeight="1" x14ac:dyDescent="0.15">
      <c r="A412" s="110"/>
      <c r="B412" s="110"/>
      <c r="C412" s="110"/>
      <c r="D412" s="110"/>
      <c r="E412" s="110"/>
      <c r="F412" s="110"/>
      <c r="G412" s="110"/>
      <c r="H412" s="110"/>
      <c r="I412" s="110"/>
      <c r="J412" s="110"/>
      <c r="K412" s="110"/>
      <c r="L412" s="110"/>
      <c r="M412" s="110"/>
      <c r="N412" s="110"/>
      <c r="O412" s="110"/>
    </row>
    <row r="413" spans="1:15" ht="12" customHeight="1" x14ac:dyDescent="0.15">
      <c r="A413" s="110"/>
      <c r="B413" s="110"/>
      <c r="C413" s="110"/>
      <c r="D413" s="110"/>
      <c r="E413" s="110"/>
      <c r="F413" s="110"/>
      <c r="G413" s="110"/>
      <c r="H413" s="110"/>
      <c r="I413" s="110"/>
      <c r="J413" s="110"/>
      <c r="K413" s="110"/>
      <c r="L413" s="110"/>
      <c r="M413" s="110"/>
      <c r="N413" s="110"/>
      <c r="O413" s="110"/>
    </row>
    <row r="414" spans="1:15" ht="12" customHeight="1" x14ac:dyDescent="0.15">
      <c r="A414" s="110"/>
      <c r="B414" s="110"/>
      <c r="C414" s="110"/>
      <c r="D414" s="110"/>
      <c r="E414" s="110"/>
      <c r="F414" s="110"/>
      <c r="G414" s="110"/>
      <c r="H414" s="110"/>
      <c r="I414" s="110"/>
      <c r="J414" s="110"/>
      <c r="K414" s="110"/>
      <c r="L414" s="110"/>
      <c r="M414" s="110"/>
      <c r="N414" s="110"/>
      <c r="O414" s="110"/>
    </row>
    <row r="415" spans="1:15" ht="12" customHeight="1" x14ac:dyDescent="0.15">
      <c r="A415" s="110"/>
      <c r="B415" s="110"/>
      <c r="C415" s="110"/>
      <c r="D415" s="110"/>
      <c r="E415" s="110"/>
      <c r="F415" s="110"/>
      <c r="G415" s="110"/>
      <c r="H415" s="110"/>
      <c r="I415" s="110"/>
      <c r="J415" s="110"/>
      <c r="K415" s="110"/>
      <c r="L415" s="110"/>
      <c r="M415" s="110"/>
      <c r="N415" s="110"/>
      <c r="O415" s="110"/>
    </row>
    <row r="416" spans="1:15" ht="12" customHeight="1" x14ac:dyDescent="0.15">
      <c r="A416" s="110"/>
      <c r="B416" s="110"/>
      <c r="C416" s="110"/>
      <c r="D416" s="110"/>
      <c r="E416" s="110"/>
      <c r="F416" s="110"/>
      <c r="G416" s="110"/>
      <c r="H416" s="110"/>
      <c r="I416" s="110"/>
      <c r="J416" s="110"/>
      <c r="K416" s="110"/>
      <c r="L416" s="110"/>
      <c r="M416" s="110"/>
      <c r="N416" s="110"/>
      <c r="O416" s="110"/>
    </row>
    <row r="417" spans="1:15" ht="12" customHeight="1" x14ac:dyDescent="0.15">
      <c r="A417" s="110"/>
      <c r="B417" s="110"/>
      <c r="C417" s="110"/>
      <c r="D417" s="110"/>
      <c r="E417" s="110"/>
      <c r="F417" s="110"/>
      <c r="G417" s="110"/>
      <c r="H417" s="110"/>
      <c r="I417" s="110"/>
      <c r="J417" s="110"/>
      <c r="K417" s="110"/>
      <c r="L417" s="110"/>
      <c r="M417" s="110"/>
      <c r="N417" s="110"/>
      <c r="O417" s="110"/>
    </row>
    <row r="418" spans="1:15" ht="12" customHeight="1" x14ac:dyDescent="0.15">
      <c r="A418" s="110"/>
      <c r="B418" s="110"/>
      <c r="C418" s="110"/>
      <c r="D418" s="110"/>
      <c r="E418" s="110"/>
      <c r="F418" s="110"/>
      <c r="G418" s="110"/>
      <c r="H418" s="110"/>
      <c r="I418" s="110"/>
      <c r="J418" s="110"/>
      <c r="K418" s="110"/>
      <c r="L418" s="110"/>
      <c r="M418" s="110"/>
      <c r="N418" s="110"/>
      <c r="O418" s="110"/>
    </row>
    <row r="419" spans="1:15" ht="12" customHeight="1" x14ac:dyDescent="0.15">
      <c r="A419" s="110"/>
      <c r="B419" s="110"/>
      <c r="C419" s="110"/>
      <c r="D419" s="110"/>
      <c r="E419" s="110"/>
      <c r="F419" s="110"/>
      <c r="G419" s="110"/>
      <c r="H419" s="110"/>
      <c r="I419" s="110"/>
      <c r="J419" s="110"/>
      <c r="K419" s="110"/>
      <c r="L419" s="110"/>
      <c r="M419" s="110"/>
      <c r="N419" s="110"/>
      <c r="O419" s="110"/>
    </row>
    <row r="420" spans="1:15" ht="12" customHeight="1" x14ac:dyDescent="0.15">
      <c r="A420" s="110"/>
      <c r="B420" s="110"/>
      <c r="C420" s="110"/>
      <c r="D420" s="110"/>
      <c r="E420" s="110"/>
      <c r="F420" s="110"/>
      <c r="G420" s="110"/>
      <c r="H420" s="110"/>
      <c r="I420" s="110"/>
      <c r="J420" s="110"/>
      <c r="K420" s="110"/>
      <c r="L420" s="110"/>
      <c r="M420" s="110"/>
      <c r="N420" s="110"/>
      <c r="O420" s="110"/>
    </row>
    <row r="421" spans="1:15" ht="12" customHeight="1" x14ac:dyDescent="0.15">
      <c r="A421" s="110"/>
      <c r="B421" s="110"/>
      <c r="C421" s="110"/>
      <c r="D421" s="110"/>
      <c r="E421" s="110"/>
      <c r="F421" s="110"/>
      <c r="G421" s="110"/>
      <c r="H421" s="110"/>
      <c r="I421" s="110"/>
      <c r="J421" s="110"/>
      <c r="K421" s="110"/>
      <c r="L421" s="110"/>
      <c r="M421" s="110"/>
      <c r="N421" s="110"/>
      <c r="O421" s="110"/>
    </row>
    <row r="422" spans="1:15" ht="12" customHeight="1" x14ac:dyDescent="0.15">
      <c r="A422" s="110"/>
      <c r="B422" s="110"/>
      <c r="C422" s="110"/>
      <c r="D422" s="110"/>
      <c r="E422" s="110"/>
      <c r="F422" s="110"/>
      <c r="G422" s="110"/>
      <c r="H422" s="110"/>
      <c r="I422" s="110"/>
      <c r="J422" s="110"/>
      <c r="K422" s="110"/>
      <c r="L422" s="110"/>
      <c r="M422" s="110"/>
      <c r="N422" s="110"/>
      <c r="O422" s="110"/>
    </row>
    <row r="423" spans="1:15" ht="12" customHeight="1" x14ac:dyDescent="0.15">
      <c r="A423" s="110"/>
      <c r="B423" s="110"/>
      <c r="C423" s="110"/>
      <c r="D423" s="110"/>
      <c r="E423" s="110"/>
      <c r="F423" s="110"/>
      <c r="G423" s="110"/>
      <c r="H423" s="110"/>
      <c r="I423" s="110"/>
      <c r="J423" s="110"/>
      <c r="K423" s="110"/>
      <c r="L423" s="110"/>
      <c r="M423" s="110"/>
      <c r="N423" s="110"/>
      <c r="O423" s="110"/>
    </row>
    <row r="424" spans="1:15" ht="12" customHeight="1" x14ac:dyDescent="0.15">
      <c r="A424" s="110"/>
      <c r="B424" s="110"/>
      <c r="C424" s="110"/>
      <c r="D424" s="110"/>
      <c r="E424" s="110"/>
      <c r="F424" s="110"/>
      <c r="G424" s="110"/>
      <c r="H424" s="110"/>
      <c r="I424" s="110"/>
      <c r="J424" s="110"/>
      <c r="K424" s="110"/>
      <c r="L424" s="110"/>
      <c r="M424" s="110"/>
      <c r="N424" s="110"/>
      <c r="O424" s="110"/>
    </row>
    <row r="425" spans="1:15" ht="12" customHeight="1" x14ac:dyDescent="0.15">
      <c r="A425" s="110"/>
      <c r="B425" s="110"/>
      <c r="C425" s="110"/>
      <c r="D425" s="110"/>
      <c r="E425" s="110"/>
      <c r="F425" s="110"/>
      <c r="G425" s="110"/>
      <c r="H425" s="110"/>
      <c r="I425" s="110"/>
      <c r="J425" s="110"/>
      <c r="K425" s="110"/>
      <c r="L425" s="110"/>
      <c r="M425" s="110"/>
      <c r="N425" s="110"/>
      <c r="O425" s="110"/>
    </row>
    <row r="426" spans="1:15" ht="12" customHeight="1" x14ac:dyDescent="0.15">
      <c r="A426" s="110"/>
      <c r="B426" s="110"/>
      <c r="C426" s="110"/>
      <c r="D426" s="110"/>
      <c r="E426" s="110"/>
      <c r="F426" s="110"/>
      <c r="G426" s="110"/>
      <c r="H426" s="110"/>
      <c r="I426" s="110"/>
      <c r="J426" s="110"/>
      <c r="K426" s="110"/>
      <c r="L426" s="110"/>
      <c r="M426" s="110"/>
      <c r="N426" s="110"/>
      <c r="O426" s="110"/>
    </row>
    <row r="427" spans="1:15" ht="12" customHeight="1" x14ac:dyDescent="0.15">
      <c r="A427" s="110"/>
      <c r="B427" s="110"/>
      <c r="C427" s="110"/>
      <c r="D427" s="110"/>
      <c r="E427" s="110"/>
      <c r="F427" s="110"/>
      <c r="G427" s="110"/>
      <c r="H427" s="110"/>
      <c r="I427" s="110"/>
      <c r="J427" s="110"/>
      <c r="K427" s="110"/>
      <c r="L427" s="110"/>
      <c r="M427" s="110"/>
      <c r="N427" s="110"/>
      <c r="O427" s="110"/>
    </row>
    <row r="428" spans="1:15" ht="12" customHeight="1" x14ac:dyDescent="0.15">
      <c r="A428" s="110"/>
      <c r="B428" s="110"/>
      <c r="C428" s="110"/>
      <c r="D428" s="110"/>
      <c r="E428" s="110"/>
      <c r="F428" s="110"/>
      <c r="G428" s="110"/>
      <c r="H428" s="110"/>
      <c r="I428" s="110"/>
      <c r="J428" s="110"/>
      <c r="K428" s="110"/>
      <c r="L428" s="110"/>
      <c r="M428" s="110"/>
      <c r="N428" s="110"/>
      <c r="O428" s="110"/>
    </row>
    <row r="429" spans="1:15" ht="12" customHeight="1" x14ac:dyDescent="0.15">
      <c r="A429" s="110"/>
      <c r="B429" s="110"/>
      <c r="C429" s="110"/>
      <c r="D429" s="110"/>
      <c r="E429" s="110"/>
      <c r="F429" s="110"/>
      <c r="G429" s="110"/>
      <c r="H429" s="110"/>
      <c r="I429" s="110"/>
      <c r="J429" s="110"/>
      <c r="K429" s="110"/>
      <c r="L429" s="110"/>
      <c r="M429" s="110"/>
      <c r="N429" s="110"/>
      <c r="O429" s="110"/>
    </row>
    <row r="430" spans="1:15" ht="12" customHeight="1" x14ac:dyDescent="0.15">
      <c r="A430" s="110"/>
      <c r="B430" s="110"/>
      <c r="C430" s="110"/>
      <c r="D430" s="110"/>
      <c r="E430" s="110"/>
      <c r="F430" s="110"/>
      <c r="G430" s="110"/>
      <c r="H430" s="110"/>
      <c r="I430" s="110"/>
      <c r="J430" s="110"/>
      <c r="K430" s="110"/>
      <c r="L430" s="110"/>
      <c r="M430" s="110"/>
      <c r="N430" s="110"/>
      <c r="O430" s="110"/>
    </row>
    <row r="431" spans="1:15" ht="12" customHeight="1" x14ac:dyDescent="0.15">
      <c r="A431" s="110"/>
      <c r="B431" s="110"/>
      <c r="C431" s="110"/>
      <c r="D431" s="110"/>
      <c r="E431" s="110"/>
      <c r="F431" s="110"/>
      <c r="G431" s="110"/>
      <c r="H431" s="110"/>
      <c r="I431" s="110"/>
      <c r="J431" s="110"/>
      <c r="K431" s="110"/>
      <c r="L431" s="110"/>
      <c r="M431" s="110"/>
      <c r="N431" s="110"/>
      <c r="O431" s="110"/>
    </row>
    <row r="432" spans="1:15" ht="12" customHeight="1" x14ac:dyDescent="0.15">
      <c r="A432" s="110"/>
      <c r="B432" s="110"/>
      <c r="C432" s="110"/>
      <c r="D432" s="110"/>
      <c r="E432" s="110"/>
      <c r="F432" s="110"/>
      <c r="G432" s="110"/>
      <c r="H432" s="110"/>
      <c r="I432" s="110"/>
      <c r="J432" s="110"/>
      <c r="K432" s="110"/>
      <c r="L432" s="110"/>
      <c r="M432" s="110"/>
      <c r="N432" s="110"/>
      <c r="O432" s="110"/>
    </row>
    <row r="433" spans="1:15" ht="12" customHeight="1" x14ac:dyDescent="0.15">
      <c r="A433" s="110"/>
      <c r="B433" s="110"/>
      <c r="C433" s="110"/>
      <c r="D433" s="110"/>
      <c r="E433" s="110"/>
      <c r="F433" s="110"/>
      <c r="G433" s="110"/>
      <c r="H433" s="110"/>
      <c r="I433" s="110"/>
      <c r="J433" s="110"/>
      <c r="K433" s="110"/>
      <c r="L433" s="110"/>
      <c r="M433" s="110"/>
      <c r="N433" s="110"/>
      <c r="O433" s="110"/>
    </row>
    <row r="434" spans="1:15" ht="12" customHeight="1" x14ac:dyDescent="0.15">
      <c r="A434" s="110"/>
      <c r="B434" s="110"/>
      <c r="C434" s="110"/>
      <c r="D434" s="110"/>
      <c r="E434" s="110"/>
      <c r="F434" s="110"/>
      <c r="G434" s="110"/>
      <c r="H434" s="110"/>
      <c r="I434" s="110"/>
      <c r="J434" s="110"/>
      <c r="K434" s="110"/>
      <c r="L434" s="110"/>
      <c r="M434" s="110"/>
      <c r="N434" s="110"/>
      <c r="O434" s="110"/>
    </row>
    <row r="435" spans="1:15" ht="12" customHeight="1" x14ac:dyDescent="0.15">
      <c r="A435" s="110"/>
      <c r="B435" s="110"/>
      <c r="C435" s="110"/>
      <c r="D435" s="110"/>
      <c r="E435" s="110"/>
      <c r="F435" s="110"/>
      <c r="G435" s="110"/>
      <c r="H435" s="110"/>
      <c r="I435" s="110"/>
      <c r="J435" s="110"/>
      <c r="K435" s="110"/>
      <c r="L435" s="110"/>
      <c r="M435" s="110"/>
      <c r="N435" s="110"/>
      <c r="O435" s="110"/>
    </row>
    <row r="436" spans="1:15" ht="12" customHeight="1" x14ac:dyDescent="0.15">
      <c r="A436" s="110"/>
      <c r="B436" s="110"/>
      <c r="C436" s="110"/>
      <c r="D436" s="110"/>
      <c r="E436" s="110"/>
      <c r="F436" s="110"/>
      <c r="G436" s="110"/>
      <c r="H436" s="110"/>
      <c r="I436" s="110"/>
      <c r="J436" s="110"/>
      <c r="K436" s="110"/>
      <c r="L436" s="110"/>
      <c r="M436" s="110"/>
      <c r="N436" s="110"/>
      <c r="O436" s="110"/>
    </row>
    <row r="437" spans="1:15" ht="12" customHeight="1" x14ac:dyDescent="0.15">
      <c r="A437" s="110"/>
      <c r="B437" s="110"/>
      <c r="C437" s="110"/>
      <c r="D437" s="110"/>
      <c r="E437" s="110"/>
      <c r="F437" s="110"/>
      <c r="G437" s="110"/>
      <c r="H437" s="110"/>
      <c r="I437" s="110"/>
      <c r="J437" s="110"/>
      <c r="K437" s="110"/>
      <c r="L437" s="110"/>
      <c r="M437" s="110"/>
      <c r="N437" s="110"/>
      <c r="O437" s="110"/>
    </row>
    <row r="438" spans="1:15" ht="12" customHeight="1" x14ac:dyDescent="0.15">
      <c r="A438" s="110"/>
      <c r="B438" s="110"/>
      <c r="C438" s="110"/>
      <c r="D438" s="110"/>
      <c r="E438" s="110"/>
      <c r="F438" s="110"/>
      <c r="G438" s="110"/>
      <c r="H438" s="110"/>
      <c r="I438" s="110"/>
      <c r="J438" s="110"/>
      <c r="K438" s="110"/>
      <c r="L438" s="110"/>
      <c r="M438" s="110"/>
      <c r="N438" s="110"/>
      <c r="O438" s="110"/>
    </row>
    <row r="439" spans="1:15" ht="12" customHeight="1" x14ac:dyDescent="0.15">
      <c r="A439" s="110"/>
      <c r="B439" s="110"/>
      <c r="C439" s="110"/>
      <c r="D439" s="110"/>
      <c r="E439" s="110"/>
      <c r="F439" s="110"/>
      <c r="G439" s="110"/>
      <c r="H439" s="110"/>
      <c r="I439" s="110"/>
      <c r="J439" s="110"/>
      <c r="K439" s="110"/>
      <c r="L439" s="110"/>
      <c r="M439" s="110"/>
      <c r="N439" s="110"/>
      <c r="O439" s="110"/>
    </row>
    <row r="440" spans="1:15" ht="12" customHeight="1" x14ac:dyDescent="0.15">
      <c r="A440" s="110"/>
      <c r="B440" s="110"/>
      <c r="C440" s="110"/>
      <c r="D440" s="110"/>
      <c r="E440" s="110"/>
      <c r="F440" s="110"/>
      <c r="G440" s="110"/>
      <c r="H440" s="110"/>
      <c r="I440" s="110"/>
      <c r="J440" s="110"/>
      <c r="K440" s="110"/>
      <c r="L440" s="110"/>
      <c r="M440" s="110"/>
      <c r="N440" s="110"/>
      <c r="O440" s="110"/>
    </row>
    <row r="441" spans="1:15" ht="12" customHeight="1" x14ac:dyDescent="0.15">
      <c r="A441" s="110"/>
      <c r="B441" s="110"/>
      <c r="C441" s="110"/>
      <c r="D441" s="110"/>
      <c r="E441" s="110"/>
      <c r="F441" s="110"/>
      <c r="G441" s="110"/>
      <c r="H441" s="110"/>
      <c r="I441" s="110"/>
      <c r="J441" s="110"/>
      <c r="K441" s="110"/>
      <c r="L441" s="110"/>
      <c r="M441" s="110"/>
      <c r="N441" s="110"/>
      <c r="O441" s="110"/>
    </row>
    <row r="442" spans="1:15" ht="12" customHeight="1" x14ac:dyDescent="0.15">
      <c r="A442" s="110"/>
      <c r="B442" s="110"/>
      <c r="C442" s="110"/>
      <c r="D442" s="110"/>
      <c r="E442" s="110"/>
      <c r="F442" s="110"/>
      <c r="G442" s="110"/>
      <c r="H442" s="110"/>
      <c r="I442" s="110"/>
      <c r="J442" s="110"/>
      <c r="K442" s="110"/>
      <c r="L442" s="110"/>
      <c r="M442" s="110"/>
      <c r="N442" s="110"/>
      <c r="O442" s="110"/>
    </row>
    <row r="443" spans="1:15" ht="12" customHeight="1" x14ac:dyDescent="0.15">
      <c r="A443" s="110"/>
      <c r="B443" s="110"/>
      <c r="C443" s="110"/>
      <c r="D443" s="110"/>
      <c r="E443" s="110"/>
      <c r="F443" s="110"/>
      <c r="G443" s="110"/>
      <c r="H443" s="110"/>
      <c r="I443" s="110"/>
      <c r="J443" s="110"/>
      <c r="K443" s="110"/>
      <c r="L443" s="110"/>
      <c r="M443" s="110"/>
      <c r="N443" s="110"/>
      <c r="O443" s="110"/>
    </row>
    <row r="444" spans="1:15" ht="12" customHeight="1" x14ac:dyDescent="0.15">
      <c r="A444" s="110"/>
      <c r="B444" s="110"/>
      <c r="C444" s="110"/>
      <c r="D444" s="110"/>
      <c r="E444" s="110"/>
      <c r="F444" s="110"/>
      <c r="G444" s="110"/>
      <c r="H444" s="110"/>
      <c r="I444" s="110"/>
      <c r="J444" s="110"/>
      <c r="K444" s="110"/>
      <c r="L444" s="110"/>
      <c r="M444" s="110"/>
      <c r="N444" s="110"/>
      <c r="O444" s="110"/>
    </row>
    <row r="445" spans="1:15" ht="12" customHeight="1" x14ac:dyDescent="0.15">
      <c r="A445" s="110"/>
      <c r="B445" s="110"/>
      <c r="C445" s="110"/>
      <c r="D445" s="110"/>
      <c r="E445" s="110"/>
      <c r="F445" s="110"/>
      <c r="G445" s="110"/>
      <c r="H445" s="110"/>
      <c r="I445" s="110"/>
      <c r="J445" s="110"/>
      <c r="K445" s="110"/>
      <c r="L445" s="110"/>
      <c r="M445" s="110"/>
      <c r="N445" s="110"/>
      <c r="O445" s="110"/>
    </row>
    <row r="446" spans="1:15" ht="12" customHeight="1" x14ac:dyDescent="0.15">
      <c r="A446" s="110"/>
      <c r="B446" s="110"/>
      <c r="C446" s="110"/>
      <c r="D446" s="110"/>
      <c r="E446" s="110"/>
      <c r="F446" s="110"/>
      <c r="G446" s="110"/>
      <c r="H446" s="110"/>
      <c r="I446" s="110"/>
      <c r="J446" s="110"/>
      <c r="K446" s="110"/>
      <c r="L446" s="110"/>
      <c r="M446" s="110"/>
      <c r="N446" s="110"/>
      <c r="O446" s="110"/>
    </row>
    <row r="447" spans="1:15" ht="12" customHeight="1" x14ac:dyDescent="0.15">
      <c r="A447" s="110"/>
      <c r="B447" s="110"/>
      <c r="C447" s="110"/>
      <c r="D447" s="110"/>
      <c r="E447" s="110"/>
      <c r="F447" s="110"/>
      <c r="G447" s="110"/>
      <c r="H447" s="110"/>
      <c r="I447" s="110"/>
      <c r="J447" s="110"/>
      <c r="K447" s="110"/>
      <c r="L447" s="110"/>
      <c r="M447" s="110"/>
      <c r="N447" s="110"/>
      <c r="O447" s="110"/>
    </row>
    <row r="448" spans="1:15" ht="12" customHeight="1" x14ac:dyDescent="0.15">
      <c r="A448" s="110"/>
      <c r="B448" s="110"/>
      <c r="C448" s="110"/>
      <c r="D448" s="110"/>
      <c r="E448" s="110"/>
      <c r="F448" s="110"/>
      <c r="G448" s="110"/>
      <c r="H448" s="110"/>
      <c r="I448" s="110"/>
      <c r="J448" s="110"/>
      <c r="K448" s="110"/>
      <c r="L448" s="110"/>
      <c r="M448" s="110"/>
      <c r="N448" s="110"/>
      <c r="O448" s="110"/>
    </row>
    <row r="449" spans="1:15" ht="12" customHeight="1" x14ac:dyDescent="0.15">
      <c r="A449" s="110"/>
      <c r="B449" s="110"/>
      <c r="C449" s="110"/>
      <c r="D449" s="110"/>
      <c r="E449" s="110"/>
      <c r="F449" s="110"/>
      <c r="G449" s="110"/>
      <c r="H449" s="110"/>
      <c r="I449" s="110"/>
      <c r="J449" s="110"/>
      <c r="K449" s="110"/>
      <c r="L449" s="110"/>
      <c r="M449" s="110"/>
      <c r="N449" s="110"/>
      <c r="O449" s="110"/>
    </row>
    <row r="450" spans="1:15" ht="12" customHeight="1" x14ac:dyDescent="0.15">
      <c r="A450" s="110"/>
      <c r="B450" s="110"/>
      <c r="C450" s="110"/>
      <c r="D450" s="110"/>
      <c r="E450" s="110"/>
      <c r="F450" s="110"/>
      <c r="G450" s="110"/>
      <c r="H450" s="110"/>
      <c r="I450" s="110"/>
      <c r="J450" s="110"/>
      <c r="K450" s="110"/>
      <c r="L450" s="110"/>
      <c r="M450" s="110"/>
      <c r="N450" s="110"/>
      <c r="O450" s="110"/>
    </row>
    <row r="451" spans="1:15" ht="12" customHeight="1" x14ac:dyDescent="0.15">
      <c r="A451" s="110"/>
      <c r="B451" s="110"/>
      <c r="C451" s="110"/>
      <c r="D451" s="110"/>
      <c r="E451" s="110"/>
      <c r="F451" s="110"/>
      <c r="G451" s="110"/>
      <c r="H451" s="110"/>
      <c r="I451" s="110"/>
      <c r="J451" s="110"/>
      <c r="K451" s="110"/>
      <c r="L451" s="110"/>
      <c r="M451" s="110"/>
      <c r="N451" s="110"/>
      <c r="O451" s="110"/>
    </row>
    <row r="452" spans="1:15" ht="12" customHeight="1" x14ac:dyDescent="0.15">
      <c r="A452" s="110"/>
      <c r="B452" s="110"/>
      <c r="C452" s="110"/>
      <c r="D452" s="110"/>
      <c r="E452" s="110"/>
      <c r="F452" s="110"/>
      <c r="G452" s="110"/>
      <c r="H452" s="110"/>
      <c r="I452" s="110"/>
      <c r="J452" s="110"/>
      <c r="K452" s="110"/>
      <c r="L452" s="110"/>
      <c r="M452" s="110"/>
      <c r="N452" s="110"/>
      <c r="O452" s="110"/>
    </row>
    <row r="453" spans="1:15" ht="12" customHeight="1" x14ac:dyDescent="0.15">
      <c r="A453" s="110"/>
      <c r="B453" s="110"/>
      <c r="C453" s="110"/>
      <c r="D453" s="110"/>
      <c r="E453" s="110"/>
      <c r="F453" s="110"/>
      <c r="G453" s="110"/>
      <c r="H453" s="110"/>
      <c r="I453" s="110"/>
      <c r="J453" s="110"/>
      <c r="K453" s="110"/>
      <c r="L453" s="110"/>
      <c r="M453" s="110"/>
      <c r="N453" s="110"/>
      <c r="O453" s="110"/>
    </row>
    <row r="454" spans="1:15" ht="12" customHeight="1" x14ac:dyDescent="0.15">
      <c r="A454" s="110"/>
      <c r="B454" s="110"/>
      <c r="C454" s="110"/>
      <c r="D454" s="110"/>
      <c r="E454" s="110"/>
      <c r="F454" s="110"/>
      <c r="G454" s="110"/>
      <c r="H454" s="110"/>
      <c r="I454" s="110"/>
      <c r="J454" s="110"/>
      <c r="K454" s="110"/>
      <c r="L454" s="110"/>
      <c r="M454" s="110"/>
      <c r="N454" s="110"/>
      <c r="O454" s="110"/>
    </row>
    <row r="455" spans="1:15" ht="12" customHeight="1" x14ac:dyDescent="0.15">
      <c r="A455" s="110"/>
      <c r="B455" s="110"/>
      <c r="C455" s="110"/>
      <c r="D455" s="110"/>
      <c r="E455" s="110"/>
      <c r="F455" s="110"/>
      <c r="G455" s="110"/>
      <c r="H455" s="110"/>
      <c r="I455" s="110"/>
      <c r="J455" s="110"/>
      <c r="K455" s="110"/>
      <c r="L455" s="110"/>
      <c r="M455" s="110"/>
      <c r="N455" s="110"/>
      <c r="O455" s="110"/>
    </row>
    <row r="456" spans="1:15" ht="12" customHeight="1" x14ac:dyDescent="0.15">
      <c r="A456" s="110"/>
      <c r="B456" s="110"/>
      <c r="C456" s="110"/>
      <c r="D456" s="110"/>
      <c r="E456" s="110"/>
      <c r="F456" s="110"/>
      <c r="G456" s="110"/>
      <c r="H456" s="110"/>
      <c r="I456" s="110"/>
      <c r="J456" s="110"/>
      <c r="K456" s="110"/>
      <c r="L456" s="110"/>
      <c r="M456" s="110"/>
      <c r="N456" s="110"/>
      <c r="O456" s="110"/>
    </row>
    <row r="457" spans="1:15" ht="12" customHeight="1" x14ac:dyDescent="0.15">
      <c r="A457" s="110"/>
      <c r="B457" s="110"/>
      <c r="C457" s="110"/>
      <c r="D457" s="110"/>
      <c r="E457" s="110"/>
      <c r="F457" s="110"/>
      <c r="G457" s="110"/>
      <c r="H457" s="110"/>
      <c r="I457" s="110"/>
      <c r="J457" s="110"/>
      <c r="K457" s="110"/>
      <c r="L457" s="110"/>
      <c r="M457" s="110"/>
      <c r="N457" s="110"/>
      <c r="O457" s="110"/>
    </row>
    <row r="458" spans="1:15" ht="12" customHeight="1" x14ac:dyDescent="0.15">
      <c r="A458" s="110"/>
      <c r="B458" s="110"/>
      <c r="C458" s="110"/>
      <c r="D458" s="110"/>
      <c r="E458" s="110"/>
      <c r="F458" s="110"/>
      <c r="G458" s="110"/>
      <c r="H458" s="110"/>
      <c r="I458" s="110"/>
      <c r="J458" s="110"/>
      <c r="K458" s="110"/>
      <c r="L458" s="110"/>
      <c r="M458" s="110"/>
      <c r="N458" s="110"/>
      <c r="O458" s="110"/>
    </row>
    <row r="459" spans="1:15" ht="12" customHeight="1" x14ac:dyDescent="0.15">
      <c r="A459" s="110"/>
      <c r="B459" s="110"/>
      <c r="C459" s="110"/>
      <c r="D459" s="110"/>
      <c r="E459" s="110"/>
      <c r="F459" s="110"/>
      <c r="G459" s="110"/>
      <c r="H459" s="110"/>
      <c r="I459" s="110"/>
      <c r="J459" s="110"/>
      <c r="K459" s="110"/>
      <c r="L459" s="110"/>
      <c r="M459" s="110"/>
      <c r="N459" s="110"/>
      <c r="O459" s="110"/>
    </row>
    <row r="460" spans="1:15" ht="12" customHeight="1" x14ac:dyDescent="0.15">
      <c r="A460" s="110"/>
      <c r="B460" s="110"/>
      <c r="C460" s="110"/>
      <c r="D460" s="110"/>
      <c r="E460" s="110"/>
      <c r="F460" s="110"/>
      <c r="G460" s="110"/>
      <c r="H460" s="110"/>
      <c r="I460" s="110"/>
      <c r="J460" s="110"/>
      <c r="K460" s="110"/>
      <c r="L460" s="110"/>
      <c r="M460" s="110"/>
      <c r="N460" s="110"/>
      <c r="O460" s="110"/>
    </row>
    <row r="461" spans="1:15" ht="12" customHeight="1" x14ac:dyDescent="0.15">
      <c r="A461" s="110"/>
      <c r="B461" s="110"/>
      <c r="C461" s="110"/>
      <c r="D461" s="110"/>
      <c r="E461" s="110"/>
      <c r="F461" s="110"/>
      <c r="G461" s="110"/>
      <c r="H461" s="110"/>
      <c r="I461" s="110"/>
      <c r="J461" s="110"/>
      <c r="K461" s="110"/>
      <c r="L461" s="110"/>
      <c r="M461" s="110"/>
      <c r="N461" s="110"/>
      <c r="O461" s="110"/>
    </row>
    <row r="462" spans="1:15" ht="12" customHeight="1" x14ac:dyDescent="0.15">
      <c r="A462" s="110"/>
      <c r="B462" s="110"/>
      <c r="C462" s="110"/>
      <c r="D462" s="110"/>
      <c r="E462" s="110"/>
      <c r="F462" s="110"/>
      <c r="G462" s="110"/>
      <c r="H462" s="110"/>
      <c r="I462" s="110"/>
      <c r="J462" s="110"/>
      <c r="K462" s="110"/>
      <c r="L462" s="110"/>
      <c r="M462" s="110"/>
      <c r="N462" s="110"/>
      <c r="O462" s="110"/>
    </row>
    <row r="463" spans="1:15" ht="12" customHeight="1" x14ac:dyDescent="0.15">
      <c r="A463" s="110"/>
      <c r="B463" s="110"/>
      <c r="C463" s="110"/>
      <c r="D463" s="110"/>
      <c r="E463" s="110"/>
      <c r="F463" s="110"/>
      <c r="G463" s="110"/>
      <c r="H463" s="110"/>
      <c r="I463" s="110"/>
      <c r="J463" s="110"/>
      <c r="K463" s="110"/>
      <c r="L463" s="110"/>
      <c r="M463" s="110"/>
      <c r="N463" s="110"/>
      <c r="O463" s="110"/>
    </row>
    <row r="464" spans="1:15" ht="12" customHeight="1" x14ac:dyDescent="0.15">
      <c r="A464" s="110"/>
      <c r="B464" s="110"/>
      <c r="C464" s="110"/>
      <c r="D464" s="110"/>
      <c r="E464" s="110"/>
      <c r="F464" s="110"/>
      <c r="G464" s="110"/>
      <c r="H464" s="110"/>
      <c r="I464" s="110"/>
      <c r="J464" s="110"/>
      <c r="K464" s="110"/>
      <c r="L464" s="110"/>
      <c r="M464" s="110"/>
      <c r="N464" s="110"/>
      <c r="O464" s="110"/>
    </row>
    <row r="465" spans="1:15" ht="12" customHeight="1" x14ac:dyDescent="0.15">
      <c r="A465" s="110"/>
      <c r="B465" s="110"/>
      <c r="C465" s="110"/>
      <c r="D465" s="110"/>
      <c r="E465" s="110"/>
      <c r="F465" s="110"/>
      <c r="G465" s="110"/>
      <c r="H465" s="110"/>
      <c r="I465" s="110"/>
      <c r="J465" s="110"/>
      <c r="K465" s="110"/>
      <c r="L465" s="110"/>
      <c r="M465" s="110"/>
      <c r="N465" s="110"/>
      <c r="O465" s="110"/>
    </row>
    <row r="466" spans="1:15" ht="12" customHeight="1" x14ac:dyDescent="0.15">
      <c r="A466" s="110"/>
      <c r="B466" s="110"/>
      <c r="C466" s="110"/>
      <c r="D466" s="110"/>
      <c r="E466" s="110"/>
      <c r="F466" s="110"/>
      <c r="G466" s="110"/>
      <c r="H466" s="110"/>
      <c r="I466" s="110"/>
      <c r="J466" s="110"/>
      <c r="K466" s="110"/>
      <c r="L466" s="110"/>
      <c r="M466" s="110"/>
      <c r="N466" s="110"/>
      <c r="O466" s="110"/>
    </row>
    <row r="467" spans="1:15" ht="12" customHeight="1" x14ac:dyDescent="0.15">
      <c r="A467" s="110"/>
      <c r="B467" s="110"/>
      <c r="C467" s="110"/>
      <c r="D467" s="110"/>
      <c r="E467" s="110"/>
      <c r="F467" s="110"/>
      <c r="G467" s="110"/>
      <c r="H467" s="110"/>
      <c r="I467" s="110"/>
      <c r="J467" s="110"/>
      <c r="K467" s="110"/>
      <c r="L467" s="110"/>
      <c r="M467" s="110"/>
      <c r="N467" s="110"/>
      <c r="O467" s="110"/>
    </row>
    <row r="468" spans="1:15" ht="12" customHeight="1" x14ac:dyDescent="0.15">
      <c r="A468" s="110"/>
      <c r="B468" s="110"/>
      <c r="C468" s="110"/>
      <c r="D468" s="110"/>
      <c r="E468" s="110"/>
      <c r="F468" s="110"/>
      <c r="G468" s="110"/>
      <c r="H468" s="110"/>
      <c r="I468" s="110"/>
      <c r="J468" s="110"/>
      <c r="K468" s="110"/>
      <c r="L468" s="110"/>
      <c r="M468" s="110"/>
      <c r="N468" s="110"/>
      <c r="O468" s="110"/>
    </row>
    <row r="469" spans="1:15" ht="12" customHeight="1" x14ac:dyDescent="0.15">
      <c r="A469" s="110"/>
      <c r="B469" s="110"/>
      <c r="C469" s="110"/>
      <c r="D469" s="110"/>
      <c r="E469" s="110"/>
      <c r="F469" s="110"/>
      <c r="G469" s="110"/>
      <c r="H469" s="110"/>
      <c r="I469" s="110"/>
      <c r="J469" s="110"/>
      <c r="K469" s="110"/>
      <c r="L469" s="110"/>
      <c r="M469" s="110"/>
      <c r="N469" s="110"/>
      <c r="O469" s="110"/>
    </row>
    <row r="470" spans="1:15" ht="12" customHeight="1" x14ac:dyDescent="0.15">
      <c r="A470" s="110"/>
      <c r="B470" s="110"/>
      <c r="C470" s="110"/>
      <c r="D470" s="110"/>
      <c r="E470" s="110"/>
      <c r="F470" s="110"/>
      <c r="G470" s="110"/>
      <c r="H470" s="110"/>
      <c r="I470" s="110"/>
      <c r="J470" s="110"/>
      <c r="K470" s="110"/>
      <c r="L470" s="110"/>
      <c r="M470" s="110"/>
      <c r="N470" s="110"/>
      <c r="O470" s="110"/>
    </row>
    <row r="471" spans="1:15" ht="12" customHeight="1" x14ac:dyDescent="0.15">
      <c r="A471" s="110"/>
      <c r="B471" s="110"/>
      <c r="C471" s="110"/>
      <c r="D471" s="110"/>
      <c r="E471" s="110"/>
      <c r="F471" s="110"/>
      <c r="G471" s="110"/>
      <c r="H471" s="110"/>
      <c r="I471" s="110"/>
      <c r="J471" s="110"/>
      <c r="K471" s="110"/>
      <c r="L471" s="110"/>
      <c r="M471" s="110"/>
      <c r="N471" s="110"/>
      <c r="O471" s="110"/>
    </row>
    <row r="472" spans="1:15" ht="12" customHeight="1" x14ac:dyDescent="0.15">
      <c r="A472" s="110"/>
      <c r="B472" s="110"/>
      <c r="C472" s="110"/>
      <c r="D472" s="110"/>
      <c r="E472" s="110"/>
      <c r="F472" s="110"/>
      <c r="G472" s="110"/>
      <c r="H472" s="110"/>
      <c r="I472" s="110"/>
      <c r="J472" s="110"/>
      <c r="K472" s="110"/>
      <c r="L472" s="110"/>
      <c r="M472" s="110"/>
      <c r="N472" s="110"/>
      <c r="O472" s="110"/>
    </row>
    <row r="473" spans="1:15" ht="12" customHeight="1" x14ac:dyDescent="0.15">
      <c r="A473" s="110"/>
      <c r="B473" s="110"/>
      <c r="C473" s="110"/>
      <c r="D473" s="110"/>
      <c r="E473" s="110"/>
      <c r="F473" s="110"/>
      <c r="G473" s="110"/>
      <c r="H473" s="110"/>
      <c r="I473" s="110"/>
      <c r="J473" s="110"/>
      <c r="K473" s="110"/>
      <c r="L473" s="110"/>
      <c r="M473" s="110"/>
      <c r="N473" s="110"/>
      <c r="O473" s="110"/>
    </row>
    <row r="474" spans="1:15" ht="12" customHeight="1" x14ac:dyDescent="0.15">
      <c r="A474" s="110"/>
      <c r="B474" s="110"/>
      <c r="C474" s="110"/>
      <c r="D474" s="110"/>
      <c r="E474" s="110"/>
      <c r="F474" s="110"/>
      <c r="G474" s="110"/>
      <c r="H474" s="110"/>
      <c r="I474" s="110"/>
      <c r="J474" s="110"/>
      <c r="K474" s="110"/>
      <c r="L474" s="110"/>
      <c r="M474" s="110"/>
      <c r="N474" s="110"/>
      <c r="O474" s="110"/>
    </row>
    <row r="475" spans="1:15" ht="12" customHeight="1" x14ac:dyDescent="0.15">
      <c r="A475" s="110"/>
      <c r="B475" s="110"/>
      <c r="C475" s="110"/>
      <c r="D475" s="110"/>
      <c r="E475" s="110"/>
      <c r="F475" s="110"/>
      <c r="G475" s="110"/>
      <c r="H475" s="110"/>
      <c r="I475" s="110"/>
      <c r="J475" s="110"/>
      <c r="K475" s="110"/>
      <c r="L475" s="110"/>
      <c r="M475" s="110"/>
      <c r="N475" s="110"/>
      <c r="O475" s="110"/>
    </row>
    <row r="476" spans="1:15" ht="12" customHeight="1" x14ac:dyDescent="0.15">
      <c r="A476" s="110"/>
      <c r="B476" s="110"/>
      <c r="C476" s="110"/>
      <c r="D476" s="110"/>
      <c r="E476" s="110"/>
      <c r="F476" s="110"/>
      <c r="G476" s="110"/>
      <c r="H476" s="110"/>
      <c r="I476" s="110"/>
      <c r="J476" s="110"/>
      <c r="K476" s="110"/>
      <c r="L476" s="110"/>
      <c r="M476" s="110"/>
      <c r="N476" s="110"/>
      <c r="O476" s="110"/>
    </row>
    <row r="477" spans="1:15" ht="12" customHeight="1" x14ac:dyDescent="0.15">
      <c r="A477" s="110"/>
      <c r="B477" s="110"/>
      <c r="C477" s="110"/>
      <c r="D477" s="110"/>
      <c r="E477" s="110"/>
      <c r="F477" s="110"/>
      <c r="G477" s="110"/>
      <c r="H477" s="110"/>
      <c r="I477" s="110"/>
      <c r="J477" s="110"/>
      <c r="K477" s="110"/>
      <c r="L477" s="110"/>
      <c r="M477" s="110"/>
      <c r="N477" s="110"/>
      <c r="O477" s="110"/>
    </row>
    <row r="478" spans="1:15" ht="12" customHeight="1" x14ac:dyDescent="0.15">
      <c r="A478" s="110"/>
      <c r="B478" s="110"/>
      <c r="C478" s="110"/>
      <c r="D478" s="110"/>
      <c r="E478" s="110"/>
      <c r="F478" s="110"/>
      <c r="G478" s="110"/>
      <c r="H478" s="110"/>
      <c r="I478" s="110"/>
      <c r="J478" s="110"/>
      <c r="K478" s="110"/>
      <c r="L478" s="110"/>
      <c r="M478" s="110"/>
      <c r="N478" s="110"/>
      <c r="O478" s="110"/>
    </row>
    <row r="479" spans="1:15" ht="12" customHeight="1" x14ac:dyDescent="0.15">
      <c r="A479" s="110"/>
      <c r="B479" s="110"/>
      <c r="C479" s="110"/>
      <c r="D479" s="110"/>
      <c r="E479" s="110"/>
      <c r="F479" s="110"/>
      <c r="G479" s="110"/>
      <c r="H479" s="110"/>
      <c r="I479" s="110"/>
      <c r="J479" s="110"/>
      <c r="K479" s="110"/>
      <c r="L479" s="110"/>
      <c r="M479" s="110"/>
      <c r="N479" s="110"/>
      <c r="O479" s="110"/>
    </row>
    <row r="480" spans="1:15" ht="12" customHeight="1" x14ac:dyDescent="0.15">
      <c r="A480" s="110"/>
      <c r="B480" s="110"/>
      <c r="C480" s="110"/>
      <c r="D480" s="110"/>
      <c r="E480" s="110"/>
      <c r="F480" s="110"/>
      <c r="G480" s="110"/>
      <c r="H480" s="110"/>
      <c r="I480" s="110"/>
      <c r="J480" s="110"/>
      <c r="K480" s="110"/>
      <c r="L480" s="110"/>
      <c r="M480" s="110"/>
      <c r="N480" s="110"/>
      <c r="O480" s="110"/>
    </row>
    <row r="481" spans="1:15" ht="12" customHeight="1" x14ac:dyDescent="0.15">
      <c r="A481" s="110"/>
      <c r="B481" s="110"/>
      <c r="C481" s="110"/>
      <c r="D481" s="110"/>
      <c r="E481" s="110"/>
      <c r="F481" s="110"/>
      <c r="G481" s="110"/>
      <c r="H481" s="110"/>
      <c r="I481" s="110"/>
      <c r="J481" s="110"/>
      <c r="K481" s="110"/>
      <c r="L481" s="110"/>
      <c r="M481" s="110"/>
      <c r="N481" s="110"/>
      <c r="O481" s="110"/>
    </row>
    <row r="482" spans="1:15" ht="12" customHeight="1" x14ac:dyDescent="0.15">
      <c r="A482" s="110"/>
      <c r="B482" s="110"/>
      <c r="C482" s="110"/>
      <c r="D482" s="110"/>
      <c r="E482" s="110"/>
      <c r="F482" s="110"/>
      <c r="G482" s="110"/>
      <c r="H482" s="110"/>
      <c r="I482" s="110"/>
      <c r="J482" s="110"/>
      <c r="K482" s="110"/>
      <c r="L482" s="110"/>
      <c r="M482" s="110"/>
      <c r="N482" s="110"/>
      <c r="O482" s="110"/>
    </row>
    <row r="483" spans="1:15" ht="12" customHeight="1" x14ac:dyDescent="0.15">
      <c r="A483" s="110"/>
      <c r="B483" s="110"/>
      <c r="C483" s="110"/>
      <c r="D483" s="110"/>
      <c r="E483" s="110"/>
      <c r="F483" s="110"/>
      <c r="G483" s="110"/>
      <c r="H483" s="110"/>
      <c r="I483" s="110"/>
      <c r="J483" s="110"/>
      <c r="K483" s="110"/>
      <c r="L483" s="110"/>
      <c r="M483" s="110"/>
      <c r="N483" s="110"/>
      <c r="O483" s="110"/>
    </row>
    <row r="484" spans="1:15" ht="12" customHeight="1" x14ac:dyDescent="0.15">
      <c r="A484" s="110"/>
      <c r="B484" s="110"/>
      <c r="C484" s="110"/>
      <c r="D484" s="110"/>
      <c r="E484" s="110"/>
      <c r="F484" s="110"/>
      <c r="G484" s="110"/>
      <c r="H484" s="110"/>
      <c r="I484" s="110"/>
      <c r="J484" s="110"/>
      <c r="K484" s="110"/>
      <c r="L484" s="110"/>
      <c r="M484" s="110"/>
      <c r="N484" s="110"/>
      <c r="O484" s="110"/>
    </row>
    <row r="485" spans="1:15" ht="12" customHeight="1" x14ac:dyDescent="0.15">
      <c r="A485" s="110"/>
      <c r="B485" s="110"/>
      <c r="C485" s="110"/>
      <c r="D485" s="110"/>
      <c r="E485" s="110"/>
      <c r="F485" s="110"/>
      <c r="G485" s="110"/>
      <c r="H485" s="110"/>
      <c r="I485" s="110"/>
      <c r="J485" s="110"/>
      <c r="K485" s="110"/>
      <c r="L485" s="110"/>
      <c r="M485" s="110"/>
      <c r="N485" s="110"/>
      <c r="O485" s="110"/>
    </row>
    <row r="486" spans="1:15" ht="12" customHeight="1" x14ac:dyDescent="0.15">
      <c r="A486" s="110"/>
      <c r="B486" s="110"/>
      <c r="C486" s="110"/>
      <c r="D486" s="110"/>
      <c r="E486" s="110"/>
      <c r="F486" s="110"/>
      <c r="G486" s="110"/>
      <c r="H486" s="110"/>
      <c r="I486" s="110"/>
      <c r="J486" s="110"/>
      <c r="K486" s="110"/>
      <c r="L486" s="110"/>
      <c r="M486" s="110"/>
      <c r="N486" s="110"/>
      <c r="O486" s="110"/>
    </row>
    <row r="487" spans="1:15" ht="12" customHeight="1" x14ac:dyDescent="0.15">
      <c r="A487" s="110"/>
      <c r="B487" s="110"/>
      <c r="C487" s="110"/>
      <c r="D487" s="110"/>
      <c r="E487" s="110"/>
      <c r="F487" s="110"/>
      <c r="G487" s="110"/>
      <c r="H487" s="110"/>
      <c r="I487" s="110"/>
      <c r="J487" s="110"/>
      <c r="K487" s="110"/>
      <c r="L487" s="110"/>
      <c r="M487" s="110"/>
      <c r="N487" s="110"/>
      <c r="O487" s="110"/>
    </row>
    <row r="488" spans="1:15" ht="12" customHeight="1" x14ac:dyDescent="0.15">
      <c r="A488" s="110"/>
      <c r="B488" s="110"/>
      <c r="C488" s="110"/>
      <c r="D488" s="110"/>
      <c r="E488" s="110"/>
      <c r="F488" s="110"/>
      <c r="G488" s="110"/>
      <c r="H488" s="110"/>
      <c r="I488" s="110"/>
      <c r="J488" s="110"/>
      <c r="K488" s="110"/>
      <c r="L488" s="110"/>
      <c r="M488" s="110"/>
      <c r="N488" s="110"/>
      <c r="O488" s="110"/>
    </row>
    <row r="489" spans="1:15" ht="12" customHeight="1" x14ac:dyDescent="0.15">
      <c r="A489" s="110"/>
      <c r="B489" s="110"/>
      <c r="C489" s="110"/>
      <c r="D489" s="110"/>
      <c r="E489" s="110"/>
      <c r="F489" s="110"/>
      <c r="G489" s="110"/>
      <c r="H489" s="110"/>
      <c r="I489" s="110"/>
      <c r="J489" s="110"/>
      <c r="K489" s="110"/>
      <c r="L489" s="110"/>
      <c r="M489" s="110"/>
      <c r="N489" s="110"/>
      <c r="O489" s="110"/>
    </row>
    <row r="490" spans="1:15" ht="12" customHeight="1" x14ac:dyDescent="0.15">
      <c r="A490" s="110"/>
      <c r="B490" s="110"/>
      <c r="C490" s="110"/>
      <c r="D490" s="110"/>
      <c r="E490" s="110"/>
      <c r="F490" s="110"/>
      <c r="G490" s="110"/>
      <c r="H490" s="110"/>
      <c r="I490" s="110"/>
      <c r="J490" s="110"/>
      <c r="K490" s="110"/>
      <c r="L490" s="110"/>
      <c r="M490" s="110"/>
      <c r="N490" s="110"/>
      <c r="O490" s="110"/>
    </row>
    <row r="491" spans="1:15" ht="12" customHeight="1" x14ac:dyDescent="0.15">
      <c r="A491" s="110"/>
      <c r="B491" s="110"/>
      <c r="C491" s="110"/>
      <c r="D491" s="110"/>
      <c r="E491" s="110"/>
      <c r="F491" s="110"/>
      <c r="G491" s="110"/>
      <c r="H491" s="110"/>
      <c r="I491" s="110"/>
      <c r="J491" s="110"/>
      <c r="K491" s="110"/>
      <c r="L491" s="110"/>
      <c r="M491" s="110"/>
      <c r="N491" s="110"/>
      <c r="O491" s="110"/>
    </row>
    <row r="492" spans="1:15" ht="12" customHeight="1" x14ac:dyDescent="0.15">
      <c r="A492" s="110"/>
      <c r="B492" s="110"/>
      <c r="C492" s="110"/>
      <c r="D492" s="110"/>
      <c r="E492" s="110"/>
      <c r="F492" s="110"/>
      <c r="G492" s="110"/>
      <c r="H492" s="110"/>
      <c r="I492" s="110"/>
      <c r="J492" s="110"/>
      <c r="K492" s="110"/>
      <c r="L492" s="110"/>
      <c r="M492" s="110"/>
      <c r="N492" s="110"/>
      <c r="O492" s="110"/>
    </row>
    <row r="493" spans="1:15" ht="12" customHeight="1" x14ac:dyDescent="0.15">
      <c r="A493" s="110"/>
      <c r="B493" s="110"/>
      <c r="C493" s="110"/>
      <c r="D493" s="110"/>
      <c r="E493" s="110"/>
      <c r="F493" s="110"/>
      <c r="G493" s="110"/>
      <c r="H493" s="110"/>
      <c r="I493" s="110"/>
      <c r="J493" s="110"/>
      <c r="K493" s="110"/>
      <c r="L493" s="110"/>
      <c r="M493" s="110"/>
      <c r="N493" s="110"/>
      <c r="O493" s="110"/>
    </row>
    <row r="494" spans="1:15" ht="12" customHeight="1" x14ac:dyDescent="0.15">
      <c r="A494" s="110"/>
      <c r="B494" s="110"/>
      <c r="C494" s="110"/>
      <c r="D494" s="110"/>
      <c r="E494" s="110"/>
      <c r="F494" s="110"/>
      <c r="G494" s="110"/>
      <c r="H494" s="110"/>
      <c r="I494" s="110"/>
      <c r="J494" s="110"/>
      <c r="K494" s="110"/>
      <c r="L494" s="110"/>
      <c r="M494" s="110"/>
      <c r="N494" s="110"/>
      <c r="O494" s="110"/>
    </row>
    <row r="495" spans="1:15" ht="12" customHeight="1" x14ac:dyDescent="0.15">
      <c r="A495" s="110"/>
      <c r="B495" s="110"/>
      <c r="C495" s="110"/>
      <c r="D495" s="110"/>
      <c r="E495" s="110"/>
      <c r="F495" s="110"/>
      <c r="G495" s="110"/>
      <c r="H495" s="110"/>
      <c r="I495" s="110"/>
      <c r="J495" s="110"/>
      <c r="K495" s="110"/>
      <c r="L495" s="110"/>
      <c r="M495" s="110"/>
      <c r="N495" s="110"/>
      <c r="O495" s="110"/>
    </row>
    <row r="496" spans="1:15" ht="12" customHeight="1" x14ac:dyDescent="0.15">
      <c r="A496" s="110"/>
      <c r="B496" s="110"/>
      <c r="C496" s="110"/>
      <c r="D496" s="110"/>
      <c r="E496" s="110"/>
      <c r="F496" s="110"/>
      <c r="G496" s="110"/>
      <c r="H496" s="110"/>
      <c r="I496" s="110"/>
      <c r="J496" s="110"/>
      <c r="K496" s="110"/>
      <c r="L496" s="110"/>
      <c r="M496" s="110"/>
      <c r="N496" s="110"/>
      <c r="O496" s="110"/>
    </row>
    <row r="497" spans="1:15" ht="12" customHeight="1" x14ac:dyDescent="0.15">
      <c r="A497" s="110"/>
      <c r="B497" s="110"/>
      <c r="C497" s="110"/>
      <c r="D497" s="110"/>
      <c r="E497" s="110"/>
      <c r="F497" s="110"/>
      <c r="G497" s="110"/>
      <c r="H497" s="110"/>
      <c r="I497" s="110"/>
      <c r="J497" s="110"/>
      <c r="K497" s="110"/>
      <c r="L497" s="110"/>
      <c r="M497" s="110"/>
      <c r="N497" s="110"/>
      <c r="O497" s="110"/>
    </row>
    <row r="498" spans="1:15" ht="12" customHeight="1" x14ac:dyDescent="0.15">
      <c r="A498" s="110"/>
      <c r="B498" s="110"/>
      <c r="C498" s="110"/>
      <c r="D498" s="110"/>
      <c r="E498" s="110"/>
      <c r="F498" s="110"/>
      <c r="G498" s="110"/>
      <c r="H498" s="110"/>
      <c r="I498" s="110"/>
      <c r="J498" s="110"/>
      <c r="K498" s="110"/>
      <c r="L498" s="110"/>
      <c r="M498" s="110"/>
      <c r="N498" s="110"/>
      <c r="O498" s="110"/>
    </row>
    <row r="499" spans="1:15" ht="12" customHeight="1" x14ac:dyDescent="0.15">
      <c r="A499" s="110"/>
      <c r="B499" s="110"/>
      <c r="C499" s="110"/>
      <c r="D499" s="110"/>
      <c r="E499" s="110"/>
      <c r="F499" s="110"/>
      <c r="G499" s="110"/>
      <c r="H499" s="110"/>
      <c r="I499" s="110"/>
      <c r="J499" s="110"/>
      <c r="K499" s="110"/>
      <c r="L499" s="110"/>
      <c r="M499" s="110"/>
      <c r="N499" s="110"/>
      <c r="O499" s="110"/>
    </row>
    <row r="500" spans="1:15" ht="12" customHeight="1" x14ac:dyDescent="0.15">
      <c r="A500" s="110"/>
      <c r="B500" s="110"/>
      <c r="C500" s="110"/>
      <c r="D500" s="110"/>
      <c r="E500" s="110"/>
      <c r="F500" s="110"/>
      <c r="G500" s="110"/>
      <c r="H500" s="110"/>
      <c r="I500" s="110"/>
      <c r="J500" s="110"/>
      <c r="K500" s="110"/>
      <c r="L500" s="110"/>
      <c r="M500" s="110"/>
      <c r="N500" s="110"/>
      <c r="O500" s="110"/>
    </row>
    <row r="501" spans="1:15" ht="12" customHeight="1" x14ac:dyDescent="0.15">
      <c r="A501" s="110"/>
      <c r="B501" s="110"/>
      <c r="C501" s="110"/>
      <c r="D501" s="110"/>
      <c r="E501" s="110"/>
      <c r="F501" s="110"/>
      <c r="G501" s="110"/>
      <c r="H501" s="110"/>
      <c r="I501" s="110"/>
      <c r="J501" s="110"/>
      <c r="K501" s="110"/>
      <c r="L501" s="110"/>
      <c r="M501" s="110"/>
      <c r="N501" s="110"/>
      <c r="O501" s="110"/>
    </row>
    <row r="502" spans="1:15" ht="12" customHeight="1" x14ac:dyDescent="0.15">
      <c r="A502" s="110"/>
      <c r="B502" s="110"/>
      <c r="C502" s="110"/>
      <c r="D502" s="110"/>
      <c r="E502" s="110"/>
      <c r="F502" s="110"/>
      <c r="G502" s="110"/>
      <c r="H502" s="110"/>
      <c r="I502" s="110"/>
      <c r="J502" s="110"/>
      <c r="K502" s="110"/>
      <c r="L502" s="110"/>
      <c r="M502" s="110"/>
      <c r="N502" s="110"/>
      <c r="O502" s="110"/>
    </row>
    <row r="503" spans="1:15" ht="12" customHeight="1" x14ac:dyDescent="0.15">
      <c r="A503" s="110"/>
      <c r="B503" s="110"/>
      <c r="C503" s="110"/>
      <c r="D503" s="110"/>
      <c r="E503" s="110"/>
      <c r="F503" s="110"/>
      <c r="G503" s="110"/>
      <c r="H503" s="110"/>
      <c r="I503" s="110"/>
      <c r="J503" s="110"/>
      <c r="K503" s="110"/>
      <c r="L503" s="110"/>
      <c r="M503" s="110"/>
      <c r="N503" s="110"/>
      <c r="O503" s="110"/>
    </row>
    <row r="504" spans="1:15" ht="12" customHeight="1" x14ac:dyDescent="0.15">
      <c r="A504" s="110"/>
      <c r="B504" s="110"/>
      <c r="C504" s="110"/>
      <c r="D504" s="110"/>
      <c r="E504" s="110"/>
      <c r="F504" s="110"/>
      <c r="G504" s="110"/>
      <c r="H504" s="110"/>
      <c r="I504" s="110"/>
      <c r="J504" s="110"/>
      <c r="K504" s="110"/>
      <c r="L504" s="110"/>
      <c r="M504" s="110"/>
      <c r="N504" s="110"/>
      <c r="O504" s="110"/>
    </row>
    <row r="505" spans="1:15" ht="12" customHeight="1" x14ac:dyDescent="0.15">
      <c r="A505" s="110"/>
      <c r="B505" s="110"/>
      <c r="C505" s="110"/>
      <c r="D505" s="110"/>
      <c r="E505" s="110"/>
      <c r="F505" s="110"/>
      <c r="G505" s="110"/>
      <c r="H505" s="110"/>
      <c r="I505" s="110"/>
      <c r="J505" s="110"/>
      <c r="K505" s="110"/>
      <c r="L505" s="110"/>
      <c r="M505" s="110"/>
      <c r="N505" s="110"/>
      <c r="O505" s="110"/>
    </row>
    <row r="506" spans="1:15" ht="12" customHeight="1" x14ac:dyDescent="0.15">
      <c r="A506" s="110"/>
      <c r="B506" s="110"/>
      <c r="C506" s="110"/>
      <c r="D506" s="110"/>
      <c r="E506" s="110"/>
      <c r="F506" s="110"/>
      <c r="G506" s="110"/>
      <c r="H506" s="110"/>
      <c r="I506" s="110"/>
      <c r="J506" s="110"/>
      <c r="K506" s="110"/>
      <c r="L506" s="110"/>
      <c r="M506" s="110"/>
      <c r="N506" s="110"/>
      <c r="O506" s="110"/>
    </row>
    <row r="507" spans="1:15" ht="12" customHeight="1" x14ac:dyDescent="0.15">
      <c r="A507" s="110"/>
      <c r="B507" s="110"/>
      <c r="C507" s="110"/>
      <c r="D507" s="110"/>
      <c r="E507" s="110"/>
      <c r="F507" s="110"/>
      <c r="G507" s="110"/>
      <c r="H507" s="110"/>
      <c r="I507" s="110"/>
      <c r="J507" s="110"/>
      <c r="K507" s="110"/>
      <c r="L507" s="110"/>
      <c r="M507" s="110"/>
      <c r="N507" s="110"/>
      <c r="O507" s="110"/>
    </row>
    <row r="508" spans="1:15" ht="12" customHeight="1" x14ac:dyDescent="0.15">
      <c r="A508" s="110"/>
      <c r="B508" s="110"/>
      <c r="C508" s="110"/>
      <c r="D508" s="110"/>
      <c r="E508" s="110"/>
      <c r="F508" s="110"/>
      <c r="G508" s="110"/>
      <c r="H508" s="110"/>
      <c r="I508" s="110"/>
      <c r="J508" s="110"/>
      <c r="K508" s="110"/>
      <c r="L508" s="110"/>
      <c r="M508" s="110"/>
      <c r="N508" s="110"/>
      <c r="O508" s="110"/>
    </row>
    <row r="509" spans="1:15" ht="12" customHeight="1" x14ac:dyDescent="0.15">
      <c r="A509" s="110"/>
      <c r="B509" s="110"/>
      <c r="C509" s="110"/>
      <c r="D509" s="110"/>
      <c r="E509" s="110"/>
      <c r="F509" s="110"/>
      <c r="G509" s="110"/>
      <c r="H509" s="110"/>
      <c r="I509" s="110"/>
      <c r="J509" s="110"/>
      <c r="K509" s="110"/>
      <c r="L509" s="110"/>
      <c r="M509" s="110"/>
      <c r="N509" s="110"/>
      <c r="O509" s="110"/>
    </row>
    <row r="510" spans="1:15" ht="12" customHeight="1" x14ac:dyDescent="0.15">
      <c r="A510" s="110"/>
      <c r="B510" s="110"/>
      <c r="C510" s="110"/>
      <c r="D510" s="110"/>
      <c r="E510" s="110"/>
      <c r="F510" s="110"/>
      <c r="G510" s="110"/>
      <c r="H510" s="110"/>
      <c r="I510" s="110"/>
      <c r="J510" s="110"/>
      <c r="K510" s="110"/>
      <c r="L510" s="110"/>
      <c r="M510" s="110"/>
      <c r="N510" s="110"/>
      <c r="O510" s="110"/>
    </row>
    <row r="511" spans="1:15" ht="12" customHeight="1" x14ac:dyDescent="0.15">
      <c r="A511" s="110"/>
      <c r="B511" s="110"/>
      <c r="C511" s="110"/>
      <c r="D511" s="110"/>
      <c r="E511" s="110"/>
      <c r="F511" s="110"/>
      <c r="G511" s="110"/>
      <c r="H511" s="110"/>
      <c r="I511" s="110"/>
      <c r="J511" s="110"/>
      <c r="K511" s="110"/>
      <c r="L511" s="110"/>
      <c r="M511" s="110"/>
      <c r="N511" s="110"/>
      <c r="O511" s="110"/>
    </row>
    <row r="512" spans="1:15" ht="12" customHeight="1" x14ac:dyDescent="0.15">
      <c r="A512" s="110"/>
      <c r="B512" s="110"/>
      <c r="C512" s="110"/>
      <c r="D512" s="110"/>
      <c r="E512" s="110"/>
      <c r="F512" s="110"/>
      <c r="G512" s="110"/>
      <c r="H512" s="110"/>
      <c r="I512" s="110"/>
      <c r="J512" s="110"/>
      <c r="K512" s="110"/>
      <c r="L512" s="110"/>
      <c r="M512" s="110"/>
      <c r="N512" s="110"/>
      <c r="O512" s="110"/>
    </row>
    <row r="513" spans="1:15" ht="12" customHeight="1" x14ac:dyDescent="0.15">
      <c r="A513" s="110"/>
      <c r="B513" s="110"/>
      <c r="C513" s="110"/>
      <c r="D513" s="110"/>
      <c r="E513" s="110"/>
      <c r="F513" s="110"/>
      <c r="G513" s="110"/>
      <c r="H513" s="110"/>
      <c r="I513" s="110"/>
      <c r="J513" s="110"/>
      <c r="K513" s="110"/>
      <c r="L513" s="110"/>
      <c r="M513" s="110"/>
      <c r="N513" s="110"/>
      <c r="O513" s="110"/>
    </row>
    <row r="514" spans="1:15" ht="12" customHeight="1" x14ac:dyDescent="0.15">
      <c r="A514" s="110"/>
      <c r="B514" s="110"/>
      <c r="C514" s="110"/>
      <c r="D514" s="110"/>
      <c r="E514" s="110"/>
      <c r="F514" s="110"/>
      <c r="G514" s="110"/>
      <c r="H514" s="110"/>
      <c r="I514" s="110"/>
      <c r="J514" s="110"/>
      <c r="K514" s="110"/>
      <c r="L514" s="110"/>
      <c r="M514" s="110"/>
      <c r="N514" s="110"/>
      <c r="O514" s="110"/>
    </row>
    <row r="515" spans="1:15" ht="12" customHeight="1" x14ac:dyDescent="0.15">
      <c r="A515" s="110"/>
      <c r="B515" s="110"/>
      <c r="C515" s="110"/>
      <c r="D515" s="110"/>
      <c r="E515" s="110"/>
      <c r="F515" s="110"/>
      <c r="G515" s="110"/>
      <c r="H515" s="110"/>
      <c r="I515" s="110"/>
      <c r="J515" s="110"/>
      <c r="K515" s="110"/>
      <c r="L515" s="110"/>
      <c r="M515" s="110"/>
      <c r="N515" s="110"/>
      <c r="O515" s="110"/>
    </row>
    <row r="516" spans="1:15" ht="12" customHeight="1" x14ac:dyDescent="0.15">
      <c r="A516" s="110"/>
      <c r="B516" s="110"/>
      <c r="C516" s="110"/>
      <c r="D516" s="110"/>
      <c r="E516" s="110"/>
      <c r="F516" s="110"/>
      <c r="G516" s="110"/>
      <c r="H516" s="110"/>
      <c r="I516" s="110"/>
      <c r="J516" s="110"/>
      <c r="K516" s="110"/>
      <c r="L516" s="110"/>
      <c r="M516" s="110"/>
      <c r="N516" s="110"/>
      <c r="O516" s="110"/>
    </row>
    <row r="517" spans="1:15" ht="12" customHeight="1" x14ac:dyDescent="0.15">
      <c r="A517" s="110"/>
      <c r="B517" s="110"/>
      <c r="C517" s="110"/>
      <c r="D517" s="110"/>
      <c r="E517" s="110"/>
      <c r="F517" s="110"/>
      <c r="G517" s="110"/>
      <c r="H517" s="110"/>
      <c r="I517" s="110"/>
      <c r="J517" s="110"/>
      <c r="K517" s="110"/>
      <c r="L517" s="110"/>
      <c r="M517" s="110"/>
      <c r="N517" s="110"/>
      <c r="O517" s="110"/>
    </row>
    <row r="518" spans="1:15" ht="12" customHeight="1" x14ac:dyDescent="0.15">
      <c r="A518" s="110"/>
      <c r="B518" s="110"/>
      <c r="C518" s="110"/>
      <c r="D518" s="110"/>
      <c r="E518" s="110"/>
      <c r="F518" s="110"/>
      <c r="G518" s="110"/>
      <c r="H518" s="110"/>
      <c r="I518" s="110"/>
      <c r="J518" s="110"/>
      <c r="K518" s="110"/>
      <c r="L518" s="110"/>
      <c r="M518" s="110"/>
      <c r="N518" s="110"/>
      <c r="O518" s="110"/>
    </row>
    <row r="519" spans="1:15" ht="12" customHeight="1" x14ac:dyDescent="0.15">
      <c r="A519" s="110"/>
      <c r="B519" s="110"/>
      <c r="C519" s="110"/>
      <c r="D519" s="110"/>
      <c r="E519" s="110"/>
      <c r="F519" s="110"/>
      <c r="G519" s="110"/>
      <c r="H519" s="110"/>
      <c r="I519" s="110"/>
      <c r="J519" s="110"/>
      <c r="K519" s="110"/>
      <c r="L519" s="110"/>
      <c r="M519" s="110"/>
      <c r="N519" s="110"/>
      <c r="O519" s="110"/>
    </row>
    <row r="520" spans="1:15" ht="12" customHeight="1" x14ac:dyDescent="0.15">
      <c r="A520" s="110"/>
      <c r="B520" s="110"/>
      <c r="C520" s="110"/>
      <c r="D520" s="110"/>
      <c r="E520" s="110"/>
      <c r="F520" s="110"/>
      <c r="G520" s="110"/>
      <c r="H520" s="110"/>
      <c r="I520" s="110"/>
      <c r="J520" s="110"/>
      <c r="K520" s="110"/>
      <c r="L520" s="110"/>
      <c r="M520" s="110"/>
      <c r="N520" s="110"/>
      <c r="O520" s="110"/>
    </row>
    <row r="521" spans="1:15" ht="12" customHeight="1" x14ac:dyDescent="0.15">
      <c r="A521" s="110"/>
      <c r="B521" s="110"/>
      <c r="C521" s="110"/>
      <c r="D521" s="110"/>
      <c r="E521" s="110"/>
      <c r="F521" s="110"/>
      <c r="G521" s="110"/>
      <c r="H521" s="110"/>
      <c r="I521" s="110"/>
      <c r="J521" s="110"/>
      <c r="K521" s="110"/>
      <c r="L521" s="110"/>
      <c r="M521" s="110"/>
      <c r="N521" s="110"/>
      <c r="O521" s="110"/>
    </row>
    <row r="522" spans="1:15" ht="12" customHeight="1" x14ac:dyDescent="0.15">
      <c r="A522" s="110"/>
      <c r="B522" s="110"/>
      <c r="C522" s="110"/>
      <c r="D522" s="110"/>
      <c r="E522" s="110"/>
      <c r="F522" s="110"/>
      <c r="G522" s="110"/>
      <c r="H522" s="110"/>
      <c r="I522" s="110"/>
      <c r="J522" s="110"/>
      <c r="K522" s="110"/>
      <c r="L522" s="110"/>
      <c r="M522" s="110"/>
      <c r="N522" s="110"/>
      <c r="O522" s="110"/>
    </row>
    <row r="523" spans="1:15" ht="12" customHeight="1" x14ac:dyDescent="0.15">
      <c r="A523" s="110"/>
      <c r="B523" s="110"/>
      <c r="C523" s="110"/>
      <c r="D523" s="110"/>
      <c r="E523" s="110"/>
      <c r="F523" s="110"/>
      <c r="G523" s="110"/>
      <c r="H523" s="110"/>
      <c r="I523" s="110"/>
      <c r="J523" s="110"/>
      <c r="K523" s="110"/>
      <c r="L523" s="110"/>
      <c r="M523" s="110"/>
      <c r="N523" s="110"/>
      <c r="O523" s="110"/>
    </row>
    <row r="524" spans="1:15" ht="12" customHeight="1" x14ac:dyDescent="0.15">
      <c r="A524" s="110"/>
      <c r="B524" s="110"/>
      <c r="C524" s="110"/>
      <c r="D524" s="110"/>
      <c r="E524" s="110"/>
      <c r="F524" s="110"/>
      <c r="G524" s="110"/>
      <c r="H524" s="110"/>
      <c r="I524" s="110"/>
      <c r="J524" s="110"/>
      <c r="K524" s="110"/>
      <c r="L524" s="110"/>
      <c r="M524" s="110"/>
      <c r="N524" s="110"/>
      <c r="O524" s="110"/>
    </row>
    <row r="525" spans="1:15" ht="12" customHeight="1" x14ac:dyDescent="0.15">
      <c r="A525" s="110"/>
      <c r="B525" s="110"/>
      <c r="C525" s="110"/>
      <c r="D525" s="110"/>
      <c r="E525" s="110"/>
      <c r="F525" s="110"/>
      <c r="G525" s="110"/>
      <c r="H525" s="110"/>
      <c r="I525" s="110"/>
      <c r="J525" s="110"/>
      <c r="K525" s="110"/>
      <c r="L525" s="110"/>
      <c r="M525" s="110"/>
      <c r="N525" s="110"/>
      <c r="O525" s="110"/>
    </row>
    <row r="526" spans="1:15" ht="12" customHeight="1" x14ac:dyDescent="0.15">
      <c r="A526" s="110"/>
      <c r="B526" s="110"/>
      <c r="C526" s="110"/>
      <c r="D526" s="110"/>
      <c r="E526" s="110"/>
      <c r="F526" s="110"/>
      <c r="G526" s="110"/>
      <c r="H526" s="110"/>
      <c r="I526" s="110"/>
      <c r="J526" s="110"/>
      <c r="K526" s="110"/>
      <c r="L526" s="110"/>
      <c r="M526" s="110"/>
      <c r="N526" s="110"/>
      <c r="O526" s="110"/>
    </row>
    <row r="527" spans="1:15" ht="12" customHeight="1" x14ac:dyDescent="0.15">
      <c r="A527" s="110"/>
      <c r="B527" s="110"/>
      <c r="C527" s="110"/>
      <c r="D527" s="110"/>
      <c r="E527" s="110"/>
      <c r="F527" s="110"/>
      <c r="G527" s="110"/>
      <c r="H527" s="110"/>
      <c r="I527" s="110"/>
      <c r="J527" s="110"/>
      <c r="K527" s="110"/>
      <c r="L527" s="110"/>
      <c r="M527" s="110"/>
      <c r="N527" s="110"/>
      <c r="O527" s="110"/>
    </row>
    <row r="528" spans="1:15" ht="12" customHeight="1" x14ac:dyDescent="0.15">
      <c r="A528" s="110"/>
      <c r="B528" s="110"/>
      <c r="C528" s="110"/>
      <c r="D528" s="110"/>
      <c r="E528" s="110"/>
      <c r="F528" s="110"/>
      <c r="G528" s="110"/>
      <c r="H528" s="110"/>
      <c r="I528" s="110"/>
      <c r="J528" s="110"/>
      <c r="K528" s="110"/>
      <c r="L528" s="110"/>
      <c r="M528" s="110"/>
      <c r="N528" s="110"/>
      <c r="O528" s="110"/>
    </row>
    <row r="529" spans="1:15" ht="12" customHeight="1" x14ac:dyDescent="0.15">
      <c r="A529" s="110"/>
      <c r="B529" s="110"/>
      <c r="C529" s="110"/>
      <c r="D529" s="110"/>
      <c r="E529" s="110"/>
      <c r="F529" s="110"/>
      <c r="G529" s="110"/>
      <c r="H529" s="110"/>
      <c r="I529" s="110"/>
      <c r="J529" s="110"/>
      <c r="K529" s="110"/>
      <c r="L529" s="110"/>
      <c r="M529" s="110"/>
      <c r="N529" s="110"/>
      <c r="O529" s="110"/>
    </row>
    <row r="530" spans="1:15" ht="12" customHeight="1" x14ac:dyDescent="0.15">
      <c r="A530" s="110"/>
      <c r="B530" s="110"/>
      <c r="C530" s="110"/>
      <c r="D530" s="110"/>
      <c r="E530" s="110"/>
      <c r="F530" s="110"/>
      <c r="G530" s="110"/>
      <c r="H530" s="110"/>
      <c r="I530" s="110"/>
      <c r="J530" s="110"/>
      <c r="K530" s="110"/>
      <c r="L530" s="110"/>
      <c r="M530" s="110"/>
      <c r="N530" s="110"/>
      <c r="O530" s="110"/>
    </row>
    <row r="531" spans="1:15" ht="12" customHeight="1" x14ac:dyDescent="0.15">
      <c r="A531" s="110"/>
      <c r="B531" s="110"/>
      <c r="C531" s="110"/>
      <c r="D531" s="110"/>
      <c r="E531" s="110"/>
      <c r="F531" s="110"/>
      <c r="G531" s="110"/>
      <c r="H531" s="110"/>
      <c r="I531" s="110"/>
      <c r="J531" s="110"/>
      <c r="K531" s="110"/>
      <c r="L531" s="110"/>
      <c r="M531" s="110"/>
      <c r="N531" s="110"/>
      <c r="O531" s="110"/>
    </row>
    <row r="532" spans="1:15" ht="12" customHeight="1" x14ac:dyDescent="0.15">
      <c r="A532" s="110"/>
      <c r="B532" s="110"/>
      <c r="C532" s="110"/>
      <c r="D532" s="110"/>
      <c r="E532" s="110"/>
      <c r="F532" s="110"/>
      <c r="G532" s="110"/>
      <c r="H532" s="110"/>
      <c r="I532" s="110"/>
      <c r="J532" s="110"/>
      <c r="K532" s="110"/>
      <c r="L532" s="110"/>
      <c r="M532" s="110"/>
      <c r="N532" s="110"/>
      <c r="O532" s="110"/>
    </row>
    <row r="533" spans="1:15" ht="12" customHeight="1" x14ac:dyDescent="0.15">
      <c r="A533" s="110"/>
      <c r="B533" s="110"/>
      <c r="C533" s="110"/>
      <c r="D533" s="110"/>
      <c r="E533" s="110"/>
      <c r="F533" s="110"/>
      <c r="G533" s="110"/>
      <c r="H533" s="110"/>
      <c r="I533" s="110"/>
      <c r="J533" s="110"/>
      <c r="K533" s="110"/>
      <c r="L533" s="110"/>
      <c r="M533" s="110"/>
      <c r="N533" s="110"/>
      <c r="O533" s="110"/>
    </row>
    <row r="534" spans="1:15" ht="12" customHeight="1" x14ac:dyDescent="0.15">
      <c r="A534" s="110"/>
      <c r="B534" s="110"/>
      <c r="C534" s="110"/>
      <c r="D534" s="110"/>
      <c r="E534" s="110"/>
      <c r="F534" s="110"/>
      <c r="G534" s="110"/>
      <c r="H534" s="110"/>
      <c r="I534" s="110"/>
      <c r="J534" s="110"/>
      <c r="K534" s="110"/>
      <c r="L534" s="110"/>
      <c r="M534" s="110"/>
      <c r="N534" s="110"/>
      <c r="O534" s="110"/>
    </row>
    <row r="535" spans="1:15" ht="12" customHeight="1" x14ac:dyDescent="0.15">
      <c r="A535" s="110"/>
      <c r="B535" s="110"/>
      <c r="C535" s="110"/>
      <c r="D535" s="110"/>
      <c r="E535" s="110"/>
      <c r="F535" s="110"/>
      <c r="G535" s="110"/>
      <c r="H535" s="110"/>
      <c r="I535" s="110"/>
      <c r="J535" s="110"/>
      <c r="K535" s="110"/>
      <c r="L535" s="110"/>
      <c r="M535" s="110"/>
      <c r="N535" s="110"/>
      <c r="O535" s="110"/>
    </row>
    <row r="536" spans="1:15" ht="12" customHeight="1" x14ac:dyDescent="0.15">
      <c r="A536" s="110"/>
      <c r="B536" s="110"/>
      <c r="C536" s="110"/>
      <c r="D536" s="110"/>
      <c r="E536" s="110"/>
      <c r="F536" s="110"/>
      <c r="G536" s="110"/>
      <c r="H536" s="110"/>
      <c r="I536" s="110"/>
      <c r="J536" s="110"/>
      <c r="K536" s="110"/>
      <c r="L536" s="110"/>
      <c r="M536" s="110"/>
      <c r="N536" s="110"/>
      <c r="O536" s="110"/>
    </row>
    <row r="537" spans="1:15" ht="12" customHeight="1" x14ac:dyDescent="0.15">
      <c r="A537" s="110"/>
      <c r="B537" s="110"/>
      <c r="C537" s="110"/>
      <c r="D537" s="110"/>
      <c r="E537" s="110"/>
      <c r="F537" s="110"/>
      <c r="G537" s="110"/>
      <c r="H537" s="110"/>
      <c r="I537" s="110"/>
      <c r="J537" s="110"/>
      <c r="K537" s="110"/>
      <c r="L537" s="110"/>
      <c r="M537" s="110"/>
      <c r="N537" s="110"/>
      <c r="O537" s="110"/>
    </row>
    <row r="538" spans="1:15" ht="12" customHeight="1" x14ac:dyDescent="0.15">
      <c r="A538" s="110"/>
      <c r="B538" s="110"/>
      <c r="C538" s="110"/>
      <c r="D538" s="110"/>
      <c r="E538" s="110"/>
      <c r="F538" s="110"/>
      <c r="G538" s="110"/>
      <c r="H538" s="110"/>
      <c r="I538" s="110"/>
      <c r="J538" s="110"/>
      <c r="K538" s="110"/>
      <c r="L538" s="110"/>
      <c r="M538" s="110"/>
      <c r="N538" s="110"/>
      <c r="O538" s="110"/>
    </row>
    <row r="539" spans="1:15" ht="12" customHeight="1" x14ac:dyDescent="0.15">
      <c r="A539" s="110"/>
      <c r="B539" s="110"/>
      <c r="C539" s="110"/>
      <c r="D539" s="110"/>
      <c r="E539" s="110"/>
      <c r="F539" s="110"/>
      <c r="G539" s="110"/>
      <c r="H539" s="110"/>
      <c r="I539" s="110"/>
      <c r="J539" s="110"/>
      <c r="K539" s="110"/>
      <c r="L539" s="110"/>
      <c r="M539" s="110"/>
      <c r="N539" s="110"/>
      <c r="O539" s="110"/>
    </row>
    <row r="540" spans="1:15" ht="12" customHeight="1" x14ac:dyDescent="0.15">
      <c r="A540" s="110"/>
      <c r="B540" s="110"/>
      <c r="C540" s="110"/>
      <c r="D540" s="110"/>
      <c r="E540" s="110"/>
      <c r="F540" s="110"/>
      <c r="G540" s="110"/>
      <c r="H540" s="110"/>
      <c r="I540" s="110"/>
      <c r="J540" s="110"/>
      <c r="K540" s="110"/>
      <c r="L540" s="110"/>
      <c r="M540" s="110"/>
      <c r="N540" s="110"/>
      <c r="O540" s="110"/>
    </row>
    <row r="541" spans="1:15" ht="12" customHeight="1" x14ac:dyDescent="0.15">
      <c r="A541" s="110"/>
      <c r="B541" s="110"/>
      <c r="C541" s="110"/>
      <c r="D541" s="110"/>
      <c r="E541" s="110"/>
      <c r="F541" s="110"/>
      <c r="G541" s="110"/>
      <c r="H541" s="110"/>
      <c r="I541" s="110"/>
      <c r="J541" s="110"/>
      <c r="K541" s="110"/>
      <c r="L541" s="110"/>
      <c r="M541" s="110"/>
      <c r="N541" s="110"/>
      <c r="O541" s="110"/>
    </row>
    <row r="542" spans="1:15" ht="12" customHeight="1" x14ac:dyDescent="0.15">
      <c r="A542" s="110"/>
      <c r="B542" s="110"/>
      <c r="C542" s="110"/>
      <c r="D542" s="110"/>
      <c r="E542" s="110"/>
      <c r="F542" s="110"/>
      <c r="G542" s="110"/>
      <c r="H542" s="110"/>
      <c r="I542" s="110"/>
      <c r="J542" s="110"/>
      <c r="K542" s="110"/>
      <c r="L542" s="110"/>
      <c r="M542" s="110"/>
      <c r="N542" s="110"/>
      <c r="O542" s="110"/>
    </row>
    <row r="543" spans="1:15" ht="12" customHeight="1" x14ac:dyDescent="0.15">
      <c r="A543" s="110"/>
      <c r="B543" s="110"/>
      <c r="C543" s="110"/>
      <c r="D543" s="110"/>
      <c r="E543" s="110"/>
      <c r="F543" s="110"/>
      <c r="G543" s="110"/>
      <c r="H543" s="110"/>
      <c r="I543" s="110"/>
      <c r="J543" s="110"/>
      <c r="K543" s="110"/>
      <c r="L543" s="110"/>
      <c r="M543" s="110"/>
      <c r="N543" s="110"/>
      <c r="O543" s="110"/>
    </row>
    <row r="544" spans="1:15" ht="12" customHeight="1" x14ac:dyDescent="0.15">
      <c r="A544" s="110"/>
      <c r="B544" s="110"/>
      <c r="C544" s="110"/>
      <c r="D544" s="110"/>
      <c r="E544" s="110"/>
      <c r="F544" s="110"/>
      <c r="G544" s="110"/>
      <c r="H544" s="110"/>
      <c r="I544" s="110"/>
      <c r="J544" s="110"/>
      <c r="K544" s="110"/>
      <c r="L544" s="110"/>
      <c r="M544" s="110"/>
      <c r="N544" s="110"/>
      <c r="O544" s="110"/>
    </row>
    <row r="545" spans="1:15" ht="12" customHeight="1" x14ac:dyDescent="0.15">
      <c r="A545" s="110"/>
      <c r="B545" s="110"/>
      <c r="C545" s="110"/>
      <c r="D545" s="110"/>
      <c r="E545" s="110"/>
      <c r="F545" s="110"/>
      <c r="G545" s="110"/>
      <c r="H545" s="110"/>
      <c r="I545" s="110"/>
      <c r="J545" s="110"/>
      <c r="K545" s="110"/>
      <c r="L545" s="110"/>
      <c r="M545" s="110"/>
      <c r="N545" s="110"/>
      <c r="O545" s="110"/>
    </row>
    <row r="546" spans="1:15" ht="12" customHeight="1" x14ac:dyDescent="0.15">
      <c r="A546" s="110"/>
      <c r="B546" s="110"/>
      <c r="C546" s="110"/>
      <c r="D546" s="110"/>
      <c r="E546" s="110"/>
      <c r="F546" s="110"/>
      <c r="G546" s="110"/>
      <c r="H546" s="110"/>
      <c r="I546" s="110"/>
      <c r="J546" s="110"/>
      <c r="K546" s="110"/>
      <c r="L546" s="110"/>
      <c r="M546" s="110"/>
      <c r="N546" s="110"/>
      <c r="O546" s="110"/>
    </row>
    <row r="547" spans="1:15" ht="12" customHeight="1" x14ac:dyDescent="0.15">
      <c r="A547" s="110"/>
      <c r="B547" s="110"/>
      <c r="C547" s="110"/>
      <c r="D547" s="110"/>
      <c r="E547" s="110"/>
      <c r="F547" s="110"/>
      <c r="G547" s="110"/>
      <c r="H547" s="110"/>
      <c r="I547" s="110"/>
      <c r="J547" s="110"/>
      <c r="K547" s="110"/>
      <c r="L547" s="110"/>
      <c r="M547" s="110"/>
      <c r="N547" s="110"/>
      <c r="O547" s="110"/>
    </row>
    <row r="548" spans="1:15" ht="12" customHeight="1" x14ac:dyDescent="0.15">
      <c r="A548" s="110"/>
      <c r="B548" s="110"/>
      <c r="C548" s="110"/>
      <c r="D548" s="110"/>
      <c r="E548" s="110"/>
      <c r="F548" s="110"/>
      <c r="G548" s="110"/>
      <c r="H548" s="110"/>
      <c r="I548" s="110"/>
      <c r="J548" s="110"/>
      <c r="K548" s="110"/>
      <c r="L548" s="110"/>
      <c r="M548" s="110"/>
      <c r="N548" s="110"/>
      <c r="O548" s="110"/>
    </row>
    <row r="549" spans="1:15" ht="12" customHeight="1" x14ac:dyDescent="0.15">
      <c r="A549" s="110"/>
      <c r="B549" s="110"/>
      <c r="C549" s="110"/>
      <c r="D549" s="110"/>
      <c r="E549" s="110"/>
      <c r="F549" s="110"/>
      <c r="G549" s="110"/>
      <c r="H549" s="110"/>
      <c r="I549" s="110"/>
      <c r="J549" s="110"/>
      <c r="K549" s="110"/>
      <c r="L549" s="110"/>
      <c r="M549" s="110"/>
      <c r="N549" s="110"/>
      <c r="O549" s="110"/>
    </row>
    <row r="550" spans="1:15" ht="12" customHeight="1" x14ac:dyDescent="0.15">
      <c r="A550" s="110"/>
      <c r="B550" s="110"/>
      <c r="C550" s="110"/>
      <c r="D550" s="110"/>
      <c r="E550" s="110"/>
      <c r="F550" s="110"/>
      <c r="G550" s="110"/>
      <c r="H550" s="110"/>
      <c r="I550" s="110"/>
      <c r="J550" s="110"/>
      <c r="K550" s="110"/>
      <c r="L550" s="110"/>
      <c r="M550" s="110"/>
      <c r="N550" s="110"/>
      <c r="O550" s="110"/>
    </row>
    <row r="551" spans="1:15" ht="12" customHeight="1" x14ac:dyDescent="0.15">
      <c r="A551" s="110"/>
      <c r="B551" s="110"/>
      <c r="C551" s="110"/>
      <c r="D551" s="110"/>
      <c r="E551" s="110"/>
      <c r="F551" s="110"/>
      <c r="G551" s="110"/>
      <c r="H551" s="110"/>
      <c r="I551" s="110"/>
      <c r="J551" s="110"/>
      <c r="K551" s="110"/>
      <c r="L551" s="110"/>
      <c r="M551" s="110"/>
      <c r="N551" s="110"/>
      <c r="O551" s="110"/>
    </row>
    <row r="552" spans="1:15" ht="12" customHeight="1" x14ac:dyDescent="0.15">
      <c r="A552" s="110"/>
      <c r="B552" s="110"/>
      <c r="C552" s="110"/>
      <c r="D552" s="110"/>
      <c r="E552" s="110"/>
      <c r="F552" s="110"/>
      <c r="G552" s="110"/>
      <c r="H552" s="110"/>
      <c r="I552" s="110"/>
      <c r="J552" s="110"/>
      <c r="K552" s="110"/>
      <c r="L552" s="110"/>
      <c r="M552" s="110"/>
      <c r="N552" s="110"/>
      <c r="O552" s="110"/>
    </row>
    <row r="553" spans="1:15" ht="12" customHeight="1" x14ac:dyDescent="0.15">
      <c r="A553" s="110"/>
      <c r="B553" s="110"/>
      <c r="C553" s="110"/>
      <c r="D553" s="110"/>
      <c r="E553" s="110"/>
      <c r="F553" s="110"/>
      <c r="G553" s="110"/>
      <c r="H553" s="110"/>
      <c r="I553" s="110"/>
      <c r="J553" s="110"/>
      <c r="K553" s="110"/>
      <c r="L553" s="110"/>
      <c r="M553" s="110"/>
      <c r="N553" s="110"/>
      <c r="O553" s="110"/>
    </row>
    <row r="554" spans="1:15" ht="12" customHeight="1" x14ac:dyDescent="0.15">
      <c r="A554" s="110"/>
      <c r="B554" s="110"/>
      <c r="C554" s="110"/>
      <c r="D554" s="110"/>
      <c r="E554" s="110"/>
      <c r="F554" s="110"/>
      <c r="G554" s="110"/>
      <c r="H554" s="110"/>
      <c r="I554" s="110"/>
      <c r="J554" s="110"/>
      <c r="K554" s="110"/>
      <c r="L554" s="110"/>
      <c r="M554" s="110"/>
      <c r="N554" s="110"/>
      <c r="O554" s="110"/>
    </row>
    <row r="555" spans="1:15" ht="12" customHeight="1" x14ac:dyDescent="0.15">
      <c r="A555" s="110"/>
      <c r="B555" s="110"/>
      <c r="C555" s="110"/>
      <c r="D555" s="110"/>
      <c r="E555" s="110"/>
      <c r="F555" s="110"/>
      <c r="G555" s="110"/>
      <c r="H555" s="110"/>
      <c r="I555" s="110"/>
      <c r="J555" s="110"/>
      <c r="K555" s="110"/>
      <c r="L555" s="110"/>
      <c r="M555" s="110"/>
      <c r="N555" s="110"/>
      <c r="O555" s="110"/>
    </row>
    <row r="556" spans="1:15" ht="12" customHeight="1" x14ac:dyDescent="0.15">
      <c r="A556" s="110"/>
      <c r="B556" s="110"/>
      <c r="C556" s="110"/>
      <c r="D556" s="110"/>
      <c r="E556" s="110"/>
      <c r="F556" s="110"/>
      <c r="G556" s="110"/>
      <c r="H556" s="110"/>
      <c r="I556" s="110"/>
      <c r="J556" s="110"/>
      <c r="K556" s="110"/>
      <c r="L556" s="110"/>
      <c r="M556" s="110"/>
      <c r="N556" s="110"/>
      <c r="O556" s="110"/>
    </row>
    <row r="557" spans="1:15" ht="12" customHeight="1" x14ac:dyDescent="0.15">
      <c r="A557" s="110"/>
      <c r="B557" s="110"/>
      <c r="C557" s="110"/>
      <c r="D557" s="110"/>
      <c r="E557" s="110"/>
      <c r="F557" s="110"/>
      <c r="G557" s="110"/>
      <c r="H557" s="110"/>
      <c r="I557" s="110"/>
      <c r="J557" s="110"/>
      <c r="K557" s="110"/>
      <c r="L557" s="110"/>
      <c r="M557" s="110"/>
      <c r="N557" s="110"/>
      <c r="O557" s="110"/>
    </row>
    <row r="558" spans="1:15" ht="12" customHeight="1" x14ac:dyDescent="0.15">
      <c r="A558" s="110"/>
      <c r="B558" s="110"/>
      <c r="C558" s="110"/>
      <c r="D558" s="110"/>
      <c r="E558" s="110"/>
      <c r="F558" s="110"/>
      <c r="G558" s="110"/>
      <c r="H558" s="110"/>
      <c r="I558" s="110"/>
      <c r="J558" s="110"/>
      <c r="K558" s="110"/>
      <c r="L558" s="110"/>
      <c r="M558" s="110"/>
      <c r="N558" s="110"/>
      <c r="O558" s="110"/>
    </row>
    <row r="559" spans="1:15" ht="12" customHeight="1" x14ac:dyDescent="0.15">
      <c r="A559" s="110"/>
      <c r="B559" s="110"/>
      <c r="C559" s="110"/>
      <c r="D559" s="110"/>
      <c r="E559" s="110"/>
      <c r="F559" s="110"/>
      <c r="G559" s="110"/>
      <c r="H559" s="110"/>
      <c r="I559" s="110"/>
      <c r="J559" s="110"/>
      <c r="K559" s="110"/>
      <c r="L559" s="110"/>
      <c r="M559" s="110"/>
      <c r="N559" s="110"/>
      <c r="O559" s="110"/>
    </row>
    <row r="560" spans="1:15" ht="12" customHeight="1" x14ac:dyDescent="0.15">
      <c r="A560" s="110"/>
      <c r="B560" s="110"/>
      <c r="C560" s="110"/>
      <c r="D560" s="110"/>
      <c r="E560" s="110"/>
      <c r="F560" s="110"/>
      <c r="G560" s="110"/>
      <c r="H560" s="110"/>
      <c r="I560" s="110"/>
      <c r="J560" s="110"/>
      <c r="K560" s="110"/>
      <c r="L560" s="110"/>
      <c r="M560" s="110"/>
      <c r="N560" s="110"/>
      <c r="O560" s="110"/>
    </row>
    <row r="561" spans="1:15" ht="12" customHeight="1" x14ac:dyDescent="0.15">
      <c r="A561" s="110"/>
      <c r="B561" s="110"/>
      <c r="C561" s="110"/>
      <c r="D561" s="110"/>
      <c r="E561" s="110"/>
      <c r="F561" s="110"/>
      <c r="G561" s="110"/>
      <c r="H561" s="110"/>
      <c r="I561" s="110"/>
      <c r="J561" s="110"/>
      <c r="K561" s="110"/>
      <c r="L561" s="110"/>
      <c r="M561" s="110"/>
      <c r="N561" s="110"/>
      <c r="O561" s="110"/>
    </row>
    <row r="562" spans="1:15" ht="12" customHeight="1" x14ac:dyDescent="0.15">
      <c r="A562" s="110"/>
      <c r="B562" s="110"/>
      <c r="C562" s="110"/>
      <c r="D562" s="110"/>
      <c r="E562" s="110"/>
      <c r="F562" s="110"/>
      <c r="G562" s="110"/>
      <c r="H562" s="110"/>
      <c r="I562" s="110"/>
      <c r="J562" s="110"/>
      <c r="K562" s="110"/>
      <c r="L562" s="110"/>
      <c r="M562" s="110"/>
      <c r="N562" s="110"/>
      <c r="O562" s="110"/>
    </row>
    <row r="563" spans="1:15" ht="12" customHeight="1" x14ac:dyDescent="0.15">
      <c r="A563" s="110"/>
      <c r="B563" s="110"/>
      <c r="C563" s="110"/>
      <c r="D563" s="110"/>
      <c r="E563" s="110"/>
      <c r="F563" s="110"/>
      <c r="G563" s="110"/>
      <c r="H563" s="110"/>
      <c r="I563" s="110"/>
      <c r="J563" s="110"/>
      <c r="K563" s="110"/>
      <c r="L563" s="110"/>
      <c r="M563" s="110"/>
      <c r="N563" s="110"/>
      <c r="O563" s="110"/>
    </row>
    <row r="564" spans="1:15" ht="12" customHeight="1" x14ac:dyDescent="0.15">
      <c r="A564" s="110"/>
      <c r="B564" s="110"/>
      <c r="C564" s="110"/>
      <c r="D564" s="110"/>
      <c r="E564" s="110"/>
      <c r="F564" s="110"/>
      <c r="G564" s="110"/>
      <c r="H564" s="110"/>
      <c r="I564" s="110"/>
      <c r="J564" s="110"/>
      <c r="K564" s="110"/>
      <c r="L564" s="110"/>
      <c r="M564" s="110"/>
      <c r="N564" s="110"/>
      <c r="O564" s="110"/>
    </row>
    <row r="565" spans="1:15" ht="12" customHeight="1" x14ac:dyDescent="0.15">
      <c r="A565" s="110"/>
      <c r="B565" s="110"/>
      <c r="C565" s="110"/>
      <c r="D565" s="110"/>
      <c r="E565" s="110"/>
      <c r="F565" s="110"/>
      <c r="G565" s="110"/>
      <c r="H565" s="110"/>
      <c r="I565" s="110"/>
      <c r="J565" s="110"/>
      <c r="K565" s="110"/>
      <c r="L565" s="110"/>
      <c r="M565" s="110"/>
      <c r="N565" s="110"/>
      <c r="O565" s="110"/>
    </row>
    <row r="566" spans="1:15" ht="12" customHeight="1" x14ac:dyDescent="0.15">
      <c r="A566" s="110"/>
      <c r="B566" s="110"/>
      <c r="C566" s="110"/>
      <c r="D566" s="110"/>
      <c r="E566" s="110"/>
      <c r="F566" s="110"/>
      <c r="G566" s="110"/>
      <c r="H566" s="110"/>
      <c r="I566" s="110"/>
      <c r="J566" s="110"/>
      <c r="K566" s="110"/>
      <c r="L566" s="110"/>
      <c r="M566" s="110"/>
      <c r="N566" s="110"/>
      <c r="O566" s="110"/>
    </row>
    <row r="567" spans="1:15" ht="12" customHeight="1" x14ac:dyDescent="0.15">
      <c r="A567" s="110"/>
      <c r="B567" s="110"/>
      <c r="C567" s="110"/>
      <c r="D567" s="110"/>
      <c r="E567" s="110"/>
      <c r="F567" s="110"/>
      <c r="G567" s="110"/>
      <c r="H567" s="110"/>
      <c r="I567" s="110"/>
      <c r="J567" s="110"/>
      <c r="K567" s="110"/>
      <c r="L567" s="110"/>
      <c r="M567" s="110"/>
      <c r="N567" s="110"/>
      <c r="O567" s="110"/>
    </row>
    <row r="568" spans="1:15" ht="12" customHeight="1" x14ac:dyDescent="0.15">
      <c r="A568" s="110"/>
      <c r="B568" s="110"/>
      <c r="C568" s="110"/>
      <c r="D568" s="110"/>
      <c r="E568" s="110"/>
      <c r="F568" s="110"/>
      <c r="G568" s="110"/>
      <c r="H568" s="110"/>
      <c r="I568" s="110"/>
      <c r="J568" s="110"/>
      <c r="K568" s="110"/>
      <c r="L568" s="110"/>
      <c r="M568" s="110"/>
      <c r="N568" s="110"/>
      <c r="O568" s="110"/>
    </row>
    <row r="569" spans="1:15" ht="12" customHeight="1" x14ac:dyDescent="0.15">
      <c r="A569" s="110"/>
      <c r="B569" s="110"/>
      <c r="C569" s="110"/>
      <c r="D569" s="110"/>
      <c r="E569" s="110"/>
      <c r="F569" s="110"/>
      <c r="G569" s="110"/>
      <c r="H569" s="110"/>
      <c r="I569" s="110"/>
      <c r="J569" s="110"/>
      <c r="K569" s="110"/>
      <c r="L569" s="110"/>
      <c r="M569" s="110"/>
      <c r="N569" s="110"/>
      <c r="O569" s="110"/>
    </row>
    <row r="570" spans="1:15" ht="12" customHeight="1" x14ac:dyDescent="0.15">
      <c r="A570" s="110"/>
      <c r="B570" s="110"/>
      <c r="C570" s="110"/>
      <c r="D570" s="110"/>
      <c r="E570" s="110"/>
      <c r="F570" s="110"/>
      <c r="G570" s="110"/>
      <c r="H570" s="110"/>
      <c r="I570" s="110"/>
      <c r="J570" s="110"/>
      <c r="K570" s="110"/>
      <c r="L570" s="110"/>
      <c r="M570" s="110"/>
      <c r="N570" s="110"/>
      <c r="O570" s="110"/>
    </row>
    <row r="571" spans="1:15" ht="12" customHeight="1" x14ac:dyDescent="0.15">
      <c r="A571" s="110"/>
      <c r="B571" s="110"/>
      <c r="C571" s="110"/>
      <c r="D571" s="110"/>
      <c r="E571" s="110"/>
      <c r="F571" s="110"/>
      <c r="G571" s="110"/>
      <c r="H571" s="110"/>
      <c r="I571" s="110"/>
      <c r="J571" s="110"/>
      <c r="K571" s="110"/>
      <c r="L571" s="110"/>
      <c r="M571" s="110"/>
      <c r="N571" s="110"/>
      <c r="O571" s="110"/>
    </row>
    <row r="572" spans="1:15" ht="12" customHeight="1" x14ac:dyDescent="0.15">
      <c r="A572" s="110"/>
      <c r="B572" s="110"/>
      <c r="C572" s="110"/>
      <c r="D572" s="110"/>
      <c r="E572" s="110"/>
      <c r="F572" s="110"/>
      <c r="G572" s="110"/>
      <c r="H572" s="110"/>
      <c r="I572" s="110"/>
      <c r="J572" s="110"/>
      <c r="K572" s="110"/>
      <c r="L572" s="110"/>
      <c r="M572" s="110"/>
      <c r="N572" s="110"/>
      <c r="O572" s="110"/>
    </row>
    <row r="573" spans="1:15" ht="12" customHeight="1" x14ac:dyDescent="0.15">
      <c r="A573" s="110"/>
      <c r="B573" s="110"/>
      <c r="C573" s="110"/>
      <c r="D573" s="110"/>
      <c r="E573" s="110"/>
      <c r="F573" s="110"/>
      <c r="G573" s="110"/>
      <c r="H573" s="110"/>
      <c r="I573" s="110"/>
      <c r="J573" s="110"/>
      <c r="K573" s="110"/>
      <c r="L573" s="110"/>
      <c r="M573" s="110"/>
      <c r="N573" s="110"/>
      <c r="O573" s="110"/>
    </row>
    <row r="574" spans="1:15" ht="12" customHeight="1" x14ac:dyDescent="0.15">
      <c r="A574" s="110"/>
      <c r="B574" s="110"/>
      <c r="C574" s="110"/>
      <c r="D574" s="110"/>
      <c r="E574" s="110"/>
      <c r="F574" s="110"/>
      <c r="G574" s="110"/>
      <c r="H574" s="110"/>
      <c r="I574" s="110"/>
      <c r="J574" s="110"/>
      <c r="K574" s="110"/>
      <c r="L574" s="110"/>
      <c r="M574" s="110"/>
      <c r="N574" s="110"/>
      <c r="O574" s="110"/>
    </row>
    <row r="575" spans="1:15" ht="12" customHeight="1" x14ac:dyDescent="0.15">
      <c r="A575" s="110"/>
      <c r="B575" s="110"/>
      <c r="C575" s="110"/>
      <c r="D575" s="110"/>
      <c r="E575" s="110"/>
      <c r="F575" s="110"/>
      <c r="G575" s="110"/>
      <c r="H575" s="110"/>
      <c r="I575" s="110"/>
      <c r="J575" s="110"/>
      <c r="K575" s="110"/>
      <c r="L575" s="110"/>
      <c r="M575" s="110"/>
      <c r="N575" s="110"/>
      <c r="O575" s="110"/>
    </row>
    <row r="576" spans="1:15" ht="12" customHeight="1" x14ac:dyDescent="0.15">
      <c r="A576" s="110"/>
      <c r="B576" s="110"/>
      <c r="C576" s="110"/>
      <c r="D576" s="110"/>
      <c r="E576" s="110"/>
      <c r="F576" s="110"/>
      <c r="G576" s="110"/>
      <c r="H576" s="110"/>
      <c r="I576" s="110"/>
      <c r="J576" s="110"/>
      <c r="K576" s="110"/>
      <c r="L576" s="110"/>
      <c r="M576" s="110"/>
      <c r="N576" s="110"/>
      <c r="O576" s="110"/>
    </row>
    <row r="577" spans="1:15" ht="12" customHeight="1" x14ac:dyDescent="0.15">
      <c r="A577" s="110"/>
      <c r="B577" s="110"/>
      <c r="C577" s="110"/>
      <c r="D577" s="110"/>
      <c r="E577" s="110"/>
      <c r="F577" s="110"/>
      <c r="G577" s="110"/>
      <c r="H577" s="110"/>
      <c r="I577" s="110"/>
      <c r="J577" s="110"/>
      <c r="K577" s="110"/>
      <c r="L577" s="110"/>
      <c r="M577" s="110"/>
      <c r="N577" s="110"/>
      <c r="O577" s="110"/>
    </row>
    <row r="578" spans="1:15" ht="12" customHeight="1" x14ac:dyDescent="0.15">
      <c r="A578" s="110"/>
      <c r="B578" s="110"/>
      <c r="C578" s="110"/>
      <c r="D578" s="110"/>
      <c r="E578" s="110"/>
      <c r="F578" s="110"/>
      <c r="G578" s="110"/>
      <c r="H578" s="110"/>
      <c r="I578" s="110"/>
      <c r="J578" s="110"/>
      <c r="K578" s="110"/>
      <c r="L578" s="110"/>
      <c r="M578" s="110"/>
      <c r="N578" s="110"/>
      <c r="O578" s="110"/>
    </row>
    <row r="579" spans="1:15" ht="12" customHeight="1" x14ac:dyDescent="0.15">
      <c r="A579" s="110"/>
      <c r="B579" s="110"/>
      <c r="C579" s="110"/>
      <c r="D579" s="110"/>
      <c r="E579" s="110"/>
      <c r="F579" s="110"/>
      <c r="G579" s="110"/>
      <c r="H579" s="110"/>
      <c r="I579" s="110"/>
      <c r="J579" s="110"/>
      <c r="K579" s="110"/>
      <c r="L579" s="110"/>
      <c r="M579" s="110"/>
      <c r="N579" s="110"/>
      <c r="O579" s="110"/>
    </row>
    <row r="580" spans="1:15" ht="12" customHeight="1" x14ac:dyDescent="0.15">
      <c r="A580" s="110"/>
      <c r="B580" s="110"/>
      <c r="C580" s="110"/>
      <c r="D580" s="110"/>
      <c r="E580" s="110"/>
      <c r="F580" s="110"/>
      <c r="G580" s="110"/>
      <c r="H580" s="110"/>
      <c r="I580" s="110"/>
      <c r="J580" s="110"/>
      <c r="K580" s="110"/>
      <c r="L580" s="110"/>
      <c r="M580" s="110"/>
      <c r="N580" s="110"/>
      <c r="O580" s="110"/>
    </row>
    <row r="581" spans="1:15" ht="12" customHeight="1" x14ac:dyDescent="0.15">
      <c r="A581" s="110"/>
      <c r="B581" s="110"/>
      <c r="C581" s="110"/>
      <c r="D581" s="110"/>
      <c r="E581" s="110"/>
      <c r="F581" s="110"/>
      <c r="G581" s="110"/>
      <c r="H581" s="110"/>
      <c r="I581" s="110"/>
      <c r="J581" s="110"/>
      <c r="K581" s="110"/>
      <c r="L581" s="110"/>
      <c r="M581" s="110"/>
      <c r="N581" s="110"/>
      <c r="O581" s="110"/>
    </row>
    <row r="582" spans="1:15" ht="12" customHeight="1" x14ac:dyDescent="0.15">
      <c r="A582" s="110"/>
      <c r="B582" s="110"/>
      <c r="C582" s="110"/>
      <c r="D582" s="110"/>
      <c r="E582" s="110"/>
      <c r="F582" s="110"/>
      <c r="G582" s="110"/>
      <c r="H582" s="110"/>
      <c r="I582" s="110"/>
      <c r="J582" s="110"/>
      <c r="K582" s="110"/>
      <c r="L582" s="110"/>
      <c r="M582" s="110"/>
      <c r="N582" s="110"/>
      <c r="O582" s="110"/>
    </row>
    <row r="583" spans="1:15" ht="12" customHeight="1" x14ac:dyDescent="0.15">
      <c r="A583" s="110"/>
      <c r="B583" s="110"/>
      <c r="C583" s="110"/>
      <c r="D583" s="110"/>
      <c r="E583" s="110"/>
      <c r="F583" s="110"/>
      <c r="G583" s="110"/>
      <c r="H583" s="110"/>
      <c r="I583" s="110"/>
      <c r="J583" s="110"/>
      <c r="K583" s="110"/>
      <c r="L583" s="110"/>
      <c r="M583" s="110"/>
      <c r="N583" s="110"/>
      <c r="O583" s="110"/>
    </row>
    <row r="584" spans="1:15" ht="12" customHeight="1" x14ac:dyDescent="0.15">
      <c r="A584" s="110"/>
      <c r="B584" s="110"/>
      <c r="C584" s="110"/>
      <c r="D584" s="110"/>
      <c r="E584" s="110"/>
      <c r="F584" s="110"/>
      <c r="G584" s="110"/>
      <c r="H584" s="110"/>
      <c r="I584" s="110"/>
      <c r="J584" s="110"/>
      <c r="K584" s="110"/>
      <c r="L584" s="110"/>
      <c r="M584" s="110"/>
      <c r="N584" s="110"/>
      <c r="O584" s="110"/>
    </row>
    <row r="585" spans="1:15" ht="12" customHeight="1" x14ac:dyDescent="0.15">
      <c r="A585" s="110"/>
      <c r="B585" s="110"/>
      <c r="C585" s="110"/>
      <c r="D585" s="110"/>
      <c r="E585" s="110"/>
      <c r="F585" s="110"/>
      <c r="G585" s="110"/>
      <c r="H585" s="110"/>
      <c r="I585" s="110"/>
      <c r="J585" s="110"/>
      <c r="K585" s="110"/>
      <c r="L585" s="110"/>
      <c r="M585" s="110"/>
      <c r="N585" s="110"/>
      <c r="O585" s="110"/>
    </row>
    <row r="586" spans="1:15" ht="12" customHeight="1" x14ac:dyDescent="0.15">
      <c r="A586" s="110"/>
      <c r="B586" s="110"/>
      <c r="C586" s="110"/>
      <c r="D586" s="110"/>
      <c r="E586" s="110"/>
      <c r="F586" s="110"/>
      <c r="G586" s="110"/>
      <c r="H586" s="110"/>
      <c r="I586" s="110"/>
      <c r="J586" s="110"/>
      <c r="K586" s="110"/>
      <c r="L586" s="110"/>
      <c r="M586" s="110"/>
      <c r="N586" s="110"/>
      <c r="O586" s="110"/>
    </row>
    <row r="587" spans="1:15" ht="12" customHeight="1" x14ac:dyDescent="0.15">
      <c r="A587" s="110"/>
      <c r="B587" s="110"/>
      <c r="C587" s="110"/>
      <c r="D587" s="110"/>
      <c r="E587" s="110"/>
      <c r="F587" s="110"/>
      <c r="G587" s="110"/>
      <c r="H587" s="110"/>
      <c r="I587" s="110"/>
      <c r="J587" s="110"/>
      <c r="K587" s="110"/>
      <c r="L587" s="110"/>
      <c r="M587" s="110"/>
      <c r="N587" s="110"/>
      <c r="O587" s="110"/>
    </row>
    <row r="588" spans="1:15" ht="12" customHeight="1" x14ac:dyDescent="0.15">
      <c r="A588" s="110"/>
      <c r="B588" s="110"/>
      <c r="C588" s="110"/>
      <c r="D588" s="110"/>
      <c r="E588" s="110"/>
      <c r="F588" s="110"/>
      <c r="G588" s="110"/>
      <c r="H588" s="110"/>
      <c r="I588" s="110"/>
      <c r="J588" s="110"/>
      <c r="K588" s="110"/>
      <c r="L588" s="110"/>
      <c r="M588" s="110"/>
      <c r="N588" s="110"/>
      <c r="O588" s="110"/>
    </row>
    <row r="589" spans="1:15" ht="12" customHeight="1" x14ac:dyDescent="0.15">
      <c r="A589" s="110"/>
      <c r="B589" s="110"/>
      <c r="C589" s="110"/>
      <c r="D589" s="110"/>
      <c r="E589" s="110"/>
      <c r="F589" s="110"/>
      <c r="G589" s="110"/>
      <c r="H589" s="110"/>
      <c r="I589" s="110"/>
      <c r="J589" s="110"/>
      <c r="K589" s="110"/>
      <c r="L589" s="110"/>
      <c r="M589" s="110"/>
      <c r="N589" s="110"/>
      <c r="O589" s="110"/>
    </row>
    <row r="590" spans="1:15" ht="12" customHeight="1" x14ac:dyDescent="0.15">
      <c r="A590" s="110"/>
      <c r="B590" s="110"/>
      <c r="C590" s="110"/>
      <c r="D590" s="110"/>
      <c r="E590" s="110"/>
      <c r="F590" s="110"/>
      <c r="G590" s="110"/>
      <c r="H590" s="110"/>
      <c r="I590" s="110"/>
      <c r="J590" s="110"/>
      <c r="K590" s="110"/>
      <c r="L590" s="110"/>
      <c r="M590" s="110"/>
      <c r="N590" s="110"/>
      <c r="O590" s="110"/>
    </row>
    <row r="591" spans="1:15" ht="12" customHeight="1" x14ac:dyDescent="0.15">
      <c r="A591" s="110"/>
      <c r="B591" s="110"/>
      <c r="C591" s="110"/>
      <c r="D591" s="110"/>
      <c r="E591" s="110"/>
      <c r="F591" s="110"/>
      <c r="G591" s="110"/>
      <c r="H591" s="110"/>
      <c r="I591" s="110"/>
      <c r="J591" s="110"/>
      <c r="K591" s="110"/>
      <c r="L591" s="110"/>
      <c r="M591" s="110"/>
      <c r="N591" s="110"/>
      <c r="O591" s="110"/>
    </row>
    <row r="592" spans="1:15" ht="12" customHeight="1" x14ac:dyDescent="0.15">
      <c r="A592" s="110"/>
      <c r="B592" s="110"/>
      <c r="C592" s="110"/>
      <c r="D592" s="110"/>
      <c r="E592" s="110"/>
      <c r="F592" s="110"/>
      <c r="G592" s="110"/>
      <c r="H592" s="110"/>
      <c r="I592" s="110"/>
      <c r="J592" s="110"/>
      <c r="K592" s="110"/>
      <c r="L592" s="110"/>
      <c r="M592" s="110"/>
      <c r="N592" s="110"/>
      <c r="O592" s="110"/>
    </row>
    <row r="593" spans="1:15" ht="12" customHeight="1" x14ac:dyDescent="0.15">
      <c r="A593" s="110"/>
      <c r="B593" s="110"/>
      <c r="C593" s="110"/>
      <c r="D593" s="110"/>
      <c r="E593" s="110"/>
      <c r="F593" s="110"/>
      <c r="G593" s="110"/>
      <c r="H593" s="110"/>
      <c r="I593" s="110"/>
      <c r="J593" s="110"/>
      <c r="K593" s="110"/>
      <c r="L593" s="110"/>
      <c r="M593" s="110"/>
      <c r="N593" s="110"/>
      <c r="O593" s="110"/>
    </row>
    <row r="594" spans="1:15" ht="12" customHeight="1" x14ac:dyDescent="0.15">
      <c r="A594" s="110"/>
      <c r="B594" s="110"/>
      <c r="C594" s="110"/>
      <c r="D594" s="110"/>
      <c r="E594" s="110"/>
      <c r="F594" s="110"/>
      <c r="G594" s="110"/>
      <c r="H594" s="110"/>
      <c r="I594" s="110"/>
      <c r="J594" s="110"/>
      <c r="K594" s="110"/>
      <c r="L594" s="110"/>
      <c r="M594" s="110"/>
      <c r="N594" s="110"/>
      <c r="O594" s="110"/>
    </row>
    <row r="595" spans="1:15" ht="12" customHeight="1" x14ac:dyDescent="0.15">
      <c r="A595" s="110"/>
      <c r="B595" s="110"/>
      <c r="C595" s="110"/>
      <c r="D595" s="110"/>
      <c r="E595" s="110"/>
      <c r="F595" s="110"/>
      <c r="G595" s="110"/>
      <c r="H595" s="110"/>
      <c r="I595" s="110"/>
      <c r="J595" s="110"/>
      <c r="K595" s="110"/>
      <c r="L595" s="110"/>
      <c r="M595" s="110"/>
      <c r="N595" s="110"/>
      <c r="O595" s="110"/>
    </row>
    <row r="596" spans="1:15" ht="12" customHeight="1" x14ac:dyDescent="0.15">
      <c r="A596" s="110"/>
      <c r="B596" s="110"/>
      <c r="C596" s="110"/>
      <c r="D596" s="110"/>
      <c r="E596" s="110"/>
      <c r="F596" s="110"/>
      <c r="G596" s="110"/>
      <c r="H596" s="110"/>
      <c r="I596" s="110"/>
      <c r="J596" s="110"/>
      <c r="K596" s="110"/>
      <c r="L596" s="110"/>
      <c r="M596" s="110"/>
      <c r="N596" s="110"/>
      <c r="O596" s="110"/>
    </row>
    <row r="597" spans="1:15" ht="12" customHeight="1" x14ac:dyDescent="0.15">
      <c r="A597" s="110"/>
      <c r="B597" s="110"/>
      <c r="C597" s="110"/>
      <c r="D597" s="110"/>
      <c r="E597" s="110"/>
      <c r="F597" s="110"/>
      <c r="G597" s="110"/>
      <c r="H597" s="110"/>
      <c r="I597" s="110"/>
      <c r="J597" s="110"/>
      <c r="K597" s="110"/>
      <c r="L597" s="110"/>
      <c r="M597" s="110"/>
      <c r="N597" s="110"/>
      <c r="O597" s="110"/>
    </row>
    <row r="598" spans="1:15" ht="12" customHeight="1" x14ac:dyDescent="0.15">
      <c r="A598" s="110"/>
      <c r="B598" s="110"/>
      <c r="C598" s="110"/>
      <c r="D598" s="110"/>
      <c r="E598" s="110"/>
      <c r="F598" s="110"/>
      <c r="G598" s="110"/>
      <c r="H598" s="110"/>
      <c r="I598" s="110"/>
      <c r="J598" s="110"/>
      <c r="K598" s="110"/>
      <c r="L598" s="110"/>
      <c r="M598" s="110"/>
      <c r="N598" s="110"/>
      <c r="O598" s="110"/>
    </row>
    <row r="599" spans="1:15" ht="12" customHeight="1" x14ac:dyDescent="0.15">
      <c r="A599" s="110"/>
      <c r="B599" s="110"/>
      <c r="C599" s="110"/>
      <c r="D599" s="110"/>
      <c r="E599" s="110"/>
      <c r="F599" s="110"/>
      <c r="G599" s="110"/>
      <c r="H599" s="110"/>
      <c r="I599" s="110"/>
      <c r="J599" s="110"/>
      <c r="K599" s="110"/>
      <c r="L599" s="110"/>
      <c r="M599" s="110"/>
      <c r="N599" s="110"/>
      <c r="O599" s="110"/>
    </row>
    <row r="600" spans="1:15" ht="12" customHeight="1" x14ac:dyDescent="0.15">
      <c r="A600" s="110"/>
      <c r="B600" s="110"/>
      <c r="C600" s="110"/>
      <c r="D600" s="110"/>
      <c r="E600" s="110"/>
      <c r="F600" s="110"/>
      <c r="G600" s="110"/>
      <c r="H600" s="110"/>
      <c r="I600" s="110"/>
      <c r="J600" s="110"/>
      <c r="K600" s="110"/>
      <c r="L600" s="110"/>
      <c r="M600" s="110"/>
      <c r="N600" s="110"/>
      <c r="O600" s="110"/>
    </row>
    <row r="601" spans="1:15" ht="12" customHeight="1" x14ac:dyDescent="0.15">
      <c r="A601" s="110"/>
      <c r="B601" s="110"/>
      <c r="C601" s="110"/>
      <c r="D601" s="110"/>
      <c r="E601" s="110"/>
      <c r="F601" s="110"/>
      <c r="G601" s="110"/>
      <c r="H601" s="110"/>
      <c r="I601" s="110"/>
      <c r="J601" s="110"/>
      <c r="K601" s="110"/>
      <c r="L601" s="110"/>
      <c r="M601" s="110"/>
      <c r="N601" s="110"/>
      <c r="O601" s="110"/>
    </row>
    <row r="602" spans="1:15" ht="12" customHeight="1" x14ac:dyDescent="0.15">
      <c r="A602" s="110"/>
      <c r="B602" s="110"/>
      <c r="C602" s="110"/>
      <c r="D602" s="110"/>
      <c r="E602" s="110"/>
      <c r="F602" s="110"/>
      <c r="G602" s="110"/>
      <c r="H602" s="110"/>
      <c r="I602" s="110"/>
      <c r="J602" s="110"/>
      <c r="K602" s="110"/>
      <c r="L602" s="110"/>
      <c r="M602" s="110"/>
      <c r="N602" s="110"/>
      <c r="O602" s="110"/>
    </row>
    <row r="603" spans="1:15" ht="12" customHeight="1" x14ac:dyDescent="0.15">
      <c r="A603" s="110"/>
      <c r="B603" s="110"/>
      <c r="C603" s="110"/>
      <c r="D603" s="110"/>
      <c r="E603" s="110"/>
      <c r="F603" s="110"/>
      <c r="G603" s="110"/>
      <c r="H603" s="110"/>
      <c r="I603" s="110"/>
      <c r="J603" s="110"/>
      <c r="K603" s="110"/>
      <c r="L603" s="110"/>
      <c r="M603" s="110"/>
      <c r="N603" s="110"/>
      <c r="O603" s="110"/>
    </row>
    <row r="604" spans="1:15" ht="12" customHeight="1" x14ac:dyDescent="0.15">
      <c r="A604" s="110"/>
      <c r="B604" s="110"/>
      <c r="C604" s="110"/>
      <c r="D604" s="110"/>
      <c r="E604" s="110"/>
      <c r="F604" s="110"/>
      <c r="G604" s="110"/>
      <c r="H604" s="110"/>
      <c r="I604" s="110"/>
      <c r="J604" s="110"/>
      <c r="K604" s="110"/>
      <c r="L604" s="110"/>
      <c r="M604" s="110"/>
      <c r="N604" s="110"/>
      <c r="O604" s="110"/>
    </row>
    <row r="605" spans="1:15" ht="12" customHeight="1" x14ac:dyDescent="0.15">
      <c r="A605" s="110"/>
      <c r="B605" s="110"/>
      <c r="C605" s="110"/>
      <c r="D605" s="110"/>
      <c r="E605" s="110"/>
      <c r="F605" s="110"/>
      <c r="G605" s="110"/>
      <c r="H605" s="110"/>
      <c r="I605" s="110"/>
      <c r="J605" s="110"/>
      <c r="K605" s="110"/>
      <c r="L605" s="110"/>
      <c r="M605" s="110"/>
      <c r="N605" s="110"/>
      <c r="O605" s="110"/>
    </row>
    <row r="606" spans="1:15" ht="12" customHeight="1" x14ac:dyDescent="0.15">
      <c r="A606" s="110"/>
      <c r="B606" s="110"/>
      <c r="C606" s="110"/>
      <c r="D606" s="110"/>
      <c r="E606" s="110"/>
      <c r="F606" s="110"/>
      <c r="G606" s="110"/>
      <c r="H606" s="110"/>
      <c r="I606" s="110"/>
      <c r="J606" s="110"/>
      <c r="K606" s="110"/>
      <c r="L606" s="110"/>
      <c r="M606" s="110"/>
      <c r="N606" s="110"/>
      <c r="O606" s="110"/>
    </row>
    <row r="607" spans="1:15" ht="12" customHeight="1" x14ac:dyDescent="0.15">
      <c r="A607" s="110"/>
      <c r="B607" s="110"/>
      <c r="C607" s="110"/>
      <c r="D607" s="110"/>
      <c r="E607" s="110"/>
      <c r="F607" s="110"/>
      <c r="G607" s="110"/>
      <c r="H607" s="110"/>
      <c r="I607" s="110"/>
      <c r="J607" s="110"/>
      <c r="K607" s="110"/>
      <c r="L607" s="110"/>
      <c r="M607" s="110"/>
      <c r="N607" s="110"/>
      <c r="O607" s="110"/>
    </row>
    <row r="608" spans="1:15" ht="12" customHeight="1" x14ac:dyDescent="0.15">
      <c r="A608" s="110"/>
      <c r="B608" s="110"/>
      <c r="C608" s="110"/>
      <c r="D608" s="110"/>
      <c r="E608" s="110"/>
      <c r="F608" s="110"/>
      <c r="G608" s="110"/>
      <c r="H608" s="110"/>
      <c r="I608" s="110"/>
      <c r="J608" s="110"/>
      <c r="K608" s="110"/>
      <c r="L608" s="110"/>
      <c r="M608" s="110"/>
      <c r="N608" s="110"/>
      <c r="O608" s="110"/>
    </row>
    <row r="609" spans="1:15" ht="12" customHeight="1" x14ac:dyDescent="0.15">
      <c r="A609" s="110"/>
      <c r="B609" s="110"/>
      <c r="C609" s="110"/>
      <c r="D609" s="110"/>
      <c r="E609" s="110"/>
      <c r="F609" s="110"/>
      <c r="G609" s="110"/>
      <c r="H609" s="110"/>
      <c r="I609" s="110"/>
      <c r="J609" s="110"/>
      <c r="K609" s="110"/>
      <c r="L609" s="110"/>
      <c r="M609" s="110"/>
      <c r="N609" s="110"/>
      <c r="O609" s="110"/>
    </row>
    <row r="610" spans="1:15" ht="12" customHeight="1" x14ac:dyDescent="0.15">
      <c r="A610" s="110"/>
      <c r="B610" s="110"/>
      <c r="C610" s="110"/>
      <c r="D610" s="110"/>
      <c r="E610" s="110"/>
      <c r="F610" s="110"/>
      <c r="G610" s="110"/>
      <c r="H610" s="110"/>
      <c r="I610" s="110"/>
      <c r="J610" s="110"/>
      <c r="K610" s="110"/>
      <c r="L610" s="110"/>
      <c r="M610" s="110"/>
      <c r="N610" s="110"/>
      <c r="O610" s="110"/>
    </row>
    <row r="611" spans="1:15" ht="12" customHeight="1" x14ac:dyDescent="0.15">
      <c r="A611" s="110"/>
      <c r="B611" s="110"/>
      <c r="C611" s="110"/>
      <c r="D611" s="110"/>
      <c r="E611" s="110"/>
      <c r="F611" s="110"/>
      <c r="G611" s="110"/>
      <c r="H611" s="110"/>
      <c r="I611" s="110"/>
      <c r="J611" s="110"/>
      <c r="K611" s="110"/>
      <c r="L611" s="110"/>
      <c r="M611" s="110"/>
      <c r="N611" s="110"/>
      <c r="O611" s="110"/>
    </row>
    <row r="612" spans="1:15" ht="12" customHeight="1" x14ac:dyDescent="0.15">
      <c r="A612" s="110"/>
      <c r="B612" s="110"/>
      <c r="C612" s="110"/>
      <c r="D612" s="110"/>
      <c r="E612" s="110"/>
      <c r="F612" s="110"/>
      <c r="G612" s="110"/>
      <c r="H612" s="110"/>
      <c r="I612" s="110"/>
      <c r="J612" s="110"/>
      <c r="K612" s="110"/>
      <c r="L612" s="110"/>
      <c r="M612" s="110"/>
      <c r="N612" s="110"/>
      <c r="O612" s="110"/>
    </row>
    <row r="613" spans="1:15" ht="12" customHeight="1" x14ac:dyDescent="0.15">
      <c r="A613" s="110"/>
      <c r="B613" s="110"/>
      <c r="C613" s="110"/>
      <c r="D613" s="110"/>
      <c r="E613" s="110"/>
      <c r="F613" s="110"/>
      <c r="G613" s="110"/>
      <c r="H613" s="110"/>
      <c r="I613" s="110"/>
      <c r="J613" s="110"/>
      <c r="K613" s="110"/>
      <c r="L613" s="110"/>
      <c r="M613" s="110"/>
      <c r="N613" s="110"/>
      <c r="O613" s="110"/>
    </row>
    <row r="614" spans="1:15" ht="12" customHeight="1" x14ac:dyDescent="0.15">
      <c r="A614" s="110"/>
      <c r="B614" s="110"/>
      <c r="C614" s="110"/>
      <c r="D614" s="110"/>
      <c r="E614" s="110"/>
      <c r="F614" s="110"/>
      <c r="G614" s="110"/>
      <c r="H614" s="110"/>
      <c r="I614" s="110"/>
      <c r="J614" s="110"/>
      <c r="K614" s="110"/>
      <c r="L614" s="110"/>
      <c r="M614" s="110"/>
      <c r="N614" s="110"/>
      <c r="O614" s="110"/>
    </row>
    <row r="615" spans="1:15" ht="12" customHeight="1" x14ac:dyDescent="0.15">
      <c r="A615" s="110"/>
      <c r="B615" s="110"/>
      <c r="C615" s="110"/>
      <c r="D615" s="110"/>
      <c r="E615" s="110"/>
      <c r="F615" s="110"/>
      <c r="G615" s="110"/>
      <c r="H615" s="110"/>
      <c r="I615" s="110"/>
      <c r="J615" s="110"/>
      <c r="K615" s="110"/>
      <c r="L615" s="110"/>
      <c r="M615" s="110"/>
      <c r="N615" s="110"/>
      <c r="O615" s="110"/>
    </row>
    <row r="616" spans="1:15" ht="12" customHeight="1" x14ac:dyDescent="0.15">
      <c r="A616" s="110"/>
      <c r="B616" s="110"/>
      <c r="C616" s="110"/>
      <c r="D616" s="110"/>
      <c r="E616" s="110"/>
      <c r="F616" s="110"/>
      <c r="G616" s="110"/>
      <c r="H616" s="110"/>
      <c r="I616" s="110"/>
      <c r="J616" s="110"/>
      <c r="K616" s="110"/>
      <c r="L616" s="110"/>
      <c r="M616" s="110"/>
      <c r="N616" s="110"/>
      <c r="O616" s="110"/>
    </row>
    <row r="617" spans="1:15" ht="12" customHeight="1" x14ac:dyDescent="0.15">
      <c r="A617" s="110"/>
      <c r="B617" s="110"/>
      <c r="C617" s="110"/>
      <c r="D617" s="110"/>
      <c r="E617" s="110"/>
      <c r="F617" s="110"/>
      <c r="G617" s="110"/>
      <c r="H617" s="110"/>
      <c r="I617" s="110"/>
      <c r="J617" s="110"/>
      <c r="K617" s="110"/>
      <c r="L617" s="110"/>
      <c r="M617" s="110"/>
      <c r="N617" s="110"/>
      <c r="O617" s="110"/>
    </row>
    <row r="618" spans="1:15" ht="12" customHeight="1" x14ac:dyDescent="0.15">
      <c r="A618" s="110"/>
      <c r="B618" s="110"/>
      <c r="C618" s="110"/>
      <c r="D618" s="110"/>
      <c r="E618" s="110"/>
      <c r="F618" s="110"/>
      <c r="G618" s="110"/>
      <c r="H618" s="110"/>
      <c r="I618" s="110"/>
      <c r="J618" s="110"/>
      <c r="K618" s="110"/>
      <c r="L618" s="110"/>
      <c r="M618" s="110"/>
      <c r="N618" s="110"/>
      <c r="O618" s="110"/>
    </row>
    <row r="619" spans="1:15" ht="12" customHeight="1" x14ac:dyDescent="0.15">
      <c r="A619" s="110"/>
      <c r="B619" s="110"/>
      <c r="C619" s="110"/>
      <c r="D619" s="110"/>
      <c r="E619" s="110"/>
      <c r="F619" s="110"/>
      <c r="G619" s="110"/>
      <c r="H619" s="110"/>
      <c r="I619" s="110"/>
      <c r="J619" s="110"/>
      <c r="K619" s="110"/>
      <c r="L619" s="110"/>
      <c r="M619" s="110"/>
      <c r="N619" s="110"/>
      <c r="O619" s="110"/>
    </row>
    <row r="620" spans="1:15" ht="12" customHeight="1" x14ac:dyDescent="0.15">
      <c r="A620" s="110"/>
      <c r="B620" s="110"/>
      <c r="C620" s="110"/>
      <c r="D620" s="110"/>
      <c r="E620" s="110"/>
      <c r="F620" s="110"/>
      <c r="G620" s="110"/>
      <c r="H620" s="110"/>
      <c r="I620" s="110"/>
      <c r="J620" s="110"/>
      <c r="K620" s="110"/>
      <c r="L620" s="110"/>
      <c r="M620" s="110"/>
      <c r="N620" s="110"/>
      <c r="O620" s="110"/>
    </row>
    <row r="621" spans="1:15" ht="12" customHeight="1" x14ac:dyDescent="0.15">
      <c r="A621" s="110"/>
      <c r="B621" s="110"/>
      <c r="C621" s="110"/>
      <c r="D621" s="110"/>
      <c r="E621" s="110"/>
      <c r="F621" s="110"/>
      <c r="G621" s="110"/>
      <c r="H621" s="110"/>
      <c r="I621" s="110"/>
      <c r="J621" s="110"/>
      <c r="K621" s="110"/>
      <c r="L621" s="110"/>
      <c r="M621" s="110"/>
      <c r="N621" s="110"/>
      <c r="O621" s="110"/>
    </row>
    <row r="622" spans="1:15" ht="12" customHeight="1" x14ac:dyDescent="0.15">
      <c r="A622" s="110"/>
      <c r="B622" s="110"/>
      <c r="C622" s="110"/>
      <c r="D622" s="110"/>
      <c r="E622" s="110"/>
      <c r="F622" s="110"/>
      <c r="G622" s="110"/>
      <c r="H622" s="110"/>
      <c r="I622" s="110"/>
      <c r="J622" s="110"/>
      <c r="K622" s="110"/>
      <c r="L622" s="110"/>
      <c r="M622" s="110"/>
      <c r="N622" s="110"/>
      <c r="O622" s="110"/>
    </row>
    <row r="623" spans="1:15" ht="12" customHeight="1" x14ac:dyDescent="0.15">
      <c r="A623" s="110"/>
      <c r="B623" s="110"/>
      <c r="C623" s="110"/>
      <c r="D623" s="110"/>
      <c r="E623" s="110"/>
      <c r="F623" s="110"/>
      <c r="G623" s="110"/>
      <c r="H623" s="110"/>
      <c r="I623" s="110"/>
      <c r="J623" s="110"/>
      <c r="K623" s="110"/>
      <c r="L623" s="110"/>
      <c r="M623" s="110"/>
      <c r="N623" s="110"/>
      <c r="O623" s="110"/>
    </row>
    <row r="624" spans="1:15" ht="12" customHeight="1" x14ac:dyDescent="0.15">
      <c r="A624" s="110"/>
      <c r="B624" s="110"/>
      <c r="C624" s="110"/>
      <c r="D624" s="110"/>
      <c r="E624" s="110"/>
      <c r="F624" s="110"/>
      <c r="G624" s="110"/>
      <c r="H624" s="110"/>
      <c r="I624" s="110"/>
      <c r="J624" s="110"/>
      <c r="K624" s="110"/>
      <c r="L624" s="110"/>
      <c r="M624" s="110"/>
      <c r="N624" s="110"/>
      <c r="O624" s="110"/>
    </row>
    <row r="625" spans="1:15" ht="12" customHeight="1" x14ac:dyDescent="0.15">
      <c r="A625" s="110"/>
      <c r="B625" s="110"/>
      <c r="C625" s="110"/>
      <c r="D625" s="110"/>
      <c r="E625" s="110"/>
      <c r="F625" s="110"/>
      <c r="G625" s="110"/>
      <c r="H625" s="110"/>
      <c r="I625" s="110"/>
      <c r="J625" s="110"/>
      <c r="K625" s="110"/>
      <c r="L625" s="110"/>
      <c r="M625" s="110"/>
      <c r="N625" s="110"/>
      <c r="O625" s="110"/>
    </row>
    <row r="626" spans="1:15" ht="12" customHeight="1" x14ac:dyDescent="0.15">
      <c r="A626" s="110"/>
      <c r="B626" s="110"/>
      <c r="C626" s="110"/>
      <c r="D626" s="110"/>
      <c r="E626" s="110"/>
      <c r="F626" s="110"/>
      <c r="G626" s="110"/>
      <c r="H626" s="110"/>
      <c r="I626" s="110"/>
      <c r="J626" s="110"/>
      <c r="K626" s="110"/>
      <c r="L626" s="110"/>
      <c r="M626" s="110"/>
      <c r="N626" s="110"/>
      <c r="O626" s="110"/>
    </row>
    <row r="627" spans="1:15" ht="12" customHeight="1" x14ac:dyDescent="0.15">
      <c r="A627" s="110"/>
      <c r="B627" s="110"/>
      <c r="C627" s="110"/>
      <c r="D627" s="110"/>
      <c r="E627" s="110"/>
      <c r="F627" s="110"/>
      <c r="G627" s="110"/>
      <c r="H627" s="110"/>
      <c r="I627" s="110"/>
      <c r="J627" s="110"/>
      <c r="K627" s="110"/>
      <c r="L627" s="110"/>
      <c r="M627" s="110"/>
      <c r="N627" s="110"/>
      <c r="O627" s="110"/>
    </row>
    <row r="628" spans="1:15" ht="12" customHeight="1" x14ac:dyDescent="0.15">
      <c r="A628" s="110"/>
      <c r="B628" s="110"/>
      <c r="C628" s="110"/>
      <c r="D628" s="110"/>
      <c r="E628" s="110"/>
      <c r="F628" s="110"/>
      <c r="G628" s="110"/>
      <c r="H628" s="110"/>
      <c r="I628" s="110"/>
      <c r="J628" s="110"/>
      <c r="K628" s="110"/>
      <c r="L628" s="110"/>
      <c r="M628" s="110"/>
      <c r="N628" s="110"/>
      <c r="O628" s="110"/>
    </row>
    <row r="629" spans="1:15" ht="12" customHeight="1" x14ac:dyDescent="0.15">
      <c r="A629" s="110"/>
      <c r="B629" s="110"/>
      <c r="C629" s="110"/>
      <c r="D629" s="110"/>
      <c r="E629" s="110"/>
      <c r="F629" s="110"/>
      <c r="G629" s="110"/>
      <c r="H629" s="110"/>
      <c r="I629" s="110"/>
      <c r="J629" s="110"/>
      <c r="K629" s="110"/>
      <c r="L629" s="110"/>
      <c r="M629" s="110"/>
      <c r="N629" s="110"/>
      <c r="O629" s="110"/>
    </row>
    <row r="630" spans="1:15" ht="12" customHeight="1" x14ac:dyDescent="0.15">
      <c r="A630" s="110"/>
      <c r="B630" s="110"/>
      <c r="C630" s="110"/>
      <c r="D630" s="110"/>
      <c r="E630" s="110"/>
      <c r="F630" s="110"/>
      <c r="G630" s="110"/>
      <c r="H630" s="110"/>
      <c r="I630" s="110"/>
      <c r="J630" s="110"/>
      <c r="K630" s="110"/>
      <c r="L630" s="110"/>
      <c r="M630" s="110"/>
      <c r="N630" s="110"/>
      <c r="O630" s="110"/>
    </row>
    <row r="631" spans="1:15" ht="12" customHeight="1" x14ac:dyDescent="0.15">
      <c r="A631" s="110"/>
      <c r="B631" s="110"/>
      <c r="C631" s="110"/>
      <c r="D631" s="110"/>
      <c r="E631" s="110"/>
      <c r="F631" s="110"/>
      <c r="G631" s="110"/>
      <c r="H631" s="110"/>
      <c r="I631" s="110"/>
      <c r="J631" s="110"/>
      <c r="K631" s="110"/>
      <c r="L631" s="110"/>
      <c r="M631" s="110"/>
      <c r="N631" s="110"/>
      <c r="O631" s="110"/>
    </row>
    <row r="632" spans="1:15" ht="12" customHeight="1" x14ac:dyDescent="0.15">
      <c r="A632" s="110"/>
      <c r="B632" s="110"/>
      <c r="C632" s="110"/>
      <c r="D632" s="110"/>
      <c r="E632" s="110"/>
      <c r="F632" s="110"/>
      <c r="G632" s="110"/>
      <c r="H632" s="110"/>
      <c r="I632" s="110"/>
      <c r="J632" s="110"/>
      <c r="K632" s="110"/>
      <c r="L632" s="110"/>
      <c r="M632" s="110"/>
      <c r="N632" s="110"/>
      <c r="O632" s="110"/>
    </row>
    <row r="633" spans="1:15" ht="12" customHeight="1" x14ac:dyDescent="0.15">
      <c r="A633" s="110"/>
      <c r="B633" s="110"/>
      <c r="C633" s="110"/>
      <c r="D633" s="110"/>
      <c r="E633" s="110"/>
      <c r="F633" s="110"/>
      <c r="G633" s="110"/>
      <c r="H633" s="110"/>
      <c r="I633" s="110"/>
      <c r="J633" s="110"/>
      <c r="K633" s="110"/>
      <c r="L633" s="110"/>
      <c r="M633" s="110"/>
      <c r="N633" s="110"/>
      <c r="O633" s="110"/>
    </row>
    <row r="634" spans="1:15" ht="12" customHeight="1" x14ac:dyDescent="0.15">
      <c r="A634" s="110"/>
      <c r="B634" s="110"/>
      <c r="C634" s="110"/>
      <c r="D634" s="110"/>
      <c r="E634" s="110"/>
      <c r="F634" s="110"/>
      <c r="G634" s="110"/>
      <c r="H634" s="110"/>
      <c r="I634" s="110"/>
      <c r="J634" s="110"/>
      <c r="K634" s="110"/>
      <c r="L634" s="110"/>
      <c r="M634" s="110"/>
      <c r="N634" s="110"/>
      <c r="O634" s="110"/>
    </row>
    <row r="635" spans="1:15" ht="12" customHeight="1" x14ac:dyDescent="0.15">
      <c r="A635" s="110"/>
      <c r="B635" s="110"/>
      <c r="C635" s="110"/>
      <c r="D635" s="110"/>
      <c r="E635" s="110"/>
      <c r="F635" s="110"/>
      <c r="G635" s="110"/>
      <c r="H635" s="110"/>
      <c r="I635" s="110"/>
      <c r="J635" s="110"/>
      <c r="K635" s="110"/>
      <c r="L635" s="110"/>
      <c r="M635" s="110"/>
      <c r="N635" s="110"/>
      <c r="O635" s="110"/>
    </row>
    <row r="636" spans="1:15" ht="12" customHeight="1" x14ac:dyDescent="0.15">
      <c r="A636" s="110"/>
      <c r="B636" s="110"/>
      <c r="C636" s="110"/>
      <c r="D636" s="110"/>
      <c r="E636" s="110"/>
      <c r="F636" s="110"/>
      <c r="G636" s="110"/>
      <c r="H636" s="110"/>
      <c r="I636" s="110"/>
      <c r="J636" s="110"/>
      <c r="K636" s="110"/>
      <c r="L636" s="110"/>
      <c r="M636" s="110"/>
      <c r="N636" s="110"/>
      <c r="O636" s="110"/>
    </row>
    <row r="637" spans="1:15" ht="12" customHeight="1" x14ac:dyDescent="0.15">
      <c r="A637" s="110"/>
      <c r="B637" s="110"/>
      <c r="C637" s="110"/>
      <c r="D637" s="110"/>
      <c r="E637" s="110"/>
      <c r="F637" s="110"/>
      <c r="G637" s="110"/>
      <c r="H637" s="110"/>
      <c r="I637" s="110"/>
      <c r="J637" s="110"/>
      <c r="K637" s="110"/>
      <c r="L637" s="110"/>
      <c r="M637" s="110"/>
      <c r="N637" s="110"/>
      <c r="O637" s="110"/>
    </row>
    <row r="638" spans="1:15" ht="12" customHeight="1" x14ac:dyDescent="0.15">
      <c r="A638" s="110"/>
      <c r="B638" s="110"/>
      <c r="C638" s="110"/>
      <c r="D638" s="110"/>
      <c r="E638" s="110"/>
      <c r="F638" s="110"/>
      <c r="G638" s="110"/>
      <c r="H638" s="110"/>
      <c r="I638" s="110"/>
      <c r="J638" s="110"/>
      <c r="K638" s="110"/>
      <c r="L638" s="110"/>
      <c r="M638" s="110"/>
      <c r="N638" s="110"/>
      <c r="O638" s="110"/>
    </row>
    <row r="639" spans="1:15" ht="12" customHeight="1" x14ac:dyDescent="0.15">
      <c r="A639" s="110"/>
      <c r="B639" s="110"/>
      <c r="C639" s="110"/>
      <c r="D639" s="110"/>
      <c r="E639" s="110"/>
      <c r="F639" s="110"/>
      <c r="G639" s="110"/>
      <c r="H639" s="110"/>
      <c r="I639" s="110"/>
      <c r="J639" s="110"/>
      <c r="K639" s="110"/>
      <c r="L639" s="110"/>
      <c r="M639" s="110"/>
      <c r="N639" s="110"/>
      <c r="O639" s="110"/>
    </row>
    <row r="640" spans="1:15" ht="12" customHeight="1" x14ac:dyDescent="0.15">
      <c r="A640" s="110"/>
      <c r="B640" s="110"/>
      <c r="C640" s="110"/>
      <c r="D640" s="110"/>
      <c r="E640" s="110"/>
      <c r="F640" s="110"/>
      <c r="G640" s="110"/>
      <c r="H640" s="110"/>
      <c r="I640" s="110"/>
      <c r="J640" s="110"/>
      <c r="K640" s="110"/>
      <c r="L640" s="110"/>
      <c r="M640" s="110"/>
      <c r="N640" s="110"/>
      <c r="O640" s="110"/>
    </row>
    <row r="641" spans="1:15" ht="12" customHeight="1" x14ac:dyDescent="0.15">
      <c r="A641" s="110"/>
      <c r="B641" s="110"/>
      <c r="C641" s="110"/>
      <c r="D641" s="110"/>
      <c r="E641" s="110"/>
      <c r="F641" s="110"/>
      <c r="G641" s="110"/>
      <c r="H641" s="110"/>
      <c r="I641" s="110"/>
      <c r="J641" s="110"/>
      <c r="K641" s="110"/>
      <c r="L641" s="110"/>
      <c r="M641" s="110"/>
      <c r="N641" s="110"/>
      <c r="O641" s="110"/>
    </row>
    <row r="642" spans="1:15" ht="12" customHeight="1" x14ac:dyDescent="0.15">
      <c r="A642" s="110"/>
      <c r="B642" s="110"/>
      <c r="C642" s="110"/>
      <c r="D642" s="110"/>
      <c r="E642" s="110"/>
      <c r="F642" s="110"/>
      <c r="G642" s="110"/>
      <c r="H642" s="110"/>
      <c r="I642" s="110"/>
      <c r="J642" s="110"/>
      <c r="K642" s="110"/>
      <c r="L642" s="110"/>
      <c r="M642" s="110"/>
      <c r="N642" s="110"/>
      <c r="O642" s="110"/>
    </row>
    <row r="643" spans="1:15" ht="12" customHeight="1" x14ac:dyDescent="0.15">
      <c r="A643" s="110"/>
      <c r="B643" s="110"/>
      <c r="C643" s="110"/>
      <c r="D643" s="110"/>
      <c r="E643" s="110"/>
      <c r="F643" s="110"/>
      <c r="G643" s="110"/>
      <c r="H643" s="110"/>
      <c r="I643" s="110"/>
      <c r="J643" s="110"/>
      <c r="K643" s="110"/>
      <c r="L643" s="110"/>
      <c r="M643" s="110"/>
      <c r="N643" s="110"/>
      <c r="O643" s="110"/>
    </row>
    <row r="644" spans="1:15" ht="12" customHeight="1" x14ac:dyDescent="0.15">
      <c r="A644" s="110"/>
      <c r="B644" s="110"/>
      <c r="C644" s="110"/>
      <c r="D644" s="110"/>
      <c r="E644" s="110"/>
      <c r="F644" s="110"/>
      <c r="G644" s="110"/>
      <c r="H644" s="110"/>
      <c r="I644" s="110"/>
      <c r="J644" s="110"/>
      <c r="K644" s="110"/>
      <c r="L644" s="110"/>
      <c r="M644" s="110"/>
      <c r="N644" s="110"/>
      <c r="O644" s="110"/>
    </row>
    <row r="645" spans="1:15" ht="12" customHeight="1" x14ac:dyDescent="0.15">
      <c r="A645" s="110"/>
      <c r="B645" s="110"/>
      <c r="C645" s="110"/>
      <c r="D645" s="110"/>
      <c r="E645" s="110"/>
      <c r="F645" s="110"/>
      <c r="G645" s="110"/>
      <c r="H645" s="110"/>
      <c r="I645" s="110"/>
      <c r="J645" s="110"/>
      <c r="K645" s="110"/>
      <c r="L645" s="110"/>
      <c r="M645" s="110"/>
      <c r="N645" s="110"/>
      <c r="O645" s="110"/>
    </row>
    <row r="646" spans="1:15" ht="12" customHeight="1" x14ac:dyDescent="0.15">
      <c r="A646" s="110"/>
      <c r="B646" s="110"/>
      <c r="C646" s="110"/>
      <c r="D646" s="110"/>
      <c r="E646" s="110"/>
      <c r="F646" s="110"/>
      <c r="G646" s="110"/>
      <c r="H646" s="110"/>
      <c r="I646" s="110"/>
      <c r="J646" s="110"/>
      <c r="K646" s="110"/>
      <c r="L646" s="110"/>
      <c r="M646" s="110"/>
      <c r="N646" s="110"/>
      <c r="O646" s="110"/>
    </row>
    <row r="647" spans="1:15" ht="12" customHeight="1" x14ac:dyDescent="0.15">
      <c r="A647" s="110"/>
      <c r="B647" s="110"/>
      <c r="C647" s="110"/>
      <c r="D647" s="110"/>
      <c r="E647" s="110"/>
      <c r="F647" s="110"/>
      <c r="G647" s="110"/>
      <c r="H647" s="110"/>
      <c r="I647" s="110"/>
      <c r="J647" s="110"/>
      <c r="K647" s="110"/>
      <c r="L647" s="110"/>
      <c r="M647" s="110"/>
      <c r="N647" s="110"/>
      <c r="O647" s="110"/>
    </row>
    <row r="648" spans="1:15" ht="12" customHeight="1" x14ac:dyDescent="0.15">
      <c r="A648" s="110"/>
      <c r="B648" s="110"/>
      <c r="C648" s="110"/>
      <c r="D648" s="110"/>
      <c r="E648" s="110"/>
      <c r="F648" s="110"/>
      <c r="G648" s="110"/>
      <c r="H648" s="110"/>
      <c r="I648" s="110"/>
      <c r="J648" s="110"/>
      <c r="K648" s="110"/>
      <c r="L648" s="110"/>
      <c r="M648" s="110"/>
      <c r="N648" s="110"/>
      <c r="O648" s="110"/>
    </row>
    <row r="649" spans="1:15" ht="12" customHeight="1" x14ac:dyDescent="0.15">
      <c r="A649" s="110"/>
      <c r="B649" s="110"/>
      <c r="C649" s="110"/>
      <c r="D649" s="110"/>
      <c r="E649" s="110"/>
      <c r="F649" s="110"/>
      <c r="G649" s="110"/>
      <c r="H649" s="110"/>
      <c r="I649" s="110"/>
      <c r="J649" s="110"/>
      <c r="K649" s="110"/>
      <c r="L649" s="110"/>
      <c r="M649" s="110"/>
      <c r="N649" s="110"/>
      <c r="O649" s="110"/>
    </row>
    <row r="650" spans="1:15" ht="12" customHeight="1" x14ac:dyDescent="0.15">
      <c r="A650" s="110"/>
      <c r="B650" s="110"/>
      <c r="C650" s="110"/>
      <c r="D650" s="110"/>
      <c r="E650" s="110"/>
      <c r="F650" s="110"/>
      <c r="G650" s="110"/>
      <c r="H650" s="110"/>
      <c r="I650" s="110"/>
      <c r="J650" s="110"/>
      <c r="K650" s="110"/>
      <c r="L650" s="110"/>
      <c r="M650" s="110"/>
      <c r="N650" s="110"/>
      <c r="O650" s="110"/>
    </row>
    <row r="651" spans="1:15" ht="12" customHeight="1" x14ac:dyDescent="0.15">
      <c r="A651" s="110"/>
      <c r="B651" s="110"/>
      <c r="C651" s="110"/>
      <c r="D651" s="110"/>
      <c r="E651" s="110"/>
      <c r="F651" s="110"/>
      <c r="G651" s="110"/>
      <c r="H651" s="110"/>
      <c r="I651" s="110"/>
      <c r="J651" s="110"/>
      <c r="K651" s="110"/>
      <c r="L651" s="110"/>
      <c r="M651" s="110"/>
      <c r="N651" s="110"/>
      <c r="O651" s="110"/>
    </row>
    <row r="652" spans="1:15" ht="12" customHeight="1" x14ac:dyDescent="0.15">
      <c r="A652" s="110"/>
      <c r="B652" s="110"/>
      <c r="C652" s="110"/>
      <c r="D652" s="110"/>
      <c r="E652" s="110"/>
      <c r="F652" s="110"/>
      <c r="G652" s="110"/>
      <c r="H652" s="110"/>
      <c r="I652" s="110"/>
      <c r="J652" s="110"/>
      <c r="K652" s="110"/>
      <c r="L652" s="110"/>
      <c r="M652" s="110"/>
      <c r="N652" s="110"/>
      <c r="O652" s="110"/>
    </row>
    <row r="653" spans="1:15" ht="12" customHeight="1" x14ac:dyDescent="0.15">
      <c r="A653" s="110"/>
      <c r="B653" s="110"/>
      <c r="C653" s="110"/>
      <c r="D653" s="110"/>
      <c r="E653" s="110"/>
      <c r="F653" s="110"/>
      <c r="G653" s="110"/>
      <c r="H653" s="110"/>
      <c r="I653" s="110"/>
      <c r="J653" s="110"/>
      <c r="K653" s="110"/>
      <c r="L653" s="110"/>
      <c r="M653" s="110"/>
      <c r="N653" s="110"/>
      <c r="O653" s="110"/>
    </row>
    <row r="654" spans="1:15" ht="12" customHeight="1" x14ac:dyDescent="0.15">
      <c r="A654" s="110"/>
      <c r="B654" s="110"/>
      <c r="C654" s="110"/>
      <c r="D654" s="110"/>
      <c r="E654" s="110"/>
      <c r="F654" s="110"/>
      <c r="G654" s="110"/>
      <c r="H654" s="110"/>
      <c r="I654" s="110"/>
      <c r="J654" s="110"/>
      <c r="K654" s="110"/>
      <c r="L654" s="110"/>
      <c r="M654" s="110"/>
      <c r="N654" s="110"/>
      <c r="O654" s="110"/>
    </row>
    <row r="655" spans="1:15" ht="12" customHeight="1" x14ac:dyDescent="0.15">
      <c r="A655" s="110"/>
      <c r="B655" s="110"/>
      <c r="C655" s="110"/>
      <c r="D655" s="110"/>
      <c r="E655" s="110"/>
      <c r="F655" s="110"/>
      <c r="G655" s="110"/>
      <c r="H655" s="110"/>
      <c r="I655" s="110"/>
      <c r="J655" s="110"/>
      <c r="K655" s="110"/>
      <c r="L655" s="110"/>
      <c r="M655" s="110"/>
      <c r="N655" s="110"/>
      <c r="O655" s="110"/>
    </row>
    <row r="656" spans="1:15" ht="12" customHeight="1" x14ac:dyDescent="0.15">
      <c r="A656" s="110"/>
      <c r="B656" s="110"/>
      <c r="C656" s="110"/>
      <c r="D656" s="110"/>
      <c r="E656" s="110"/>
      <c r="F656" s="110"/>
      <c r="G656" s="110"/>
      <c r="H656" s="110"/>
      <c r="I656" s="110"/>
      <c r="J656" s="110"/>
      <c r="K656" s="110"/>
      <c r="L656" s="110"/>
      <c r="M656" s="110"/>
      <c r="N656" s="110"/>
      <c r="O656" s="110"/>
    </row>
    <row r="657" spans="1:15" ht="12" customHeight="1" x14ac:dyDescent="0.15">
      <c r="A657" s="110"/>
      <c r="B657" s="110"/>
      <c r="C657" s="110"/>
      <c r="D657" s="110"/>
      <c r="E657" s="110"/>
      <c r="F657" s="110"/>
      <c r="G657" s="110"/>
      <c r="H657" s="110"/>
      <c r="I657" s="110"/>
      <c r="J657" s="110"/>
      <c r="K657" s="110"/>
      <c r="L657" s="110"/>
      <c r="M657" s="110"/>
      <c r="N657" s="110"/>
      <c r="O657" s="110"/>
    </row>
    <row r="658" spans="1:15" ht="12" customHeight="1" x14ac:dyDescent="0.15">
      <c r="A658" s="110"/>
      <c r="B658" s="110"/>
      <c r="C658" s="110"/>
      <c r="D658" s="110"/>
      <c r="E658" s="110"/>
      <c r="F658" s="110"/>
      <c r="G658" s="110"/>
      <c r="H658" s="110"/>
      <c r="I658" s="110"/>
      <c r="J658" s="110"/>
      <c r="K658" s="110"/>
      <c r="L658" s="110"/>
      <c r="M658" s="110"/>
      <c r="N658" s="110"/>
      <c r="O658" s="110"/>
    </row>
    <row r="659" spans="1:15" ht="12" customHeight="1" x14ac:dyDescent="0.15">
      <c r="A659" s="110"/>
      <c r="B659" s="110"/>
      <c r="C659" s="110"/>
      <c r="D659" s="110"/>
      <c r="E659" s="110"/>
      <c r="F659" s="110"/>
      <c r="G659" s="110"/>
      <c r="H659" s="110"/>
      <c r="I659" s="110"/>
      <c r="J659" s="110"/>
      <c r="K659" s="110"/>
      <c r="L659" s="110"/>
      <c r="M659" s="110"/>
      <c r="N659" s="110"/>
      <c r="O659" s="110"/>
    </row>
    <row r="660" spans="1:15" ht="12" customHeight="1" x14ac:dyDescent="0.15">
      <c r="A660" s="110"/>
      <c r="B660" s="110"/>
      <c r="C660" s="110"/>
      <c r="D660" s="110"/>
      <c r="E660" s="110"/>
      <c r="F660" s="110"/>
      <c r="G660" s="110"/>
      <c r="H660" s="110"/>
      <c r="I660" s="110"/>
      <c r="J660" s="110"/>
      <c r="K660" s="110"/>
      <c r="L660" s="110"/>
      <c r="M660" s="110"/>
      <c r="N660" s="110"/>
      <c r="O660" s="110"/>
    </row>
    <row r="661" spans="1:15" ht="12" customHeight="1" x14ac:dyDescent="0.15">
      <c r="A661" s="110"/>
      <c r="B661" s="110"/>
      <c r="C661" s="110"/>
      <c r="D661" s="110"/>
      <c r="E661" s="110"/>
      <c r="F661" s="110"/>
      <c r="G661" s="110"/>
      <c r="H661" s="110"/>
      <c r="I661" s="110"/>
      <c r="J661" s="110"/>
      <c r="K661" s="110"/>
      <c r="L661" s="110"/>
      <c r="M661" s="110"/>
      <c r="N661" s="110"/>
      <c r="O661" s="110"/>
    </row>
    <row r="662" spans="1:15" ht="12" customHeight="1" x14ac:dyDescent="0.15">
      <c r="A662" s="110"/>
      <c r="B662" s="110"/>
      <c r="C662" s="110"/>
      <c r="D662" s="110"/>
      <c r="E662" s="110"/>
      <c r="F662" s="110"/>
      <c r="G662" s="110"/>
      <c r="H662" s="110"/>
      <c r="I662" s="110"/>
      <c r="J662" s="110"/>
      <c r="K662" s="110"/>
      <c r="L662" s="110"/>
      <c r="M662" s="110"/>
      <c r="N662" s="110"/>
      <c r="O662" s="110"/>
    </row>
    <row r="663" spans="1:15" ht="12" customHeight="1" x14ac:dyDescent="0.15">
      <c r="A663" s="110"/>
      <c r="B663" s="110"/>
      <c r="C663" s="110"/>
      <c r="D663" s="110"/>
      <c r="E663" s="110"/>
      <c r="F663" s="110"/>
      <c r="G663" s="110"/>
      <c r="H663" s="110"/>
      <c r="I663" s="110"/>
      <c r="J663" s="110"/>
      <c r="K663" s="110"/>
      <c r="L663" s="110"/>
      <c r="M663" s="110"/>
      <c r="N663" s="110"/>
      <c r="O663" s="110"/>
    </row>
    <row r="664" spans="1:15" ht="12" customHeight="1" x14ac:dyDescent="0.15">
      <c r="A664" s="110"/>
      <c r="B664" s="110"/>
      <c r="C664" s="110"/>
      <c r="D664" s="110"/>
      <c r="E664" s="110"/>
      <c r="F664" s="110"/>
      <c r="G664" s="110"/>
      <c r="H664" s="110"/>
      <c r="I664" s="110"/>
      <c r="J664" s="110"/>
      <c r="K664" s="110"/>
      <c r="L664" s="110"/>
      <c r="M664" s="110"/>
      <c r="N664" s="110"/>
      <c r="O664" s="110"/>
    </row>
    <row r="665" spans="1:15" ht="12" customHeight="1" x14ac:dyDescent="0.15">
      <c r="A665" s="110"/>
      <c r="B665" s="110"/>
      <c r="C665" s="110"/>
      <c r="D665" s="110"/>
      <c r="E665" s="110"/>
      <c r="F665" s="110"/>
      <c r="G665" s="110"/>
      <c r="H665" s="110"/>
      <c r="I665" s="110"/>
      <c r="J665" s="110"/>
      <c r="K665" s="110"/>
      <c r="L665" s="110"/>
      <c r="M665" s="110"/>
      <c r="N665" s="110"/>
      <c r="O665" s="110"/>
    </row>
    <row r="666" spans="1:15" ht="12" customHeight="1" x14ac:dyDescent="0.15">
      <c r="A666" s="110"/>
      <c r="B666" s="110"/>
      <c r="C666" s="110"/>
      <c r="D666" s="110"/>
      <c r="E666" s="110"/>
      <c r="F666" s="110"/>
      <c r="G666" s="110"/>
      <c r="H666" s="110"/>
      <c r="I666" s="110"/>
      <c r="J666" s="110"/>
      <c r="K666" s="110"/>
      <c r="L666" s="110"/>
      <c r="M666" s="110"/>
      <c r="N666" s="110"/>
      <c r="O666" s="110"/>
    </row>
    <row r="667" spans="1:15" ht="12" customHeight="1" x14ac:dyDescent="0.15">
      <c r="A667" s="110"/>
      <c r="B667" s="110"/>
      <c r="C667" s="110"/>
      <c r="D667" s="110"/>
      <c r="E667" s="110"/>
      <c r="F667" s="110"/>
      <c r="G667" s="110"/>
      <c r="H667" s="110"/>
      <c r="I667" s="110"/>
      <c r="J667" s="110"/>
      <c r="K667" s="110"/>
      <c r="L667" s="110"/>
      <c r="M667" s="110"/>
      <c r="N667" s="110"/>
      <c r="O667" s="110"/>
    </row>
    <row r="668" spans="1:15" ht="12" customHeight="1" x14ac:dyDescent="0.15">
      <c r="A668" s="110"/>
      <c r="B668" s="110"/>
      <c r="C668" s="110"/>
      <c r="D668" s="110"/>
      <c r="E668" s="110"/>
      <c r="F668" s="110"/>
      <c r="G668" s="110"/>
      <c r="H668" s="110"/>
      <c r="I668" s="110"/>
      <c r="J668" s="110"/>
      <c r="K668" s="110"/>
      <c r="L668" s="110"/>
      <c r="M668" s="110"/>
      <c r="N668" s="110"/>
      <c r="O668" s="110"/>
    </row>
    <row r="669" spans="1:15" ht="12" customHeight="1" x14ac:dyDescent="0.15">
      <c r="A669" s="110"/>
      <c r="B669" s="110"/>
      <c r="C669" s="110"/>
      <c r="D669" s="110"/>
      <c r="E669" s="110"/>
      <c r="F669" s="110"/>
      <c r="G669" s="110"/>
      <c r="H669" s="110"/>
      <c r="I669" s="110"/>
      <c r="J669" s="110"/>
      <c r="K669" s="110"/>
      <c r="L669" s="110"/>
      <c r="M669" s="110"/>
      <c r="N669" s="110"/>
      <c r="O669" s="110"/>
    </row>
    <row r="670" spans="1:15" ht="12" customHeight="1" x14ac:dyDescent="0.15">
      <c r="A670" s="110"/>
      <c r="B670" s="110"/>
      <c r="C670" s="110"/>
      <c r="D670" s="110"/>
      <c r="E670" s="110"/>
      <c r="F670" s="110"/>
      <c r="G670" s="110"/>
      <c r="H670" s="110"/>
      <c r="I670" s="110"/>
      <c r="J670" s="110"/>
      <c r="K670" s="110"/>
      <c r="L670" s="110"/>
      <c r="M670" s="110"/>
      <c r="N670" s="110"/>
      <c r="O670" s="110"/>
    </row>
    <row r="671" spans="1:15" ht="12" customHeight="1" x14ac:dyDescent="0.15">
      <c r="A671" s="110"/>
      <c r="B671" s="110"/>
      <c r="C671" s="110"/>
      <c r="D671" s="110"/>
      <c r="E671" s="110"/>
      <c r="F671" s="110"/>
      <c r="G671" s="110"/>
      <c r="H671" s="110"/>
      <c r="I671" s="110"/>
      <c r="J671" s="110"/>
      <c r="K671" s="110"/>
      <c r="L671" s="110"/>
      <c r="M671" s="110"/>
      <c r="N671" s="110"/>
      <c r="O671" s="110"/>
    </row>
    <row r="672" spans="1:15" ht="12" customHeight="1" x14ac:dyDescent="0.15">
      <c r="A672" s="110"/>
      <c r="B672" s="110"/>
      <c r="C672" s="110"/>
      <c r="D672" s="110"/>
      <c r="E672" s="110"/>
      <c r="F672" s="110"/>
      <c r="G672" s="110"/>
      <c r="H672" s="110"/>
      <c r="I672" s="110"/>
      <c r="J672" s="110"/>
      <c r="K672" s="110"/>
      <c r="L672" s="110"/>
      <c r="M672" s="110"/>
      <c r="N672" s="110"/>
      <c r="O672" s="110"/>
    </row>
    <row r="673" spans="1:15" ht="12" customHeight="1" x14ac:dyDescent="0.15">
      <c r="A673" s="110"/>
      <c r="B673" s="110"/>
      <c r="C673" s="110"/>
      <c r="D673" s="110"/>
      <c r="E673" s="110"/>
      <c r="F673" s="110"/>
      <c r="G673" s="110"/>
      <c r="H673" s="110"/>
      <c r="I673" s="110"/>
      <c r="J673" s="110"/>
      <c r="K673" s="110"/>
      <c r="L673" s="110"/>
      <c r="M673" s="110"/>
      <c r="N673" s="110"/>
      <c r="O673" s="110"/>
    </row>
    <row r="674" spans="1:15" ht="12" customHeight="1" x14ac:dyDescent="0.15">
      <c r="A674" s="110"/>
      <c r="B674" s="110"/>
      <c r="C674" s="110"/>
      <c r="D674" s="110"/>
      <c r="E674" s="110"/>
      <c r="F674" s="110"/>
      <c r="G674" s="110"/>
      <c r="H674" s="110"/>
      <c r="I674" s="110"/>
      <c r="J674" s="110"/>
      <c r="K674" s="110"/>
      <c r="L674" s="110"/>
      <c r="M674" s="110"/>
      <c r="N674" s="110"/>
      <c r="O674" s="110"/>
    </row>
    <row r="675" spans="1:15" ht="12" customHeight="1" x14ac:dyDescent="0.15">
      <c r="A675" s="110"/>
      <c r="B675" s="110"/>
      <c r="C675" s="110"/>
      <c r="D675" s="110"/>
      <c r="E675" s="110"/>
      <c r="F675" s="110"/>
      <c r="G675" s="110"/>
      <c r="H675" s="110"/>
      <c r="I675" s="110"/>
      <c r="J675" s="110"/>
      <c r="K675" s="110"/>
      <c r="L675" s="110"/>
      <c r="M675" s="110"/>
      <c r="N675" s="110"/>
      <c r="O675" s="110"/>
    </row>
    <row r="676" spans="1:15" ht="12" customHeight="1" x14ac:dyDescent="0.15">
      <c r="A676" s="110"/>
      <c r="B676" s="110"/>
      <c r="C676" s="110"/>
      <c r="D676" s="110"/>
      <c r="E676" s="110"/>
      <c r="F676" s="110"/>
      <c r="G676" s="110"/>
      <c r="H676" s="110"/>
      <c r="I676" s="110"/>
      <c r="J676" s="110"/>
      <c r="K676" s="110"/>
      <c r="L676" s="110"/>
      <c r="M676" s="110"/>
      <c r="N676" s="110"/>
      <c r="O676" s="110"/>
    </row>
    <row r="677" spans="1:15" ht="12" customHeight="1" x14ac:dyDescent="0.15">
      <c r="A677" s="110"/>
      <c r="B677" s="110"/>
      <c r="C677" s="110"/>
      <c r="D677" s="110"/>
      <c r="E677" s="110"/>
      <c r="F677" s="110"/>
      <c r="G677" s="110"/>
      <c r="H677" s="110"/>
      <c r="I677" s="110"/>
      <c r="J677" s="110"/>
      <c r="K677" s="110"/>
      <c r="L677" s="110"/>
      <c r="M677" s="110"/>
      <c r="N677" s="110"/>
      <c r="O677" s="110"/>
    </row>
    <row r="678" spans="1:15" ht="12" customHeight="1" x14ac:dyDescent="0.15">
      <c r="A678" s="110"/>
      <c r="B678" s="110"/>
      <c r="C678" s="110"/>
      <c r="D678" s="110"/>
      <c r="E678" s="110"/>
      <c r="F678" s="110"/>
      <c r="G678" s="110"/>
      <c r="H678" s="110"/>
      <c r="I678" s="110"/>
      <c r="J678" s="110"/>
      <c r="K678" s="110"/>
      <c r="L678" s="110"/>
      <c r="M678" s="110"/>
      <c r="N678" s="110"/>
      <c r="O678" s="110"/>
    </row>
    <row r="679" spans="1:15" ht="12" customHeight="1" x14ac:dyDescent="0.15">
      <c r="A679" s="110"/>
      <c r="B679" s="110"/>
      <c r="C679" s="110"/>
      <c r="D679" s="110"/>
      <c r="E679" s="110"/>
      <c r="F679" s="110"/>
      <c r="G679" s="110"/>
      <c r="H679" s="110"/>
      <c r="I679" s="110"/>
      <c r="J679" s="110"/>
      <c r="K679" s="110"/>
      <c r="L679" s="110"/>
      <c r="M679" s="110"/>
      <c r="N679" s="110"/>
      <c r="O679" s="110"/>
    </row>
    <row r="680" spans="1:15" ht="12" customHeight="1" x14ac:dyDescent="0.15">
      <c r="A680" s="110"/>
      <c r="B680" s="110"/>
      <c r="C680" s="110"/>
      <c r="D680" s="110"/>
      <c r="E680" s="110"/>
      <c r="F680" s="110"/>
      <c r="G680" s="110"/>
      <c r="H680" s="110"/>
      <c r="I680" s="110"/>
      <c r="J680" s="110"/>
      <c r="K680" s="110"/>
      <c r="L680" s="110"/>
      <c r="M680" s="110"/>
      <c r="N680" s="110"/>
      <c r="O680" s="110"/>
    </row>
    <row r="681" spans="1:15" ht="12" customHeight="1" x14ac:dyDescent="0.15">
      <c r="A681" s="110"/>
      <c r="B681" s="110"/>
      <c r="C681" s="110"/>
      <c r="D681" s="110"/>
      <c r="E681" s="110"/>
      <c r="F681" s="110"/>
      <c r="G681" s="110"/>
      <c r="H681" s="110"/>
      <c r="I681" s="110"/>
      <c r="J681" s="110"/>
      <c r="K681" s="110"/>
      <c r="L681" s="110"/>
      <c r="M681" s="110"/>
      <c r="N681" s="110"/>
      <c r="O681" s="110"/>
    </row>
    <row r="682" spans="1:15" ht="12" customHeight="1" x14ac:dyDescent="0.15">
      <c r="A682" s="110"/>
      <c r="B682" s="110"/>
      <c r="C682" s="110"/>
      <c r="D682" s="110"/>
      <c r="E682" s="110"/>
      <c r="F682" s="110"/>
      <c r="G682" s="110"/>
      <c r="H682" s="110"/>
      <c r="I682" s="110"/>
      <c r="J682" s="110"/>
      <c r="K682" s="110"/>
      <c r="L682" s="110"/>
      <c r="M682" s="110"/>
      <c r="N682" s="110"/>
      <c r="O682" s="110"/>
    </row>
    <row r="683" spans="1:15" ht="12" customHeight="1" x14ac:dyDescent="0.15">
      <c r="A683" s="110"/>
      <c r="B683" s="110"/>
      <c r="C683" s="110"/>
      <c r="D683" s="110"/>
      <c r="E683" s="110"/>
      <c r="F683" s="110"/>
      <c r="G683" s="110"/>
      <c r="H683" s="110"/>
      <c r="I683" s="110"/>
      <c r="J683" s="110"/>
      <c r="K683" s="110"/>
      <c r="L683" s="110"/>
      <c r="M683" s="110"/>
      <c r="N683" s="110"/>
      <c r="O683" s="110"/>
    </row>
    <row r="684" spans="1:15" ht="12" customHeight="1" x14ac:dyDescent="0.15">
      <c r="A684" s="110"/>
      <c r="B684" s="110"/>
      <c r="C684" s="110"/>
      <c r="D684" s="110"/>
      <c r="E684" s="110"/>
      <c r="F684" s="110"/>
      <c r="G684" s="110"/>
      <c r="H684" s="110"/>
      <c r="I684" s="110"/>
      <c r="J684" s="110"/>
      <c r="K684" s="110"/>
      <c r="L684" s="110"/>
      <c r="M684" s="110"/>
      <c r="N684" s="110"/>
      <c r="O684" s="110"/>
    </row>
    <row r="685" spans="1:15" ht="12" customHeight="1" x14ac:dyDescent="0.15">
      <c r="A685" s="110"/>
      <c r="B685" s="110"/>
      <c r="C685" s="110"/>
      <c r="D685" s="110"/>
      <c r="E685" s="110"/>
      <c r="F685" s="110"/>
      <c r="G685" s="110"/>
      <c r="H685" s="110"/>
      <c r="I685" s="110"/>
      <c r="J685" s="110"/>
      <c r="K685" s="110"/>
      <c r="L685" s="110"/>
      <c r="M685" s="110"/>
      <c r="N685" s="110"/>
      <c r="O685" s="110"/>
    </row>
    <row r="686" spans="1:15" ht="12" customHeight="1" x14ac:dyDescent="0.15">
      <c r="A686" s="110"/>
      <c r="B686" s="110"/>
      <c r="C686" s="110"/>
      <c r="D686" s="110"/>
      <c r="E686" s="110"/>
      <c r="F686" s="110"/>
      <c r="G686" s="110"/>
      <c r="H686" s="110"/>
      <c r="I686" s="110"/>
      <c r="J686" s="110"/>
      <c r="K686" s="110"/>
      <c r="L686" s="110"/>
      <c r="M686" s="110"/>
      <c r="N686" s="110"/>
      <c r="O686" s="110"/>
    </row>
    <row r="687" spans="1:15" ht="12" customHeight="1" x14ac:dyDescent="0.15">
      <c r="A687" s="110"/>
      <c r="B687" s="110"/>
      <c r="C687" s="110"/>
      <c r="D687" s="110"/>
      <c r="E687" s="110"/>
      <c r="F687" s="110"/>
      <c r="G687" s="110"/>
      <c r="H687" s="110"/>
      <c r="I687" s="110"/>
      <c r="J687" s="110"/>
      <c r="K687" s="110"/>
      <c r="L687" s="110"/>
      <c r="M687" s="110"/>
      <c r="N687" s="110"/>
      <c r="O687" s="110"/>
    </row>
    <row r="688" spans="1:15" ht="12" customHeight="1" x14ac:dyDescent="0.15">
      <c r="A688" s="110"/>
      <c r="B688" s="110"/>
      <c r="C688" s="110"/>
      <c r="D688" s="110"/>
      <c r="E688" s="110"/>
      <c r="F688" s="110"/>
      <c r="G688" s="110"/>
      <c r="H688" s="110"/>
      <c r="I688" s="110"/>
      <c r="J688" s="110"/>
      <c r="K688" s="110"/>
      <c r="L688" s="110"/>
      <c r="M688" s="110"/>
      <c r="N688" s="110"/>
      <c r="O688" s="110"/>
    </row>
    <row r="689" spans="1:15" ht="12" customHeight="1" x14ac:dyDescent="0.15">
      <c r="A689" s="110"/>
      <c r="B689" s="110"/>
      <c r="C689" s="110"/>
      <c r="D689" s="110"/>
      <c r="E689" s="110"/>
      <c r="F689" s="110"/>
      <c r="G689" s="110"/>
      <c r="H689" s="110"/>
      <c r="I689" s="110"/>
      <c r="J689" s="110"/>
      <c r="K689" s="110"/>
      <c r="L689" s="110"/>
      <c r="M689" s="110"/>
      <c r="N689" s="110"/>
      <c r="O689" s="110"/>
    </row>
    <row r="690" spans="1:15" ht="12" customHeight="1" x14ac:dyDescent="0.15">
      <c r="A690" s="110"/>
      <c r="B690" s="110"/>
      <c r="C690" s="110"/>
      <c r="D690" s="110"/>
      <c r="E690" s="110"/>
      <c r="F690" s="110"/>
      <c r="G690" s="110"/>
      <c r="H690" s="110"/>
      <c r="I690" s="110"/>
      <c r="J690" s="110"/>
      <c r="K690" s="110"/>
      <c r="L690" s="110"/>
      <c r="M690" s="110"/>
      <c r="N690" s="110"/>
      <c r="O690" s="110"/>
    </row>
    <row r="691" spans="1:15" ht="12" customHeight="1" x14ac:dyDescent="0.15">
      <c r="A691" s="110"/>
      <c r="B691" s="110"/>
      <c r="C691" s="110"/>
      <c r="D691" s="110"/>
      <c r="E691" s="110"/>
      <c r="F691" s="110"/>
      <c r="G691" s="110"/>
      <c r="H691" s="110"/>
      <c r="I691" s="110"/>
      <c r="J691" s="110"/>
      <c r="K691" s="110"/>
      <c r="L691" s="110"/>
      <c r="M691" s="110"/>
      <c r="N691" s="110"/>
      <c r="O691" s="110"/>
    </row>
    <row r="692" spans="1:15" ht="12" customHeight="1" x14ac:dyDescent="0.15">
      <c r="A692" s="110"/>
      <c r="B692" s="110"/>
      <c r="C692" s="110"/>
      <c r="D692" s="110"/>
      <c r="E692" s="110"/>
      <c r="F692" s="110"/>
      <c r="G692" s="110"/>
      <c r="H692" s="110"/>
      <c r="I692" s="110"/>
      <c r="J692" s="110"/>
      <c r="K692" s="110"/>
      <c r="L692" s="110"/>
      <c r="M692" s="110"/>
      <c r="N692" s="110"/>
      <c r="O692" s="110"/>
    </row>
    <row r="693" spans="1:15" ht="12" customHeight="1" x14ac:dyDescent="0.15">
      <c r="A693" s="110"/>
      <c r="B693" s="110"/>
      <c r="C693" s="110"/>
      <c r="D693" s="110"/>
      <c r="E693" s="110"/>
      <c r="F693" s="110"/>
      <c r="G693" s="110"/>
      <c r="H693" s="110"/>
      <c r="I693" s="110"/>
      <c r="J693" s="110"/>
      <c r="K693" s="110"/>
      <c r="L693" s="110"/>
      <c r="M693" s="110"/>
      <c r="N693" s="110"/>
      <c r="O693" s="110"/>
    </row>
    <row r="694" spans="1:15" ht="12" customHeight="1" x14ac:dyDescent="0.15">
      <c r="A694" s="110"/>
      <c r="B694" s="110"/>
      <c r="C694" s="110"/>
      <c r="D694" s="110"/>
      <c r="E694" s="110"/>
      <c r="F694" s="110"/>
      <c r="G694" s="110"/>
      <c r="H694" s="110"/>
      <c r="I694" s="110"/>
      <c r="J694" s="110"/>
      <c r="K694" s="110"/>
      <c r="L694" s="110"/>
      <c r="M694" s="110"/>
      <c r="N694" s="110"/>
      <c r="O694" s="110"/>
    </row>
    <row r="695" spans="1:15" ht="12" customHeight="1" x14ac:dyDescent="0.15">
      <c r="A695" s="110"/>
      <c r="B695" s="110"/>
      <c r="C695" s="110"/>
      <c r="D695" s="110"/>
      <c r="E695" s="110"/>
      <c r="F695" s="110"/>
      <c r="G695" s="110"/>
      <c r="H695" s="110"/>
      <c r="I695" s="110"/>
      <c r="J695" s="110"/>
      <c r="K695" s="110"/>
      <c r="L695" s="110"/>
      <c r="M695" s="110"/>
      <c r="N695" s="110"/>
      <c r="O695" s="110"/>
    </row>
    <row r="696" spans="1:15" ht="12" customHeight="1" x14ac:dyDescent="0.15">
      <c r="A696" s="110"/>
      <c r="B696" s="110"/>
      <c r="C696" s="110"/>
      <c r="D696" s="110"/>
      <c r="E696" s="110"/>
      <c r="F696" s="110"/>
      <c r="G696" s="110"/>
      <c r="H696" s="110"/>
      <c r="I696" s="110"/>
      <c r="J696" s="110"/>
      <c r="K696" s="110"/>
      <c r="L696" s="110"/>
      <c r="M696" s="110"/>
      <c r="N696" s="110"/>
      <c r="O696" s="110"/>
    </row>
    <row r="697" spans="1:15" ht="12" customHeight="1" x14ac:dyDescent="0.15">
      <c r="A697" s="110"/>
      <c r="B697" s="110"/>
      <c r="C697" s="110"/>
      <c r="D697" s="110"/>
      <c r="E697" s="110"/>
      <c r="F697" s="110"/>
      <c r="G697" s="110"/>
      <c r="H697" s="110"/>
      <c r="I697" s="110"/>
      <c r="J697" s="110"/>
      <c r="K697" s="110"/>
      <c r="L697" s="110"/>
      <c r="M697" s="110"/>
      <c r="N697" s="110"/>
      <c r="O697" s="110"/>
    </row>
    <row r="698" spans="1:15" ht="12" customHeight="1" x14ac:dyDescent="0.15">
      <c r="A698" s="110"/>
      <c r="B698" s="110"/>
      <c r="C698" s="110"/>
      <c r="D698" s="110"/>
      <c r="E698" s="110"/>
      <c r="F698" s="110"/>
      <c r="G698" s="110"/>
      <c r="H698" s="110"/>
      <c r="I698" s="110"/>
      <c r="J698" s="110"/>
      <c r="K698" s="110"/>
      <c r="L698" s="110"/>
      <c r="M698" s="110"/>
      <c r="N698" s="110"/>
      <c r="O698" s="110"/>
    </row>
    <row r="699" spans="1:15" ht="12" customHeight="1" x14ac:dyDescent="0.15">
      <c r="A699" s="110"/>
      <c r="B699" s="110"/>
      <c r="C699" s="110"/>
      <c r="D699" s="110"/>
      <c r="E699" s="110"/>
      <c r="F699" s="110"/>
      <c r="G699" s="110"/>
      <c r="H699" s="110"/>
      <c r="I699" s="110"/>
      <c r="J699" s="110"/>
      <c r="K699" s="110"/>
      <c r="L699" s="110"/>
      <c r="M699" s="110"/>
      <c r="N699" s="110"/>
      <c r="O699" s="110"/>
    </row>
    <row r="700" spans="1:15" ht="12" customHeight="1" x14ac:dyDescent="0.15">
      <c r="A700" s="110"/>
      <c r="B700" s="110"/>
      <c r="C700" s="110"/>
      <c r="D700" s="110"/>
      <c r="E700" s="110"/>
      <c r="F700" s="110"/>
      <c r="G700" s="110"/>
      <c r="H700" s="110"/>
      <c r="I700" s="110"/>
      <c r="J700" s="110"/>
      <c r="K700" s="110"/>
      <c r="L700" s="110"/>
      <c r="M700" s="110"/>
      <c r="N700" s="110"/>
      <c r="O700" s="110"/>
    </row>
    <row r="701" spans="1:15" ht="12" customHeight="1" x14ac:dyDescent="0.15">
      <c r="A701" s="110"/>
      <c r="B701" s="110"/>
      <c r="C701" s="110"/>
      <c r="D701" s="110"/>
      <c r="E701" s="110"/>
      <c r="F701" s="110"/>
      <c r="G701" s="110"/>
      <c r="H701" s="110"/>
      <c r="I701" s="110"/>
      <c r="J701" s="110"/>
      <c r="K701" s="110"/>
      <c r="L701" s="110"/>
      <c r="M701" s="110"/>
      <c r="N701" s="110"/>
      <c r="O701" s="110"/>
    </row>
    <row r="702" spans="1:15" ht="12" customHeight="1" x14ac:dyDescent="0.15">
      <c r="A702" s="110"/>
      <c r="B702" s="110"/>
      <c r="C702" s="110"/>
      <c r="D702" s="110"/>
      <c r="E702" s="110"/>
      <c r="F702" s="110"/>
      <c r="G702" s="110"/>
      <c r="H702" s="110"/>
      <c r="I702" s="110"/>
      <c r="J702" s="110"/>
      <c r="K702" s="110"/>
      <c r="L702" s="110"/>
      <c r="M702" s="110"/>
      <c r="N702" s="110"/>
      <c r="O702" s="110"/>
    </row>
    <row r="703" spans="1:15" ht="12" customHeight="1" x14ac:dyDescent="0.15">
      <c r="A703" s="110"/>
      <c r="B703" s="110"/>
      <c r="C703" s="110"/>
      <c r="D703" s="110"/>
      <c r="E703" s="110"/>
      <c r="F703" s="110"/>
      <c r="G703" s="110"/>
      <c r="H703" s="110"/>
      <c r="I703" s="110"/>
      <c r="J703" s="110"/>
      <c r="K703" s="110"/>
      <c r="L703" s="110"/>
      <c r="M703" s="110"/>
      <c r="N703" s="110"/>
      <c r="O703" s="110"/>
    </row>
    <row r="704" spans="1:15" ht="12" customHeight="1" x14ac:dyDescent="0.15">
      <c r="A704" s="110"/>
      <c r="B704" s="110"/>
      <c r="C704" s="110"/>
      <c r="D704" s="110"/>
      <c r="E704" s="110"/>
      <c r="F704" s="110"/>
      <c r="G704" s="110"/>
      <c r="H704" s="110"/>
      <c r="I704" s="110"/>
      <c r="J704" s="110"/>
      <c r="K704" s="110"/>
      <c r="L704" s="110"/>
      <c r="M704" s="110"/>
      <c r="N704" s="110"/>
      <c r="O704" s="110"/>
    </row>
    <row r="705" spans="1:15" ht="12" customHeight="1" x14ac:dyDescent="0.15">
      <c r="A705" s="110"/>
      <c r="B705" s="110"/>
      <c r="C705" s="110"/>
      <c r="D705" s="110"/>
      <c r="E705" s="110"/>
      <c r="F705" s="110"/>
      <c r="G705" s="110"/>
      <c r="H705" s="110"/>
      <c r="I705" s="110"/>
      <c r="J705" s="110"/>
      <c r="K705" s="110"/>
      <c r="L705" s="110"/>
      <c r="M705" s="110"/>
      <c r="N705" s="110"/>
      <c r="O705" s="110"/>
    </row>
    <row r="706" spans="1:15" ht="12" customHeight="1" x14ac:dyDescent="0.15">
      <c r="A706" s="110"/>
      <c r="B706" s="110"/>
      <c r="C706" s="110"/>
      <c r="D706" s="110"/>
      <c r="E706" s="110"/>
      <c r="F706" s="110"/>
      <c r="G706" s="110"/>
      <c r="H706" s="110"/>
      <c r="I706" s="110"/>
      <c r="J706" s="110"/>
      <c r="K706" s="110"/>
      <c r="L706" s="110"/>
      <c r="M706" s="110"/>
      <c r="N706" s="110"/>
      <c r="O706" s="110"/>
    </row>
    <row r="707" spans="1:15" ht="12" customHeight="1" x14ac:dyDescent="0.15">
      <c r="A707" s="110"/>
      <c r="B707" s="110"/>
      <c r="C707" s="110"/>
      <c r="D707" s="110"/>
      <c r="E707" s="110"/>
      <c r="F707" s="110"/>
      <c r="G707" s="110"/>
      <c r="H707" s="110"/>
      <c r="I707" s="110"/>
      <c r="J707" s="110"/>
      <c r="K707" s="110"/>
      <c r="L707" s="110"/>
      <c r="M707" s="110"/>
      <c r="N707" s="110"/>
      <c r="O707" s="110"/>
    </row>
    <row r="708" spans="1:15" ht="12" customHeight="1" x14ac:dyDescent="0.15">
      <c r="A708" s="110"/>
      <c r="B708" s="110"/>
      <c r="C708" s="110"/>
      <c r="D708" s="110"/>
      <c r="E708" s="110"/>
      <c r="F708" s="110"/>
      <c r="G708" s="110"/>
      <c r="H708" s="110"/>
      <c r="I708" s="110"/>
      <c r="J708" s="110"/>
      <c r="K708" s="110"/>
      <c r="L708" s="110"/>
      <c r="M708" s="110"/>
      <c r="N708" s="110"/>
      <c r="O708" s="110"/>
    </row>
    <row r="709" spans="1:15" ht="12" customHeight="1" x14ac:dyDescent="0.15">
      <c r="A709" s="110"/>
      <c r="B709" s="110"/>
      <c r="C709" s="110"/>
      <c r="D709" s="110"/>
      <c r="E709" s="110"/>
      <c r="F709" s="110"/>
      <c r="G709" s="110"/>
      <c r="H709" s="110"/>
      <c r="I709" s="110"/>
      <c r="J709" s="110"/>
      <c r="K709" s="110"/>
      <c r="L709" s="110"/>
      <c r="M709" s="110"/>
      <c r="N709" s="110"/>
      <c r="O709" s="110"/>
    </row>
    <row r="710" spans="1:15" ht="12" customHeight="1" x14ac:dyDescent="0.15">
      <c r="A710" s="110"/>
      <c r="B710" s="110"/>
      <c r="C710" s="110"/>
      <c r="D710" s="110"/>
      <c r="E710" s="110"/>
      <c r="F710" s="110"/>
      <c r="G710" s="110"/>
      <c r="H710" s="110"/>
      <c r="I710" s="110"/>
      <c r="J710" s="110"/>
      <c r="K710" s="110"/>
      <c r="L710" s="110"/>
      <c r="M710" s="110"/>
      <c r="N710" s="110"/>
      <c r="O710" s="110"/>
    </row>
    <row r="711" spans="1:15" ht="12" customHeight="1" x14ac:dyDescent="0.15">
      <c r="A711" s="110"/>
      <c r="B711" s="110"/>
      <c r="C711" s="110"/>
      <c r="D711" s="110"/>
      <c r="E711" s="110"/>
      <c r="F711" s="110"/>
      <c r="G711" s="110"/>
      <c r="H711" s="110"/>
      <c r="I711" s="110"/>
      <c r="J711" s="110"/>
      <c r="K711" s="110"/>
      <c r="L711" s="110"/>
      <c r="M711" s="110"/>
      <c r="N711" s="110"/>
      <c r="O711" s="110"/>
    </row>
    <row r="712" spans="1:15" ht="12" customHeight="1" x14ac:dyDescent="0.15">
      <c r="A712" s="110"/>
      <c r="B712" s="110"/>
      <c r="C712" s="110"/>
      <c r="D712" s="110"/>
      <c r="E712" s="110"/>
      <c r="F712" s="110"/>
      <c r="G712" s="110"/>
      <c r="H712" s="110"/>
      <c r="I712" s="110"/>
      <c r="J712" s="110"/>
      <c r="K712" s="110"/>
      <c r="L712" s="110"/>
      <c r="M712" s="110"/>
      <c r="N712" s="110"/>
      <c r="O712" s="110"/>
    </row>
    <row r="713" spans="1:15" ht="12" customHeight="1" x14ac:dyDescent="0.15">
      <c r="A713" s="110"/>
      <c r="B713" s="110"/>
      <c r="C713" s="110"/>
      <c r="D713" s="110"/>
      <c r="E713" s="110"/>
      <c r="F713" s="110"/>
      <c r="G713" s="110"/>
      <c r="H713" s="110"/>
      <c r="I713" s="110"/>
      <c r="J713" s="110"/>
      <c r="K713" s="110"/>
      <c r="L713" s="110"/>
      <c r="M713" s="110"/>
      <c r="N713" s="110"/>
      <c r="O713" s="110"/>
    </row>
    <row r="714" spans="1:15" ht="12" customHeight="1" x14ac:dyDescent="0.15">
      <c r="A714" s="110"/>
      <c r="B714" s="110"/>
      <c r="C714" s="110"/>
      <c r="D714" s="110"/>
      <c r="E714" s="110"/>
      <c r="F714" s="110"/>
      <c r="G714" s="110"/>
      <c r="H714" s="110"/>
      <c r="I714" s="110"/>
      <c r="J714" s="110"/>
      <c r="K714" s="110"/>
      <c r="L714" s="110"/>
      <c r="M714" s="110"/>
      <c r="N714" s="110"/>
      <c r="O714" s="110"/>
    </row>
    <row r="715" spans="1:15" ht="12" customHeight="1" x14ac:dyDescent="0.15">
      <c r="A715" s="110"/>
      <c r="B715" s="110"/>
      <c r="C715" s="110"/>
      <c r="D715" s="110"/>
      <c r="E715" s="110"/>
      <c r="F715" s="110"/>
      <c r="G715" s="110"/>
      <c r="H715" s="110"/>
      <c r="I715" s="110"/>
      <c r="J715" s="110"/>
      <c r="K715" s="110"/>
      <c r="L715" s="110"/>
      <c r="M715" s="110"/>
      <c r="N715" s="110"/>
      <c r="O715" s="110"/>
    </row>
    <row r="716" spans="1:15" ht="12" customHeight="1" x14ac:dyDescent="0.15">
      <c r="A716" s="110"/>
      <c r="B716" s="110"/>
      <c r="C716" s="110"/>
      <c r="D716" s="110"/>
      <c r="E716" s="110"/>
      <c r="F716" s="110"/>
      <c r="G716" s="110"/>
      <c r="H716" s="110"/>
      <c r="I716" s="110"/>
      <c r="J716" s="110"/>
      <c r="K716" s="110"/>
      <c r="L716" s="110"/>
      <c r="M716" s="110"/>
      <c r="N716" s="110"/>
      <c r="O716" s="110"/>
    </row>
    <row r="717" spans="1:15" ht="12" customHeight="1" x14ac:dyDescent="0.15">
      <c r="A717" s="110"/>
      <c r="B717" s="110"/>
      <c r="C717" s="110"/>
      <c r="D717" s="110"/>
      <c r="E717" s="110"/>
      <c r="F717" s="110"/>
      <c r="G717" s="110"/>
      <c r="H717" s="110"/>
      <c r="I717" s="110"/>
      <c r="J717" s="110"/>
      <c r="K717" s="110"/>
      <c r="L717" s="110"/>
      <c r="M717" s="110"/>
      <c r="N717" s="110"/>
      <c r="O717" s="110"/>
    </row>
    <row r="718" spans="1:15" ht="12" customHeight="1" x14ac:dyDescent="0.15">
      <c r="A718" s="110"/>
      <c r="B718" s="110"/>
      <c r="C718" s="110"/>
      <c r="D718" s="110"/>
      <c r="E718" s="110"/>
      <c r="F718" s="110"/>
      <c r="G718" s="110"/>
      <c r="H718" s="110"/>
      <c r="I718" s="110"/>
      <c r="J718" s="110"/>
      <c r="K718" s="110"/>
      <c r="L718" s="110"/>
      <c r="M718" s="110"/>
      <c r="N718" s="110"/>
      <c r="O718" s="110"/>
    </row>
    <row r="719" spans="1:15" ht="12" customHeight="1" x14ac:dyDescent="0.15">
      <c r="A719" s="110"/>
      <c r="B719" s="110"/>
      <c r="C719" s="110"/>
      <c r="D719" s="110"/>
      <c r="E719" s="110"/>
      <c r="F719" s="110"/>
      <c r="G719" s="110"/>
      <c r="H719" s="110"/>
      <c r="I719" s="110"/>
      <c r="J719" s="110"/>
      <c r="K719" s="110"/>
      <c r="L719" s="110"/>
      <c r="M719" s="110"/>
      <c r="N719" s="110"/>
      <c r="O719" s="110"/>
    </row>
    <row r="720" spans="1:15" ht="12" customHeight="1" x14ac:dyDescent="0.15">
      <c r="A720" s="110"/>
      <c r="B720" s="110"/>
      <c r="C720" s="110"/>
      <c r="D720" s="110"/>
      <c r="E720" s="110"/>
      <c r="F720" s="110"/>
      <c r="G720" s="110"/>
      <c r="H720" s="110"/>
      <c r="I720" s="110"/>
      <c r="J720" s="110"/>
      <c r="K720" s="110"/>
      <c r="L720" s="110"/>
      <c r="M720" s="110"/>
      <c r="N720" s="110"/>
      <c r="O720" s="110"/>
    </row>
    <row r="721" spans="1:15" ht="12" customHeight="1" x14ac:dyDescent="0.15">
      <c r="A721" s="110"/>
      <c r="B721" s="110"/>
      <c r="C721" s="110"/>
      <c r="D721" s="110"/>
      <c r="E721" s="110"/>
      <c r="F721" s="110"/>
      <c r="G721" s="110"/>
      <c r="H721" s="110"/>
      <c r="I721" s="110"/>
      <c r="J721" s="110"/>
      <c r="K721" s="110"/>
      <c r="L721" s="110"/>
      <c r="M721" s="110"/>
      <c r="N721" s="110"/>
      <c r="O721" s="110"/>
    </row>
    <row r="722" spans="1:15" ht="12" customHeight="1" x14ac:dyDescent="0.15">
      <c r="A722" s="110"/>
      <c r="B722" s="110"/>
      <c r="C722" s="110"/>
      <c r="D722" s="110"/>
      <c r="E722" s="110"/>
      <c r="F722" s="110"/>
      <c r="G722" s="110"/>
      <c r="H722" s="110"/>
      <c r="I722" s="110"/>
      <c r="J722" s="110"/>
      <c r="K722" s="110"/>
      <c r="L722" s="110"/>
      <c r="M722" s="110"/>
      <c r="N722" s="110"/>
      <c r="O722" s="110"/>
    </row>
    <row r="723" spans="1:15" ht="12" customHeight="1" x14ac:dyDescent="0.15">
      <c r="A723" s="110"/>
      <c r="B723" s="110"/>
      <c r="C723" s="110"/>
      <c r="D723" s="110"/>
      <c r="E723" s="110"/>
      <c r="F723" s="110"/>
      <c r="G723" s="110"/>
      <c r="H723" s="110"/>
      <c r="I723" s="110"/>
      <c r="J723" s="110"/>
      <c r="K723" s="110"/>
      <c r="L723" s="110"/>
      <c r="M723" s="110"/>
      <c r="N723" s="110"/>
      <c r="O723" s="110"/>
    </row>
    <row r="724" spans="1:15" ht="12" customHeight="1" x14ac:dyDescent="0.15">
      <c r="A724" s="110"/>
      <c r="B724" s="110"/>
      <c r="C724" s="110"/>
      <c r="D724" s="110"/>
      <c r="E724" s="110"/>
      <c r="F724" s="110"/>
      <c r="G724" s="110"/>
      <c r="H724" s="110"/>
      <c r="I724" s="110"/>
      <c r="J724" s="110"/>
      <c r="K724" s="110"/>
      <c r="L724" s="110"/>
      <c r="M724" s="110"/>
      <c r="N724" s="110"/>
      <c r="O724" s="110"/>
    </row>
    <row r="725" spans="1:15" ht="12" customHeight="1" x14ac:dyDescent="0.15">
      <c r="A725" s="110"/>
      <c r="B725" s="110"/>
      <c r="C725" s="110"/>
      <c r="D725" s="110"/>
      <c r="E725" s="110"/>
      <c r="F725" s="110"/>
      <c r="G725" s="110"/>
      <c r="H725" s="110"/>
      <c r="I725" s="110"/>
      <c r="J725" s="110"/>
      <c r="K725" s="110"/>
      <c r="L725" s="110"/>
      <c r="M725" s="110"/>
      <c r="N725" s="110"/>
      <c r="O725" s="110"/>
    </row>
    <row r="726" spans="1:15" ht="12" customHeight="1" x14ac:dyDescent="0.15">
      <c r="A726" s="110"/>
      <c r="B726" s="110"/>
      <c r="C726" s="110"/>
      <c r="D726" s="110"/>
      <c r="E726" s="110"/>
      <c r="F726" s="110"/>
      <c r="G726" s="110"/>
      <c r="H726" s="110"/>
      <c r="I726" s="110"/>
      <c r="J726" s="110"/>
      <c r="K726" s="110"/>
      <c r="L726" s="110"/>
      <c r="M726" s="110"/>
      <c r="N726" s="110"/>
      <c r="O726" s="110"/>
    </row>
    <row r="727" spans="1:15" ht="12" customHeight="1" x14ac:dyDescent="0.15">
      <c r="A727" s="110"/>
      <c r="B727" s="110"/>
      <c r="C727" s="110"/>
      <c r="D727" s="110"/>
      <c r="E727" s="110"/>
      <c r="F727" s="110"/>
      <c r="G727" s="110"/>
      <c r="H727" s="110"/>
      <c r="I727" s="110"/>
      <c r="J727" s="110"/>
      <c r="K727" s="110"/>
      <c r="L727" s="110"/>
      <c r="M727" s="110"/>
      <c r="N727" s="110"/>
      <c r="O727" s="110"/>
    </row>
    <row r="728" spans="1:15" ht="12" customHeight="1" x14ac:dyDescent="0.15">
      <c r="A728" s="110"/>
      <c r="B728" s="110"/>
      <c r="C728" s="110"/>
      <c r="D728" s="110"/>
      <c r="E728" s="110"/>
      <c r="F728" s="110"/>
      <c r="G728" s="110"/>
      <c r="H728" s="110"/>
      <c r="I728" s="110"/>
      <c r="J728" s="110"/>
      <c r="K728" s="110"/>
      <c r="L728" s="110"/>
      <c r="M728" s="110"/>
      <c r="N728" s="110"/>
      <c r="O728" s="110"/>
    </row>
    <row r="729" spans="1:15" ht="12" customHeight="1" x14ac:dyDescent="0.15">
      <c r="A729" s="110"/>
      <c r="B729" s="110"/>
      <c r="C729" s="110"/>
      <c r="D729" s="110"/>
      <c r="E729" s="110"/>
      <c r="F729" s="110"/>
      <c r="G729" s="110"/>
      <c r="H729" s="110"/>
      <c r="I729" s="110"/>
      <c r="J729" s="110"/>
      <c r="K729" s="110"/>
      <c r="L729" s="110"/>
      <c r="M729" s="110"/>
      <c r="N729" s="110"/>
      <c r="O729" s="110"/>
    </row>
    <row r="730" spans="1:15" ht="12" customHeight="1" x14ac:dyDescent="0.15">
      <c r="A730" s="110"/>
      <c r="B730" s="110"/>
      <c r="C730" s="110"/>
      <c r="D730" s="110"/>
      <c r="E730" s="110"/>
      <c r="F730" s="110"/>
      <c r="G730" s="110"/>
      <c r="H730" s="110"/>
      <c r="I730" s="110"/>
      <c r="J730" s="110"/>
      <c r="K730" s="110"/>
      <c r="L730" s="110"/>
      <c r="M730" s="110"/>
      <c r="N730" s="110"/>
      <c r="O730" s="110"/>
    </row>
    <row r="731" spans="1:15" ht="12" customHeight="1" x14ac:dyDescent="0.15">
      <c r="A731" s="110"/>
      <c r="B731" s="110"/>
      <c r="C731" s="110"/>
      <c r="D731" s="110"/>
      <c r="E731" s="110"/>
      <c r="F731" s="110"/>
      <c r="G731" s="110"/>
      <c r="H731" s="110"/>
      <c r="I731" s="110"/>
      <c r="J731" s="110"/>
      <c r="K731" s="110"/>
      <c r="L731" s="110"/>
      <c r="M731" s="110"/>
      <c r="N731" s="110"/>
      <c r="O731" s="110"/>
    </row>
    <row r="732" spans="1:15" ht="12" customHeight="1" x14ac:dyDescent="0.15">
      <c r="A732" s="110"/>
      <c r="B732" s="110"/>
      <c r="C732" s="110"/>
      <c r="D732" s="110"/>
      <c r="E732" s="110"/>
      <c r="F732" s="110"/>
      <c r="G732" s="110"/>
      <c r="H732" s="110"/>
      <c r="I732" s="110"/>
      <c r="J732" s="110"/>
      <c r="K732" s="110"/>
      <c r="L732" s="110"/>
      <c r="M732" s="110"/>
      <c r="N732" s="110"/>
      <c r="O732" s="110"/>
    </row>
    <row r="733" spans="1:15" ht="12" customHeight="1" x14ac:dyDescent="0.15">
      <c r="A733" s="110"/>
      <c r="B733" s="110"/>
      <c r="C733" s="110"/>
      <c r="D733" s="110"/>
      <c r="E733" s="110"/>
      <c r="F733" s="110"/>
      <c r="G733" s="110"/>
      <c r="H733" s="110"/>
      <c r="I733" s="110"/>
      <c r="J733" s="110"/>
      <c r="K733" s="110"/>
      <c r="L733" s="110"/>
      <c r="M733" s="110"/>
      <c r="N733" s="110"/>
      <c r="O733" s="110"/>
    </row>
    <row r="734" spans="1:15" ht="12" customHeight="1" x14ac:dyDescent="0.15">
      <c r="A734" s="110"/>
      <c r="B734" s="110"/>
      <c r="C734" s="110"/>
      <c r="D734" s="110"/>
      <c r="E734" s="110"/>
      <c r="F734" s="110"/>
      <c r="G734" s="110"/>
      <c r="H734" s="110"/>
      <c r="I734" s="110"/>
      <c r="J734" s="110"/>
      <c r="K734" s="110"/>
      <c r="L734" s="110"/>
      <c r="M734" s="110"/>
      <c r="N734" s="110"/>
      <c r="O734" s="110"/>
    </row>
    <row r="735" spans="1:15" ht="12" customHeight="1" x14ac:dyDescent="0.15">
      <c r="A735" s="110"/>
      <c r="B735" s="110"/>
      <c r="C735" s="110"/>
      <c r="D735" s="110"/>
      <c r="E735" s="110"/>
      <c r="F735" s="110"/>
      <c r="G735" s="110"/>
      <c r="H735" s="110"/>
      <c r="I735" s="110"/>
      <c r="J735" s="110"/>
      <c r="K735" s="110"/>
      <c r="L735" s="110"/>
      <c r="M735" s="110"/>
      <c r="N735" s="110"/>
      <c r="O735" s="110"/>
    </row>
    <row r="736" spans="1:15" ht="12" customHeight="1" x14ac:dyDescent="0.15">
      <c r="A736" s="110"/>
      <c r="B736" s="110"/>
      <c r="C736" s="110"/>
      <c r="D736" s="110"/>
      <c r="E736" s="110"/>
      <c r="F736" s="110"/>
      <c r="G736" s="110"/>
      <c r="H736" s="110"/>
      <c r="I736" s="110"/>
      <c r="J736" s="110"/>
      <c r="K736" s="110"/>
      <c r="L736" s="110"/>
      <c r="M736" s="110"/>
      <c r="N736" s="110"/>
      <c r="O736" s="110"/>
    </row>
    <row r="737" spans="1:15" ht="12" customHeight="1" x14ac:dyDescent="0.15">
      <c r="A737" s="110"/>
      <c r="B737" s="110"/>
      <c r="C737" s="110"/>
      <c r="D737" s="110"/>
      <c r="E737" s="110"/>
      <c r="F737" s="110"/>
      <c r="G737" s="110"/>
      <c r="H737" s="110"/>
      <c r="I737" s="110"/>
      <c r="J737" s="110"/>
      <c r="K737" s="110"/>
      <c r="L737" s="110"/>
      <c r="M737" s="110"/>
      <c r="N737" s="110"/>
      <c r="O737" s="110"/>
    </row>
    <row r="738" spans="1:15" ht="12" customHeight="1" x14ac:dyDescent="0.15">
      <c r="A738" s="110"/>
      <c r="B738" s="110"/>
      <c r="C738" s="110"/>
      <c r="D738" s="110"/>
      <c r="E738" s="110"/>
      <c r="F738" s="110"/>
      <c r="G738" s="110"/>
      <c r="H738" s="110"/>
      <c r="I738" s="110"/>
      <c r="J738" s="110"/>
      <c r="K738" s="110"/>
      <c r="L738" s="110"/>
      <c r="M738" s="110"/>
      <c r="N738" s="110"/>
      <c r="O738" s="110"/>
    </row>
    <row r="739" spans="1:15" ht="12" customHeight="1" x14ac:dyDescent="0.15">
      <c r="A739" s="110"/>
      <c r="B739" s="110"/>
      <c r="C739" s="110"/>
      <c r="D739" s="110"/>
      <c r="E739" s="110"/>
      <c r="F739" s="110"/>
      <c r="G739" s="110"/>
      <c r="H739" s="110"/>
      <c r="I739" s="110"/>
      <c r="J739" s="110"/>
      <c r="K739" s="110"/>
      <c r="L739" s="110"/>
      <c r="M739" s="110"/>
      <c r="N739" s="110"/>
      <c r="O739" s="110"/>
    </row>
    <row r="740" spans="1:15" ht="12" customHeight="1" x14ac:dyDescent="0.15">
      <c r="A740" s="110"/>
      <c r="B740" s="110"/>
      <c r="C740" s="110"/>
      <c r="D740" s="110"/>
      <c r="E740" s="110"/>
      <c r="F740" s="110"/>
      <c r="G740" s="110"/>
      <c r="H740" s="110"/>
      <c r="I740" s="110"/>
      <c r="J740" s="110"/>
      <c r="K740" s="110"/>
      <c r="L740" s="110"/>
      <c r="M740" s="110"/>
      <c r="N740" s="110"/>
      <c r="O740" s="110"/>
    </row>
    <row r="741" spans="1:15" ht="12" customHeight="1" x14ac:dyDescent="0.15">
      <c r="A741" s="110"/>
      <c r="B741" s="110"/>
      <c r="C741" s="110"/>
      <c r="D741" s="110"/>
      <c r="E741" s="110"/>
      <c r="F741" s="110"/>
      <c r="G741" s="110"/>
      <c r="H741" s="110"/>
      <c r="I741" s="110"/>
      <c r="J741" s="110"/>
      <c r="K741" s="110"/>
      <c r="L741" s="110"/>
      <c r="M741" s="110"/>
      <c r="N741" s="110"/>
      <c r="O741" s="110"/>
    </row>
    <row r="742" spans="1:15" ht="12" customHeight="1" x14ac:dyDescent="0.15">
      <c r="A742" s="110"/>
      <c r="B742" s="110"/>
      <c r="C742" s="110"/>
      <c r="D742" s="110"/>
      <c r="E742" s="110"/>
      <c r="F742" s="110"/>
      <c r="G742" s="110"/>
      <c r="H742" s="110"/>
      <c r="I742" s="110"/>
      <c r="J742" s="110"/>
      <c r="K742" s="110"/>
      <c r="L742" s="110"/>
      <c r="M742" s="110"/>
      <c r="N742" s="110"/>
      <c r="O742" s="110"/>
    </row>
    <row r="743" spans="1:15" ht="12" customHeight="1" x14ac:dyDescent="0.15">
      <c r="A743" s="110"/>
      <c r="B743" s="110"/>
      <c r="C743" s="110"/>
      <c r="D743" s="110"/>
      <c r="E743" s="110"/>
      <c r="F743" s="110"/>
      <c r="G743" s="110"/>
      <c r="H743" s="110"/>
      <c r="I743" s="110"/>
      <c r="J743" s="110"/>
      <c r="K743" s="110"/>
      <c r="L743" s="110"/>
      <c r="M743" s="110"/>
      <c r="N743" s="110"/>
      <c r="O743" s="110"/>
    </row>
    <row r="744" spans="1:15" ht="12" customHeight="1" x14ac:dyDescent="0.15">
      <c r="A744" s="110"/>
      <c r="B744" s="110"/>
      <c r="C744" s="110"/>
      <c r="D744" s="110"/>
      <c r="E744" s="110"/>
      <c r="F744" s="110"/>
      <c r="G744" s="110"/>
      <c r="H744" s="110"/>
      <c r="I744" s="110"/>
      <c r="J744" s="110"/>
      <c r="K744" s="110"/>
      <c r="L744" s="110"/>
      <c r="M744" s="110"/>
      <c r="N744" s="110"/>
      <c r="O744" s="110"/>
    </row>
    <row r="745" spans="1:15" ht="12" customHeight="1" x14ac:dyDescent="0.15">
      <c r="A745" s="110"/>
      <c r="B745" s="110"/>
      <c r="C745" s="110"/>
      <c r="D745" s="110"/>
      <c r="E745" s="110"/>
      <c r="F745" s="110"/>
      <c r="G745" s="110"/>
      <c r="H745" s="110"/>
      <c r="I745" s="110"/>
      <c r="J745" s="110"/>
      <c r="K745" s="110"/>
      <c r="L745" s="110"/>
      <c r="M745" s="110"/>
      <c r="N745" s="110"/>
      <c r="O745" s="110"/>
    </row>
    <row r="746" spans="1:15" ht="12" customHeight="1" x14ac:dyDescent="0.15">
      <c r="A746" s="110"/>
      <c r="B746" s="110"/>
      <c r="C746" s="110"/>
      <c r="D746" s="110"/>
      <c r="E746" s="110"/>
      <c r="F746" s="110"/>
      <c r="G746" s="110"/>
      <c r="H746" s="110"/>
      <c r="I746" s="110"/>
      <c r="J746" s="110"/>
      <c r="K746" s="110"/>
      <c r="L746" s="110"/>
      <c r="M746" s="110"/>
      <c r="N746" s="110"/>
      <c r="O746" s="110"/>
    </row>
    <row r="747" spans="1:15" ht="12" customHeight="1" x14ac:dyDescent="0.15">
      <c r="A747" s="110"/>
      <c r="B747" s="110"/>
      <c r="C747" s="110"/>
      <c r="D747" s="110"/>
      <c r="E747" s="110"/>
      <c r="F747" s="110"/>
      <c r="G747" s="110"/>
      <c r="H747" s="110"/>
      <c r="I747" s="110"/>
      <c r="J747" s="110"/>
      <c r="K747" s="110"/>
      <c r="L747" s="110"/>
      <c r="M747" s="110"/>
      <c r="N747" s="110"/>
      <c r="O747" s="110"/>
    </row>
    <row r="748" spans="1:15" ht="12" customHeight="1" x14ac:dyDescent="0.15">
      <c r="A748" s="110"/>
      <c r="B748" s="110"/>
      <c r="C748" s="110"/>
      <c r="D748" s="110"/>
      <c r="E748" s="110"/>
      <c r="F748" s="110"/>
      <c r="G748" s="110"/>
      <c r="H748" s="110"/>
      <c r="I748" s="110"/>
      <c r="J748" s="110"/>
      <c r="K748" s="110"/>
      <c r="L748" s="110"/>
      <c r="M748" s="110"/>
      <c r="N748" s="110"/>
      <c r="O748" s="110"/>
    </row>
    <row r="749" spans="1:15" ht="12" customHeight="1" x14ac:dyDescent="0.15">
      <c r="A749" s="110"/>
      <c r="B749" s="110"/>
      <c r="C749" s="110"/>
      <c r="D749" s="110"/>
      <c r="E749" s="110"/>
      <c r="F749" s="110"/>
      <c r="G749" s="110"/>
      <c r="H749" s="110"/>
      <c r="I749" s="110"/>
      <c r="J749" s="110"/>
      <c r="K749" s="110"/>
      <c r="L749" s="110"/>
      <c r="M749" s="110"/>
      <c r="N749" s="110"/>
      <c r="O749" s="110"/>
    </row>
    <row r="750" spans="1:15" ht="12" customHeight="1" x14ac:dyDescent="0.15">
      <c r="A750" s="110"/>
      <c r="B750" s="110"/>
      <c r="C750" s="110"/>
      <c r="D750" s="110"/>
      <c r="E750" s="110"/>
      <c r="F750" s="110"/>
      <c r="G750" s="110"/>
      <c r="H750" s="110"/>
      <c r="I750" s="110"/>
      <c r="J750" s="110"/>
      <c r="K750" s="110"/>
      <c r="L750" s="110"/>
      <c r="M750" s="110"/>
      <c r="N750" s="110"/>
      <c r="O750" s="110"/>
    </row>
    <row r="751" spans="1:15" ht="12" customHeight="1" x14ac:dyDescent="0.15">
      <c r="A751" s="110"/>
      <c r="B751" s="110"/>
      <c r="C751" s="110"/>
      <c r="D751" s="110"/>
      <c r="E751" s="110"/>
      <c r="F751" s="110"/>
      <c r="G751" s="110"/>
      <c r="H751" s="110"/>
      <c r="I751" s="110"/>
      <c r="J751" s="110"/>
      <c r="K751" s="110"/>
      <c r="L751" s="110"/>
      <c r="M751" s="110"/>
      <c r="N751" s="110"/>
      <c r="O751" s="110"/>
    </row>
    <row r="752" spans="1:15" ht="12" customHeight="1" x14ac:dyDescent="0.15">
      <c r="A752" s="110"/>
      <c r="B752" s="110"/>
      <c r="C752" s="110"/>
      <c r="D752" s="110"/>
      <c r="E752" s="110"/>
      <c r="F752" s="110"/>
      <c r="G752" s="110"/>
      <c r="H752" s="110"/>
      <c r="I752" s="110"/>
      <c r="J752" s="110"/>
      <c r="K752" s="110"/>
      <c r="L752" s="110"/>
      <c r="M752" s="110"/>
      <c r="N752" s="110"/>
      <c r="O752" s="110"/>
    </row>
    <row r="753" spans="1:15" ht="12" customHeight="1" x14ac:dyDescent="0.15">
      <c r="A753" s="110"/>
      <c r="B753" s="110"/>
      <c r="C753" s="110"/>
      <c r="D753" s="110"/>
      <c r="E753" s="110"/>
      <c r="F753" s="110"/>
      <c r="G753" s="110"/>
      <c r="H753" s="110"/>
      <c r="I753" s="110"/>
      <c r="J753" s="110"/>
      <c r="K753" s="110"/>
      <c r="L753" s="110"/>
      <c r="M753" s="110"/>
      <c r="N753" s="110"/>
      <c r="O753" s="110"/>
    </row>
    <row r="754" spans="1:15" ht="12" customHeight="1" x14ac:dyDescent="0.15">
      <c r="A754" s="110"/>
      <c r="B754" s="110"/>
      <c r="C754" s="110"/>
      <c r="D754" s="110"/>
      <c r="E754" s="110"/>
      <c r="F754" s="110"/>
      <c r="G754" s="110"/>
      <c r="H754" s="110"/>
      <c r="I754" s="110"/>
      <c r="J754" s="110"/>
      <c r="K754" s="110"/>
      <c r="L754" s="110"/>
      <c r="M754" s="110"/>
      <c r="N754" s="110"/>
      <c r="O754" s="110"/>
    </row>
    <row r="755" spans="1:15" ht="12" customHeight="1" x14ac:dyDescent="0.15">
      <c r="A755" s="110"/>
      <c r="B755" s="110"/>
      <c r="C755" s="110"/>
      <c r="D755" s="110"/>
      <c r="E755" s="110"/>
      <c r="F755" s="110"/>
      <c r="G755" s="110"/>
      <c r="H755" s="110"/>
      <c r="I755" s="110"/>
      <c r="J755" s="110"/>
      <c r="K755" s="110"/>
      <c r="L755" s="110"/>
      <c r="M755" s="110"/>
      <c r="N755" s="110"/>
      <c r="O755" s="110"/>
    </row>
    <row r="756" spans="1:15" ht="12" customHeight="1" x14ac:dyDescent="0.15">
      <c r="A756" s="110"/>
      <c r="B756" s="110"/>
      <c r="C756" s="110"/>
      <c r="D756" s="110"/>
      <c r="E756" s="110"/>
      <c r="F756" s="110"/>
      <c r="G756" s="110"/>
      <c r="H756" s="110"/>
      <c r="I756" s="110"/>
      <c r="J756" s="110"/>
      <c r="K756" s="110"/>
      <c r="L756" s="110"/>
      <c r="M756" s="110"/>
      <c r="N756" s="110"/>
      <c r="O756" s="110"/>
    </row>
    <row r="757" spans="1:15" ht="12" customHeight="1" x14ac:dyDescent="0.15">
      <c r="A757" s="110"/>
      <c r="B757" s="110"/>
      <c r="C757" s="110"/>
      <c r="D757" s="110"/>
      <c r="E757" s="110"/>
      <c r="F757" s="110"/>
      <c r="G757" s="110"/>
      <c r="H757" s="110"/>
      <c r="I757" s="110"/>
      <c r="J757" s="110"/>
      <c r="K757" s="110"/>
      <c r="L757" s="110"/>
      <c r="M757" s="110"/>
      <c r="N757" s="110"/>
      <c r="O757" s="110"/>
    </row>
    <row r="758" spans="1:15" ht="12" customHeight="1" x14ac:dyDescent="0.15">
      <c r="A758" s="110"/>
      <c r="B758" s="110"/>
      <c r="C758" s="110"/>
      <c r="D758" s="110"/>
      <c r="E758" s="110"/>
      <c r="F758" s="110"/>
      <c r="G758" s="110"/>
      <c r="H758" s="110"/>
      <c r="I758" s="110"/>
      <c r="J758" s="110"/>
      <c r="K758" s="110"/>
      <c r="L758" s="110"/>
      <c r="M758" s="110"/>
      <c r="N758" s="110"/>
      <c r="O758" s="110"/>
    </row>
    <row r="759" spans="1:15" ht="12" customHeight="1" x14ac:dyDescent="0.15">
      <c r="A759" s="110"/>
      <c r="B759" s="110"/>
      <c r="C759" s="110"/>
      <c r="D759" s="110"/>
      <c r="E759" s="110"/>
      <c r="F759" s="110"/>
      <c r="G759" s="110"/>
      <c r="H759" s="110"/>
      <c r="I759" s="110"/>
      <c r="J759" s="110"/>
      <c r="K759" s="110"/>
      <c r="L759" s="110"/>
      <c r="M759" s="110"/>
      <c r="N759" s="110"/>
      <c r="O759" s="110"/>
    </row>
    <row r="760" spans="1:15" ht="12" customHeight="1" x14ac:dyDescent="0.15">
      <c r="A760" s="110"/>
      <c r="B760" s="110"/>
      <c r="C760" s="110"/>
      <c r="D760" s="110"/>
      <c r="E760" s="110"/>
      <c r="F760" s="110"/>
      <c r="G760" s="110"/>
      <c r="H760" s="110"/>
      <c r="I760" s="110"/>
      <c r="J760" s="110"/>
      <c r="K760" s="110"/>
      <c r="L760" s="110"/>
      <c r="M760" s="110"/>
      <c r="N760" s="110"/>
      <c r="O760" s="110"/>
    </row>
    <row r="761" spans="1:15" ht="12" customHeight="1" x14ac:dyDescent="0.15">
      <c r="A761" s="110"/>
      <c r="B761" s="110"/>
      <c r="C761" s="110"/>
      <c r="D761" s="110"/>
      <c r="E761" s="110"/>
      <c r="F761" s="110"/>
      <c r="G761" s="110"/>
      <c r="H761" s="110"/>
      <c r="I761" s="110"/>
      <c r="J761" s="110"/>
      <c r="K761" s="110"/>
      <c r="L761" s="110"/>
      <c r="M761" s="110"/>
      <c r="N761" s="110"/>
      <c r="O761" s="110"/>
    </row>
    <row r="762" spans="1:15" ht="12" customHeight="1" x14ac:dyDescent="0.15">
      <c r="A762" s="110"/>
      <c r="B762" s="110"/>
      <c r="C762" s="110"/>
      <c r="D762" s="110"/>
      <c r="E762" s="110"/>
      <c r="F762" s="110"/>
      <c r="G762" s="110"/>
      <c r="H762" s="110"/>
      <c r="I762" s="110"/>
      <c r="J762" s="110"/>
      <c r="K762" s="110"/>
      <c r="L762" s="110"/>
      <c r="M762" s="110"/>
      <c r="N762" s="110"/>
      <c r="O762" s="110"/>
    </row>
    <row r="763" spans="1:15" ht="12" customHeight="1" x14ac:dyDescent="0.15">
      <c r="A763" s="110"/>
      <c r="B763" s="110"/>
      <c r="C763" s="110"/>
      <c r="D763" s="110"/>
      <c r="E763" s="110"/>
      <c r="F763" s="110"/>
      <c r="G763" s="110"/>
      <c r="H763" s="110"/>
      <c r="I763" s="110"/>
      <c r="J763" s="110"/>
      <c r="K763" s="110"/>
      <c r="L763" s="110"/>
      <c r="M763" s="110"/>
      <c r="N763" s="110"/>
      <c r="O763" s="110"/>
    </row>
    <row r="764" spans="1:15" ht="12" customHeight="1" x14ac:dyDescent="0.15">
      <c r="A764" s="110"/>
      <c r="B764" s="110"/>
      <c r="C764" s="110"/>
      <c r="D764" s="110"/>
      <c r="E764" s="110"/>
      <c r="F764" s="110"/>
      <c r="G764" s="110"/>
      <c r="H764" s="110"/>
      <c r="I764" s="110"/>
      <c r="J764" s="110"/>
      <c r="K764" s="110"/>
      <c r="L764" s="110"/>
      <c r="M764" s="110"/>
      <c r="N764" s="110"/>
      <c r="O764" s="110"/>
    </row>
    <row r="765" spans="1:15" ht="12" customHeight="1" x14ac:dyDescent="0.15">
      <c r="A765" s="110"/>
      <c r="B765" s="110"/>
      <c r="C765" s="110"/>
      <c r="D765" s="110"/>
      <c r="E765" s="110"/>
      <c r="F765" s="110"/>
      <c r="G765" s="110"/>
      <c r="H765" s="110"/>
      <c r="I765" s="110"/>
      <c r="J765" s="110"/>
      <c r="K765" s="110"/>
      <c r="L765" s="110"/>
      <c r="M765" s="110"/>
      <c r="N765" s="110"/>
      <c r="O765" s="110"/>
    </row>
    <row r="766" spans="1:15" ht="12" customHeight="1" x14ac:dyDescent="0.15">
      <c r="A766" s="110"/>
      <c r="B766" s="110"/>
      <c r="C766" s="110"/>
      <c r="D766" s="110"/>
      <c r="E766" s="110"/>
      <c r="F766" s="110"/>
      <c r="G766" s="110"/>
      <c r="H766" s="110"/>
      <c r="I766" s="110"/>
      <c r="J766" s="110"/>
      <c r="K766" s="110"/>
      <c r="L766" s="110"/>
      <c r="M766" s="110"/>
      <c r="N766" s="110"/>
      <c r="O766" s="110"/>
    </row>
    <row r="767" spans="1:15" ht="12" customHeight="1" x14ac:dyDescent="0.15">
      <c r="A767" s="110"/>
      <c r="B767" s="110"/>
      <c r="C767" s="110"/>
      <c r="D767" s="110"/>
      <c r="E767" s="110"/>
      <c r="F767" s="110"/>
      <c r="G767" s="110"/>
      <c r="H767" s="110"/>
      <c r="I767" s="110"/>
      <c r="J767" s="110"/>
      <c r="K767" s="110"/>
      <c r="L767" s="110"/>
      <c r="M767" s="110"/>
      <c r="N767" s="110"/>
      <c r="O767" s="110"/>
    </row>
    <row r="768" spans="1:15" ht="12" customHeight="1" x14ac:dyDescent="0.15">
      <c r="A768" s="110"/>
      <c r="B768" s="110"/>
      <c r="C768" s="110"/>
      <c r="D768" s="110"/>
      <c r="E768" s="110"/>
      <c r="F768" s="110"/>
      <c r="G768" s="110"/>
      <c r="H768" s="110"/>
      <c r="I768" s="110"/>
      <c r="J768" s="110"/>
      <c r="K768" s="110"/>
      <c r="L768" s="110"/>
      <c r="M768" s="110"/>
      <c r="N768" s="110"/>
      <c r="O768" s="110"/>
    </row>
    <row r="769" spans="1:15" ht="12" customHeight="1" x14ac:dyDescent="0.15">
      <c r="A769" s="110"/>
      <c r="B769" s="110"/>
      <c r="C769" s="110"/>
      <c r="D769" s="110"/>
      <c r="E769" s="110"/>
      <c r="F769" s="110"/>
      <c r="G769" s="110"/>
      <c r="H769" s="110"/>
      <c r="I769" s="110"/>
      <c r="J769" s="110"/>
      <c r="K769" s="110"/>
      <c r="L769" s="110"/>
      <c r="M769" s="110"/>
      <c r="N769" s="110"/>
      <c r="O769" s="110"/>
    </row>
    <row r="770" spans="1:15" ht="12" customHeight="1" x14ac:dyDescent="0.15">
      <c r="A770" s="110"/>
      <c r="B770" s="110"/>
      <c r="C770" s="110"/>
      <c r="D770" s="110"/>
      <c r="E770" s="110"/>
      <c r="F770" s="110"/>
      <c r="G770" s="110"/>
      <c r="H770" s="110"/>
      <c r="I770" s="110"/>
      <c r="J770" s="110"/>
      <c r="K770" s="110"/>
      <c r="L770" s="110"/>
      <c r="M770" s="110"/>
      <c r="N770" s="110"/>
      <c r="O770" s="110"/>
    </row>
    <row r="771" spans="1:15" ht="12" customHeight="1" x14ac:dyDescent="0.15">
      <c r="A771" s="110"/>
      <c r="B771" s="110"/>
      <c r="C771" s="110"/>
      <c r="D771" s="110"/>
      <c r="E771" s="110"/>
      <c r="F771" s="110"/>
      <c r="G771" s="110"/>
      <c r="H771" s="110"/>
      <c r="I771" s="110"/>
      <c r="J771" s="110"/>
      <c r="K771" s="110"/>
      <c r="L771" s="110"/>
      <c r="M771" s="110"/>
      <c r="N771" s="110"/>
      <c r="O771" s="110"/>
    </row>
    <row r="772" spans="1:15" ht="12" customHeight="1" x14ac:dyDescent="0.15">
      <c r="A772" s="110"/>
      <c r="B772" s="110"/>
      <c r="C772" s="110"/>
      <c r="D772" s="110"/>
      <c r="E772" s="110"/>
      <c r="F772" s="110"/>
      <c r="G772" s="110"/>
      <c r="H772" s="110"/>
      <c r="I772" s="110"/>
      <c r="J772" s="110"/>
      <c r="K772" s="110"/>
      <c r="L772" s="110"/>
      <c r="M772" s="110"/>
      <c r="N772" s="110"/>
      <c r="O772" s="110"/>
    </row>
    <row r="773" spans="1:15" ht="12" customHeight="1" x14ac:dyDescent="0.15">
      <c r="A773" s="110"/>
      <c r="B773" s="110"/>
      <c r="C773" s="110"/>
      <c r="D773" s="110"/>
      <c r="E773" s="110"/>
      <c r="F773" s="110"/>
      <c r="G773" s="110"/>
      <c r="H773" s="110"/>
      <c r="I773" s="110"/>
      <c r="J773" s="110"/>
      <c r="K773" s="110"/>
      <c r="L773" s="110"/>
      <c r="M773" s="110"/>
      <c r="N773" s="110"/>
      <c r="O773" s="110"/>
    </row>
    <row r="774" spans="1:15" ht="12" customHeight="1" x14ac:dyDescent="0.15">
      <c r="A774" s="110"/>
      <c r="B774" s="110"/>
      <c r="C774" s="110"/>
      <c r="D774" s="110"/>
      <c r="E774" s="110"/>
      <c r="F774" s="110"/>
      <c r="G774" s="110"/>
      <c r="H774" s="110"/>
      <c r="I774" s="110"/>
      <c r="J774" s="110"/>
      <c r="K774" s="110"/>
      <c r="L774" s="110"/>
      <c r="M774" s="110"/>
      <c r="N774" s="110"/>
      <c r="O774" s="110"/>
    </row>
    <row r="775" spans="1:15" ht="12" customHeight="1" x14ac:dyDescent="0.15">
      <c r="A775" s="110"/>
      <c r="B775" s="110"/>
      <c r="C775" s="110"/>
      <c r="D775" s="110"/>
      <c r="E775" s="110"/>
      <c r="F775" s="110"/>
      <c r="G775" s="110"/>
      <c r="H775" s="110"/>
      <c r="I775" s="110"/>
      <c r="J775" s="110"/>
      <c r="K775" s="110"/>
      <c r="L775" s="110"/>
      <c r="M775" s="110"/>
      <c r="N775" s="110"/>
      <c r="O775" s="110"/>
    </row>
    <row r="776" spans="1:15" ht="12" customHeight="1" x14ac:dyDescent="0.15">
      <c r="A776" s="110"/>
      <c r="B776" s="110"/>
      <c r="C776" s="110"/>
      <c r="D776" s="110"/>
      <c r="E776" s="110"/>
      <c r="F776" s="110"/>
      <c r="G776" s="110"/>
      <c r="H776" s="110"/>
      <c r="I776" s="110"/>
      <c r="J776" s="110"/>
      <c r="K776" s="110"/>
      <c r="L776" s="110"/>
      <c r="M776" s="110"/>
      <c r="N776" s="110"/>
      <c r="O776" s="110"/>
    </row>
    <row r="777" spans="1:15" ht="12" customHeight="1" x14ac:dyDescent="0.15">
      <c r="A777" s="110"/>
      <c r="B777" s="110"/>
      <c r="C777" s="110"/>
      <c r="D777" s="110"/>
      <c r="E777" s="110"/>
      <c r="F777" s="110"/>
      <c r="G777" s="110"/>
      <c r="H777" s="110"/>
      <c r="I777" s="110"/>
      <c r="J777" s="110"/>
      <c r="K777" s="110"/>
      <c r="L777" s="110"/>
      <c r="M777" s="110"/>
      <c r="N777" s="110"/>
      <c r="O777" s="110"/>
    </row>
    <row r="778" spans="1:15" ht="12" customHeight="1" x14ac:dyDescent="0.15">
      <c r="A778" s="110"/>
      <c r="B778" s="110"/>
      <c r="C778" s="110"/>
      <c r="D778" s="110"/>
      <c r="E778" s="110"/>
      <c r="F778" s="110"/>
      <c r="G778" s="110"/>
      <c r="H778" s="110"/>
      <c r="I778" s="110"/>
      <c r="J778" s="110"/>
      <c r="K778" s="110"/>
      <c r="L778" s="110"/>
      <c r="M778" s="110"/>
      <c r="N778" s="110"/>
      <c r="O778" s="110"/>
    </row>
    <row r="779" spans="1:15" ht="12" customHeight="1" x14ac:dyDescent="0.15">
      <c r="A779" s="110"/>
      <c r="B779" s="110"/>
      <c r="C779" s="110"/>
      <c r="D779" s="110"/>
      <c r="E779" s="110"/>
      <c r="F779" s="110"/>
      <c r="G779" s="110"/>
      <c r="H779" s="110"/>
      <c r="I779" s="110"/>
      <c r="J779" s="110"/>
      <c r="K779" s="110"/>
      <c r="L779" s="110"/>
      <c r="M779" s="110"/>
      <c r="N779" s="110"/>
      <c r="O779" s="110"/>
    </row>
    <row r="780" spans="1:15" ht="12" customHeight="1" x14ac:dyDescent="0.15">
      <c r="A780" s="110"/>
      <c r="B780" s="110"/>
      <c r="C780" s="110"/>
      <c r="D780" s="110"/>
      <c r="E780" s="110"/>
      <c r="F780" s="110"/>
      <c r="G780" s="110"/>
      <c r="H780" s="110"/>
      <c r="I780" s="110"/>
      <c r="J780" s="110"/>
      <c r="K780" s="110"/>
      <c r="L780" s="110"/>
      <c r="M780" s="110"/>
      <c r="N780" s="110"/>
      <c r="O780" s="110"/>
    </row>
    <row r="781" spans="1:15" ht="12" customHeight="1" x14ac:dyDescent="0.15">
      <c r="A781" s="110"/>
      <c r="B781" s="110"/>
      <c r="C781" s="110"/>
      <c r="D781" s="110"/>
      <c r="E781" s="110"/>
      <c r="F781" s="110"/>
      <c r="G781" s="110"/>
      <c r="H781" s="110"/>
      <c r="I781" s="110"/>
      <c r="J781" s="110"/>
      <c r="K781" s="110"/>
      <c r="L781" s="110"/>
      <c r="M781" s="110"/>
      <c r="N781" s="110"/>
      <c r="O781" s="110"/>
    </row>
    <row r="782" spans="1:15" ht="12" customHeight="1" x14ac:dyDescent="0.15">
      <c r="A782" s="110"/>
      <c r="B782" s="110"/>
      <c r="C782" s="110"/>
      <c r="D782" s="110"/>
      <c r="E782" s="110"/>
      <c r="F782" s="110"/>
      <c r="G782" s="110"/>
      <c r="H782" s="110"/>
      <c r="I782" s="110"/>
      <c r="J782" s="110"/>
      <c r="K782" s="110"/>
      <c r="L782" s="110"/>
      <c r="M782" s="110"/>
      <c r="N782" s="110"/>
      <c r="O782" s="110"/>
    </row>
    <row r="783" spans="1:15" ht="12" customHeight="1" x14ac:dyDescent="0.15">
      <c r="A783" s="110"/>
      <c r="B783" s="110"/>
      <c r="C783" s="110"/>
      <c r="D783" s="110"/>
      <c r="E783" s="110"/>
      <c r="F783" s="110"/>
      <c r="G783" s="110"/>
      <c r="H783" s="110"/>
      <c r="I783" s="110"/>
      <c r="J783" s="110"/>
      <c r="K783" s="110"/>
      <c r="L783" s="110"/>
      <c r="M783" s="110"/>
      <c r="N783" s="110"/>
      <c r="O783" s="110"/>
    </row>
    <row r="784" spans="1:15" ht="12" customHeight="1" x14ac:dyDescent="0.15">
      <c r="A784" s="110"/>
      <c r="B784" s="110"/>
      <c r="C784" s="110"/>
      <c r="D784" s="110"/>
      <c r="E784" s="110"/>
      <c r="F784" s="110"/>
      <c r="G784" s="110"/>
      <c r="H784" s="110"/>
      <c r="I784" s="110"/>
      <c r="J784" s="110"/>
      <c r="K784" s="110"/>
      <c r="L784" s="110"/>
      <c r="M784" s="110"/>
      <c r="N784" s="110"/>
      <c r="O784" s="110"/>
    </row>
    <row r="785" spans="1:15" ht="12" customHeight="1" x14ac:dyDescent="0.15">
      <c r="A785" s="110"/>
      <c r="B785" s="110"/>
      <c r="C785" s="110"/>
      <c r="D785" s="110"/>
      <c r="E785" s="110"/>
      <c r="F785" s="110"/>
      <c r="G785" s="110"/>
      <c r="H785" s="110"/>
      <c r="I785" s="110"/>
      <c r="J785" s="110"/>
      <c r="K785" s="110"/>
      <c r="L785" s="110"/>
      <c r="M785" s="110"/>
      <c r="N785" s="110"/>
      <c r="O785" s="110"/>
    </row>
    <row r="786" spans="1:15" ht="12" customHeight="1" x14ac:dyDescent="0.15">
      <c r="A786" s="110"/>
      <c r="B786" s="110"/>
      <c r="C786" s="110"/>
      <c r="D786" s="110"/>
      <c r="E786" s="110"/>
      <c r="F786" s="110"/>
      <c r="G786" s="110"/>
      <c r="H786" s="110"/>
      <c r="I786" s="110"/>
      <c r="J786" s="110"/>
      <c r="K786" s="110"/>
      <c r="L786" s="110"/>
      <c r="M786" s="110"/>
      <c r="N786" s="110"/>
      <c r="O786" s="110"/>
    </row>
    <row r="787" spans="1:15" ht="12" customHeight="1" x14ac:dyDescent="0.15">
      <c r="A787" s="110"/>
      <c r="B787" s="110"/>
      <c r="C787" s="110"/>
      <c r="D787" s="110"/>
      <c r="E787" s="110"/>
      <c r="F787" s="110"/>
      <c r="G787" s="110"/>
      <c r="H787" s="110"/>
      <c r="I787" s="110"/>
      <c r="J787" s="110"/>
      <c r="K787" s="110"/>
      <c r="L787" s="110"/>
      <c r="M787" s="110"/>
      <c r="N787" s="110"/>
      <c r="O787" s="110"/>
    </row>
    <row r="788" spans="1:15" ht="12" customHeight="1" x14ac:dyDescent="0.15">
      <c r="A788" s="110"/>
      <c r="B788" s="110"/>
      <c r="C788" s="110"/>
      <c r="D788" s="110"/>
      <c r="E788" s="110"/>
      <c r="F788" s="110"/>
      <c r="G788" s="110"/>
      <c r="H788" s="110"/>
      <c r="I788" s="110"/>
      <c r="J788" s="110"/>
      <c r="K788" s="110"/>
      <c r="L788" s="110"/>
      <c r="M788" s="110"/>
      <c r="N788" s="110"/>
      <c r="O788" s="110"/>
    </row>
    <row r="789" spans="1:15" ht="12" customHeight="1" x14ac:dyDescent="0.15">
      <c r="A789" s="110"/>
      <c r="B789" s="110"/>
      <c r="C789" s="110"/>
      <c r="D789" s="110"/>
      <c r="E789" s="110"/>
      <c r="F789" s="110"/>
      <c r="G789" s="110"/>
      <c r="H789" s="110"/>
      <c r="I789" s="110"/>
      <c r="J789" s="110"/>
      <c r="K789" s="110"/>
      <c r="L789" s="110"/>
      <c r="M789" s="110"/>
      <c r="N789" s="110"/>
      <c r="O789" s="110"/>
    </row>
    <row r="790" spans="1:15" ht="12" customHeight="1" x14ac:dyDescent="0.15">
      <c r="A790" s="110"/>
      <c r="B790" s="110"/>
      <c r="C790" s="110"/>
      <c r="D790" s="110"/>
      <c r="E790" s="110"/>
      <c r="F790" s="110"/>
      <c r="G790" s="110"/>
      <c r="H790" s="110"/>
      <c r="I790" s="110"/>
      <c r="J790" s="110"/>
      <c r="K790" s="110"/>
      <c r="L790" s="110"/>
      <c r="M790" s="110"/>
      <c r="N790" s="110"/>
      <c r="O790" s="110"/>
    </row>
    <row r="791" spans="1:15" ht="12" customHeight="1" x14ac:dyDescent="0.15">
      <c r="A791" s="110"/>
      <c r="B791" s="110"/>
      <c r="C791" s="110"/>
      <c r="D791" s="110"/>
      <c r="E791" s="110"/>
      <c r="F791" s="110"/>
      <c r="G791" s="110"/>
      <c r="H791" s="110"/>
      <c r="I791" s="110"/>
      <c r="J791" s="110"/>
      <c r="K791" s="110"/>
      <c r="L791" s="110"/>
      <c r="M791" s="110"/>
      <c r="N791" s="110"/>
      <c r="O791" s="110"/>
    </row>
    <row r="792" spans="1:15" ht="12" customHeight="1" x14ac:dyDescent="0.15">
      <c r="A792" s="110"/>
      <c r="B792" s="110"/>
      <c r="C792" s="110"/>
      <c r="D792" s="110"/>
      <c r="E792" s="110"/>
      <c r="F792" s="110"/>
      <c r="G792" s="110"/>
      <c r="H792" s="110"/>
      <c r="I792" s="110"/>
      <c r="J792" s="110"/>
      <c r="K792" s="110"/>
      <c r="L792" s="110"/>
      <c r="M792" s="110"/>
      <c r="N792" s="110"/>
      <c r="O792" s="110"/>
    </row>
    <row r="793" spans="1:15" ht="12" customHeight="1" x14ac:dyDescent="0.15">
      <c r="A793" s="110"/>
      <c r="B793" s="110"/>
      <c r="C793" s="110"/>
      <c r="D793" s="110"/>
      <c r="E793" s="110"/>
      <c r="F793" s="110"/>
      <c r="G793" s="110"/>
      <c r="H793" s="110"/>
      <c r="I793" s="110"/>
      <c r="J793" s="110"/>
      <c r="K793" s="110"/>
      <c r="L793" s="110"/>
      <c r="M793" s="110"/>
      <c r="N793" s="110"/>
      <c r="O793" s="110"/>
    </row>
    <row r="794" spans="1:15" ht="12" customHeight="1" x14ac:dyDescent="0.15">
      <c r="A794" s="110"/>
      <c r="B794" s="110"/>
      <c r="C794" s="110"/>
      <c r="D794" s="110"/>
      <c r="E794" s="110"/>
      <c r="F794" s="110"/>
      <c r="G794" s="110"/>
      <c r="H794" s="110"/>
      <c r="I794" s="110"/>
      <c r="J794" s="110"/>
      <c r="K794" s="110"/>
      <c r="L794" s="110"/>
      <c r="M794" s="110"/>
      <c r="N794" s="110"/>
      <c r="O794" s="110"/>
    </row>
    <row r="795" spans="1:15" ht="12" customHeight="1" x14ac:dyDescent="0.15">
      <c r="A795" s="110"/>
      <c r="B795" s="110"/>
      <c r="C795" s="110"/>
      <c r="D795" s="110"/>
      <c r="E795" s="110"/>
      <c r="F795" s="110"/>
      <c r="G795" s="110"/>
      <c r="H795" s="110"/>
      <c r="I795" s="110"/>
      <c r="J795" s="110"/>
      <c r="K795" s="110"/>
      <c r="L795" s="110"/>
      <c r="M795" s="110"/>
      <c r="N795" s="110"/>
      <c r="O795" s="110"/>
    </row>
    <row r="796" spans="1:15" ht="12" customHeight="1" x14ac:dyDescent="0.15">
      <c r="A796" s="110"/>
      <c r="B796" s="110"/>
      <c r="C796" s="110"/>
      <c r="D796" s="110"/>
      <c r="E796" s="110"/>
      <c r="F796" s="110"/>
      <c r="G796" s="110"/>
      <c r="H796" s="110"/>
      <c r="I796" s="110"/>
      <c r="J796" s="110"/>
      <c r="K796" s="110"/>
      <c r="L796" s="110"/>
      <c r="M796" s="110"/>
      <c r="N796" s="110"/>
      <c r="O796" s="110"/>
    </row>
    <row r="797" spans="1:15" ht="12" customHeight="1" x14ac:dyDescent="0.15">
      <c r="A797" s="110"/>
      <c r="B797" s="110"/>
      <c r="C797" s="110"/>
      <c r="D797" s="110"/>
      <c r="E797" s="110"/>
      <c r="F797" s="110"/>
      <c r="G797" s="110"/>
      <c r="H797" s="110"/>
      <c r="I797" s="110"/>
      <c r="J797" s="110"/>
      <c r="K797" s="110"/>
      <c r="L797" s="110"/>
      <c r="M797" s="110"/>
      <c r="N797" s="110"/>
      <c r="O797" s="110"/>
    </row>
    <row r="798" spans="1:15" ht="12" customHeight="1" x14ac:dyDescent="0.15">
      <c r="A798" s="110"/>
      <c r="B798" s="110"/>
      <c r="C798" s="110"/>
      <c r="D798" s="110"/>
      <c r="E798" s="110"/>
      <c r="F798" s="110"/>
      <c r="G798" s="110"/>
      <c r="H798" s="110"/>
      <c r="I798" s="110"/>
      <c r="J798" s="110"/>
      <c r="K798" s="110"/>
      <c r="L798" s="110"/>
      <c r="M798" s="110"/>
      <c r="N798" s="110"/>
      <c r="O798" s="110"/>
    </row>
    <row r="799" spans="1:15" ht="12" customHeight="1" x14ac:dyDescent="0.15">
      <c r="A799" s="110"/>
      <c r="B799" s="110"/>
      <c r="C799" s="110"/>
      <c r="D799" s="110"/>
      <c r="E799" s="110"/>
      <c r="F799" s="110"/>
      <c r="G799" s="110"/>
      <c r="H799" s="110"/>
      <c r="I799" s="110"/>
      <c r="J799" s="110"/>
      <c r="K799" s="110"/>
      <c r="L799" s="110"/>
      <c r="M799" s="110"/>
      <c r="N799" s="110"/>
      <c r="O799" s="110"/>
    </row>
    <row r="800" spans="1:15" ht="12" customHeight="1" x14ac:dyDescent="0.15">
      <c r="A800" s="110"/>
      <c r="B800" s="110"/>
      <c r="C800" s="110"/>
      <c r="D800" s="110"/>
      <c r="E800" s="110"/>
      <c r="F800" s="110"/>
      <c r="G800" s="110"/>
      <c r="H800" s="110"/>
      <c r="I800" s="110"/>
      <c r="J800" s="110"/>
      <c r="K800" s="110"/>
      <c r="L800" s="110"/>
      <c r="M800" s="110"/>
      <c r="N800" s="110"/>
      <c r="O800" s="110"/>
    </row>
    <row r="801" spans="1:15" ht="12" customHeight="1" x14ac:dyDescent="0.15">
      <c r="A801" s="110"/>
      <c r="B801" s="110"/>
      <c r="C801" s="110"/>
      <c r="D801" s="110"/>
      <c r="E801" s="110"/>
      <c r="F801" s="110"/>
      <c r="G801" s="110"/>
      <c r="H801" s="110"/>
      <c r="I801" s="110"/>
      <c r="J801" s="110"/>
      <c r="K801" s="110"/>
      <c r="L801" s="110"/>
      <c r="M801" s="110"/>
      <c r="N801" s="110"/>
      <c r="O801" s="110"/>
    </row>
    <row r="802" spans="1:15" ht="12" customHeight="1" x14ac:dyDescent="0.15">
      <c r="A802" s="110"/>
      <c r="B802" s="110"/>
      <c r="C802" s="110"/>
      <c r="D802" s="110"/>
      <c r="E802" s="110"/>
      <c r="F802" s="110"/>
      <c r="G802" s="110"/>
      <c r="H802" s="110"/>
      <c r="I802" s="110"/>
      <c r="J802" s="110"/>
      <c r="K802" s="110"/>
      <c r="L802" s="110"/>
      <c r="M802" s="110"/>
      <c r="N802" s="110"/>
      <c r="O802" s="110"/>
    </row>
    <row r="803" spans="1:15" ht="12" customHeight="1" x14ac:dyDescent="0.15">
      <c r="A803" s="110"/>
      <c r="B803" s="110"/>
      <c r="C803" s="110"/>
      <c r="D803" s="110"/>
      <c r="E803" s="110"/>
      <c r="F803" s="110"/>
      <c r="G803" s="110"/>
      <c r="H803" s="110"/>
      <c r="I803" s="110"/>
      <c r="J803" s="110"/>
      <c r="K803" s="110"/>
      <c r="L803" s="110"/>
      <c r="M803" s="110"/>
      <c r="N803" s="110"/>
      <c r="O803" s="110"/>
    </row>
    <row r="804" spans="1:15" ht="12" customHeight="1" x14ac:dyDescent="0.15">
      <c r="A804" s="110"/>
      <c r="B804" s="110"/>
      <c r="C804" s="110"/>
      <c r="D804" s="110"/>
      <c r="E804" s="110"/>
      <c r="F804" s="110"/>
      <c r="G804" s="110"/>
      <c r="H804" s="110"/>
      <c r="I804" s="110"/>
      <c r="J804" s="110"/>
      <c r="K804" s="110"/>
      <c r="L804" s="110"/>
      <c r="M804" s="110"/>
      <c r="N804" s="110"/>
      <c r="O804" s="110"/>
    </row>
    <row r="805" spans="1:15" ht="12" customHeight="1" x14ac:dyDescent="0.15">
      <c r="A805" s="110"/>
      <c r="B805" s="110"/>
      <c r="C805" s="110"/>
      <c r="D805" s="110"/>
      <c r="E805" s="110"/>
      <c r="F805" s="110"/>
      <c r="G805" s="110"/>
      <c r="H805" s="110"/>
      <c r="I805" s="110"/>
      <c r="J805" s="110"/>
      <c r="K805" s="110"/>
      <c r="L805" s="110"/>
      <c r="M805" s="110"/>
      <c r="N805" s="110"/>
      <c r="O805" s="110"/>
    </row>
    <row r="806" spans="1:15" ht="12" customHeight="1" x14ac:dyDescent="0.15">
      <c r="A806" s="110"/>
      <c r="B806" s="110"/>
      <c r="C806" s="110"/>
      <c r="D806" s="110"/>
      <c r="E806" s="110"/>
      <c r="F806" s="110"/>
      <c r="G806" s="110"/>
      <c r="H806" s="110"/>
      <c r="I806" s="110"/>
      <c r="J806" s="110"/>
      <c r="K806" s="110"/>
      <c r="L806" s="110"/>
      <c r="M806" s="110"/>
      <c r="N806" s="110"/>
      <c r="O806" s="110"/>
    </row>
    <row r="807" spans="1:15" ht="12" customHeight="1" x14ac:dyDescent="0.15">
      <c r="A807" s="110"/>
      <c r="B807" s="110"/>
      <c r="C807" s="110"/>
      <c r="D807" s="110"/>
      <c r="E807" s="110"/>
      <c r="F807" s="110"/>
      <c r="G807" s="110"/>
      <c r="H807" s="110"/>
      <c r="I807" s="110"/>
      <c r="J807" s="110"/>
      <c r="K807" s="110"/>
      <c r="L807" s="110"/>
      <c r="M807" s="110"/>
      <c r="N807" s="110"/>
      <c r="O807" s="110"/>
    </row>
    <row r="808" spans="1:15" ht="12" customHeight="1" x14ac:dyDescent="0.15">
      <c r="A808" s="110"/>
      <c r="B808" s="110"/>
      <c r="C808" s="110"/>
      <c r="D808" s="110"/>
      <c r="E808" s="110"/>
      <c r="F808" s="110"/>
      <c r="G808" s="110"/>
      <c r="H808" s="110"/>
      <c r="I808" s="110"/>
      <c r="J808" s="110"/>
      <c r="K808" s="110"/>
      <c r="L808" s="110"/>
      <c r="M808" s="110"/>
      <c r="N808" s="110"/>
      <c r="O808" s="110"/>
    </row>
    <row r="809" spans="1:15" ht="12" customHeight="1" x14ac:dyDescent="0.15">
      <c r="A809" s="110"/>
      <c r="B809" s="110"/>
      <c r="C809" s="110"/>
      <c r="D809" s="110"/>
      <c r="E809" s="110"/>
      <c r="F809" s="110"/>
      <c r="G809" s="110"/>
      <c r="H809" s="110"/>
      <c r="I809" s="110"/>
      <c r="J809" s="110"/>
      <c r="K809" s="110"/>
      <c r="L809" s="110"/>
      <c r="M809" s="110"/>
      <c r="N809" s="110"/>
      <c r="O809" s="110"/>
    </row>
    <row r="810" spans="1:15" ht="12" customHeight="1" x14ac:dyDescent="0.15">
      <c r="A810" s="110"/>
      <c r="B810" s="110"/>
      <c r="C810" s="110"/>
      <c r="D810" s="110"/>
      <c r="E810" s="110"/>
      <c r="F810" s="110"/>
      <c r="G810" s="110"/>
      <c r="H810" s="110"/>
      <c r="I810" s="110"/>
      <c r="J810" s="110"/>
      <c r="K810" s="110"/>
      <c r="L810" s="110"/>
      <c r="M810" s="110"/>
      <c r="N810" s="110"/>
      <c r="O810" s="110"/>
    </row>
    <row r="811" spans="1:15" ht="12" customHeight="1" x14ac:dyDescent="0.15">
      <c r="A811" s="110"/>
      <c r="B811" s="110"/>
      <c r="C811" s="110"/>
      <c r="D811" s="110"/>
      <c r="E811" s="110"/>
      <c r="F811" s="110"/>
      <c r="G811" s="110"/>
      <c r="H811" s="110"/>
      <c r="I811" s="110"/>
      <c r="J811" s="110"/>
      <c r="K811" s="110"/>
      <c r="L811" s="110"/>
      <c r="M811" s="110"/>
      <c r="N811" s="110"/>
      <c r="O811" s="110"/>
    </row>
    <row r="812" spans="1:15" ht="12" customHeight="1" x14ac:dyDescent="0.15">
      <c r="A812" s="110"/>
      <c r="B812" s="110"/>
      <c r="C812" s="110"/>
      <c r="D812" s="110"/>
      <c r="E812" s="110"/>
      <c r="F812" s="110"/>
      <c r="G812" s="110"/>
      <c r="H812" s="110"/>
      <c r="I812" s="110"/>
      <c r="J812" s="110"/>
      <c r="K812" s="110"/>
      <c r="L812" s="110"/>
      <c r="M812" s="110"/>
      <c r="N812" s="110"/>
      <c r="O812" s="110"/>
    </row>
    <row r="813" spans="1:15" ht="12" customHeight="1" x14ac:dyDescent="0.15">
      <c r="A813" s="110"/>
      <c r="B813" s="110"/>
      <c r="C813" s="110"/>
      <c r="D813" s="110"/>
      <c r="E813" s="110"/>
      <c r="F813" s="110"/>
      <c r="G813" s="110"/>
      <c r="H813" s="110"/>
      <c r="I813" s="110"/>
      <c r="J813" s="110"/>
      <c r="K813" s="110"/>
      <c r="L813" s="110"/>
      <c r="M813" s="110"/>
      <c r="N813" s="110"/>
      <c r="O813" s="110"/>
    </row>
    <row r="814" spans="1:15" ht="12" customHeight="1" x14ac:dyDescent="0.15">
      <c r="A814" s="110"/>
      <c r="B814" s="110"/>
      <c r="C814" s="110"/>
      <c r="D814" s="110"/>
      <c r="E814" s="110"/>
      <c r="F814" s="110"/>
      <c r="G814" s="110"/>
      <c r="H814" s="110"/>
      <c r="I814" s="110"/>
      <c r="J814" s="110"/>
      <c r="K814" s="110"/>
      <c r="L814" s="110"/>
      <c r="M814" s="110"/>
      <c r="N814" s="110"/>
      <c r="O814" s="110"/>
    </row>
    <row r="815" spans="1:15" ht="12" customHeight="1" x14ac:dyDescent="0.15">
      <c r="A815" s="110"/>
      <c r="B815" s="110"/>
      <c r="C815" s="110"/>
      <c r="D815" s="110"/>
      <c r="E815" s="110"/>
      <c r="F815" s="110"/>
      <c r="G815" s="110"/>
      <c r="H815" s="110"/>
      <c r="I815" s="110"/>
      <c r="J815" s="110"/>
      <c r="K815" s="110"/>
      <c r="L815" s="110"/>
      <c r="M815" s="110"/>
      <c r="N815" s="110"/>
      <c r="O815" s="110"/>
    </row>
    <row r="816" spans="1:15" ht="12" customHeight="1" x14ac:dyDescent="0.15">
      <c r="A816" s="110"/>
      <c r="B816" s="110"/>
      <c r="C816" s="110"/>
      <c r="D816" s="110"/>
      <c r="E816" s="110"/>
      <c r="F816" s="110"/>
      <c r="G816" s="110"/>
      <c r="H816" s="110"/>
      <c r="I816" s="110"/>
      <c r="J816" s="110"/>
      <c r="K816" s="110"/>
      <c r="L816" s="110"/>
      <c r="M816" s="110"/>
      <c r="N816" s="110"/>
      <c r="O816" s="110"/>
    </row>
    <row r="817" spans="1:15" ht="12" customHeight="1" x14ac:dyDescent="0.15">
      <c r="A817" s="110"/>
      <c r="B817" s="110"/>
      <c r="C817" s="110"/>
      <c r="D817" s="110"/>
      <c r="E817" s="110"/>
      <c r="F817" s="110"/>
      <c r="G817" s="110"/>
      <c r="H817" s="110"/>
      <c r="I817" s="110"/>
      <c r="J817" s="110"/>
      <c r="K817" s="110"/>
      <c r="L817" s="110"/>
      <c r="M817" s="110"/>
      <c r="N817" s="110"/>
      <c r="O817" s="110"/>
    </row>
    <row r="818" spans="1:15" ht="12" customHeight="1" x14ac:dyDescent="0.15">
      <c r="A818" s="110"/>
      <c r="B818" s="110"/>
      <c r="C818" s="110"/>
      <c r="D818" s="110"/>
      <c r="E818" s="110"/>
      <c r="F818" s="110"/>
      <c r="G818" s="110"/>
      <c r="H818" s="110"/>
      <c r="I818" s="110"/>
      <c r="J818" s="110"/>
      <c r="K818" s="110"/>
      <c r="L818" s="110"/>
      <c r="M818" s="110"/>
      <c r="N818" s="110"/>
      <c r="O818" s="110"/>
    </row>
    <row r="819" spans="1:15" ht="12" customHeight="1" x14ac:dyDescent="0.15">
      <c r="A819" s="110"/>
      <c r="B819" s="110"/>
      <c r="C819" s="110"/>
      <c r="D819" s="110"/>
      <c r="E819" s="110"/>
      <c r="F819" s="110"/>
      <c r="G819" s="110"/>
      <c r="H819" s="110"/>
      <c r="I819" s="110"/>
      <c r="J819" s="110"/>
      <c r="K819" s="110"/>
      <c r="L819" s="110"/>
      <c r="M819" s="110"/>
      <c r="N819" s="110"/>
      <c r="O819" s="110"/>
    </row>
    <row r="820" spans="1:15" ht="12" customHeight="1" x14ac:dyDescent="0.15">
      <c r="A820" s="110"/>
      <c r="B820" s="110"/>
      <c r="C820" s="110"/>
      <c r="D820" s="110"/>
      <c r="E820" s="110"/>
      <c r="F820" s="110"/>
      <c r="G820" s="110"/>
      <c r="H820" s="110"/>
      <c r="I820" s="110"/>
      <c r="J820" s="110"/>
      <c r="K820" s="110"/>
      <c r="L820" s="110"/>
      <c r="M820" s="110"/>
      <c r="N820" s="110"/>
      <c r="O820" s="110"/>
    </row>
    <row r="821" spans="1:15" ht="12" customHeight="1" x14ac:dyDescent="0.15">
      <c r="A821" s="110"/>
      <c r="B821" s="110"/>
      <c r="C821" s="110"/>
      <c r="D821" s="110"/>
      <c r="E821" s="110"/>
      <c r="F821" s="110"/>
      <c r="G821" s="110"/>
      <c r="H821" s="110"/>
      <c r="I821" s="110"/>
      <c r="J821" s="110"/>
      <c r="K821" s="110"/>
      <c r="L821" s="110"/>
      <c r="M821" s="110"/>
      <c r="N821" s="110"/>
      <c r="O821" s="110"/>
    </row>
    <row r="822" spans="1:15" ht="12" customHeight="1" x14ac:dyDescent="0.15">
      <c r="A822" s="110"/>
      <c r="B822" s="110"/>
      <c r="C822" s="110"/>
      <c r="D822" s="110"/>
      <c r="E822" s="110"/>
      <c r="F822" s="110"/>
      <c r="G822" s="110"/>
      <c r="H822" s="110"/>
      <c r="I822" s="110"/>
      <c r="J822" s="110"/>
      <c r="K822" s="110"/>
      <c r="L822" s="110"/>
      <c r="M822" s="110"/>
      <c r="N822" s="110"/>
      <c r="O822" s="110"/>
    </row>
    <row r="823" spans="1:15" ht="12" customHeight="1" x14ac:dyDescent="0.15">
      <c r="A823" s="110"/>
      <c r="B823" s="110"/>
      <c r="C823" s="110"/>
      <c r="D823" s="110"/>
      <c r="E823" s="110"/>
      <c r="F823" s="110"/>
      <c r="G823" s="110"/>
      <c r="H823" s="110"/>
      <c r="I823" s="110"/>
      <c r="J823" s="110"/>
      <c r="K823" s="110"/>
      <c r="L823" s="110"/>
      <c r="M823" s="110"/>
      <c r="N823" s="110"/>
      <c r="O823" s="110"/>
    </row>
    <row r="824" spans="1:15" ht="12" customHeight="1" x14ac:dyDescent="0.15">
      <c r="A824" s="110"/>
      <c r="B824" s="110"/>
      <c r="C824" s="110"/>
      <c r="D824" s="110"/>
      <c r="E824" s="110"/>
      <c r="F824" s="110"/>
      <c r="G824" s="110"/>
      <c r="H824" s="110"/>
      <c r="I824" s="110"/>
      <c r="J824" s="110"/>
      <c r="K824" s="110"/>
      <c r="L824" s="110"/>
      <c r="M824" s="110"/>
      <c r="N824" s="110"/>
      <c r="O824" s="110"/>
    </row>
    <row r="825" spans="1:15" ht="12" customHeight="1" x14ac:dyDescent="0.15">
      <c r="A825" s="110"/>
      <c r="B825" s="110"/>
      <c r="C825" s="110"/>
      <c r="D825" s="110"/>
      <c r="E825" s="110"/>
      <c r="F825" s="110"/>
      <c r="G825" s="110"/>
      <c r="H825" s="110"/>
      <c r="I825" s="110"/>
      <c r="J825" s="110"/>
      <c r="K825" s="110"/>
      <c r="L825" s="110"/>
      <c r="M825" s="110"/>
      <c r="N825" s="110"/>
      <c r="O825" s="110"/>
    </row>
    <row r="826" spans="1:15" ht="12" customHeight="1" x14ac:dyDescent="0.15">
      <c r="A826" s="110"/>
      <c r="B826" s="110"/>
      <c r="C826" s="110"/>
      <c r="D826" s="110"/>
      <c r="E826" s="110"/>
      <c r="F826" s="110"/>
      <c r="G826" s="110"/>
      <c r="H826" s="110"/>
      <c r="I826" s="110"/>
      <c r="J826" s="110"/>
      <c r="K826" s="110"/>
      <c r="L826" s="110"/>
      <c r="M826" s="110"/>
      <c r="N826" s="110"/>
      <c r="O826" s="110"/>
    </row>
    <row r="827" spans="1:15" ht="12" customHeight="1" x14ac:dyDescent="0.15">
      <c r="A827" s="110"/>
      <c r="B827" s="110"/>
      <c r="C827" s="110"/>
      <c r="D827" s="110"/>
      <c r="E827" s="110"/>
      <c r="F827" s="110"/>
      <c r="G827" s="110"/>
      <c r="H827" s="110"/>
      <c r="I827" s="110"/>
      <c r="J827" s="110"/>
      <c r="K827" s="110"/>
      <c r="L827" s="110"/>
      <c r="M827" s="110"/>
      <c r="N827" s="110"/>
      <c r="O827" s="110"/>
    </row>
    <row r="828" spans="1:15" ht="12" customHeight="1" x14ac:dyDescent="0.15">
      <c r="A828" s="110"/>
      <c r="B828" s="110"/>
      <c r="C828" s="110"/>
      <c r="D828" s="110"/>
      <c r="E828" s="110"/>
      <c r="F828" s="110"/>
      <c r="G828" s="110"/>
      <c r="H828" s="110"/>
      <c r="I828" s="110"/>
      <c r="J828" s="110"/>
      <c r="K828" s="110"/>
      <c r="L828" s="110"/>
      <c r="M828" s="110"/>
      <c r="N828" s="110"/>
      <c r="O828" s="110"/>
    </row>
    <row r="829" spans="1:15" ht="12" customHeight="1" x14ac:dyDescent="0.15">
      <c r="A829" s="110"/>
      <c r="B829" s="110"/>
      <c r="C829" s="110"/>
      <c r="D829" s="110"/>
      <c r="E829" s="110"/>
      <c r="F829" s="110"/>
      <c r="G829" s="110"/>
      <c r="H829" s="110"/>
      <c r="I829" s="110"/>
      <c r="J829" s="110"/>
      <c r="K829" s="110"/>
      <c r="L829" s="110"/>
      <c r="M829" s="110"/>
      <c r="N829" s="110"/>
      <c r="O829" s="110"/>
    </row>
    <row r="830" spans="1:15" ht="12" customHeight="1" x14ac:dyDescent="0.15">
      <c r="A830" s="110"/>
      <c r="B830" s="110"/>
      <c r="C830" s="110"/>
      <c r="D830" s="110"/>
      <c r="E830" s="110"/>
      <c r="F830" s="110"/>
      <c r="G830" s="110"/>
      <c r="H830" s="110"/>
      <c r="I830" s="110"/>
      <c r="J830" s="110"/>
      <c r="K830" s="110"/>
      <c r="L830" s="110"/>
      <c r="M830" s="110"/>
      <c r="N830" s="110"/>
      <c r="O830" s="110"/>
    </row>
    <row r="831" spans="1:15" ht="12" customHeight="1" x14ac:dyDescent="0.15">
      <c r="A831" s="110"/>
      <c r="B831" s="110"/>
      <c r="C831" s="110"/>
      <c r="D831" s="110"/>
      <c r="E831" s="110"/>
      <c r="F831" s="110"/>
      <c r="G831" s="110"/>
      <c r="H831" s="110"/>
      <c r="I831" s="110"/>
      <c r="J831" s="110"/>
      <c r="K831" s="110"/>
      <c r="L831" s="110"/>
      <c r="M831" s="110"/>
      <c r="N831" s="110"/>
      <c r="O831" s="110"/>
    </row>
    <row r="832" spans="1:15" ht="12" customHeight="1" x14ac:dyDescent="0.15">
      <c r="A832" s="110"/>
      <c r="B832" s="110"/>
      <c r="C832" s="110"/>
      <c r="D832" s="110"/>
      <c r="E832" s="110"/>
      <c r="F832" s="110"/>
      <c r="G832" s="110"/>
      <c r="H832" s="110"/>
      <c r="I832" s="110"/>
      <c r="J832" s="110"/>
      <c r="K832" s="110"/>
      <c r="L832" s="110"/>
      <c r="M832" s="110"/>
      <c r="N832" s="110"/>
      <c r="O832" s="110"/>
    </row>
    <row r="833" spans="1:15" ht="12" customHeight="1" x14ac:dyDescent="0.15">
      <c r="A833" s="110"/>
      <c r="B833" s="110"/>
      <c r="C833" s="110"/>
      <c r="D833" s="110"/>
      <c r="E833" s="110"/>
      <c r="F833" s="110"/>
      <c r="G833" s="110"/>
      <c r="H833" s="110"/>
      <c r="I833" s="110"/>
      <c r="J833" s="110"/>
      <c r="K833" s="110"/>
      <c r="L833" s="110"/>
      <c r="M833" s="110"/>
      <c r="N833" s="110"/>
      <c r="O833" s="110"/>
    </row>
    <row r="834" spans="1:15" ht="12" customHeight="1" x14ac:dyDescent="0.15">
      <c r="A834" s="110"/>
      <c r="B834" s="110"/>
      <c r="C834" s="110"/>
      <c r="D834" s="110"/>
      <c r="E834" s="110"/>
      <c r="F834" s="110"/>
      <c r="G834" s="110"/>
      <c r="H834" s="110"/>
      <c r="I834" s="110"/>
      <c r="J834" s="110"/>
      <c r="K834" s="110"/>
      <c r="L834" s="110"/>
      <c r="M834" s="110"/>
      <c r="N834" s="110"/>
      <c r="O834" s="110"/>
    </row>
    <row r="835" spans="1:15" ht="12" customHeight="1" x14ac:dyDescent="0.15">
      <c r="A835" s="110"/>
      <c r="B835" s="110"/>
      <c r="C835" s="110"/>
      <c r="D835" s="110"/>
      <c r="E835" s="110"/>
      <c r="F835" s="110"/>
      <c r="G835" s="110"/>
      <c r="H835" s="110"/>
      <c r="I835" s="110"/>
      <c r="J835" s="110"/>
      <c r="K835" s="110"/>
      <c r="L835" s="110"/>
      <c r="M835" s="110"/>
      <c r="N835" s="110"/>
      <c r="O835" s="110"/>
    </row>
    <row r="836" spans="1:15" ht="12" customHeight="1" x14ac:dyDescent="0.15">
      <c r="A836" s="110"/>
      <c r="B836" s="110"/>
      <c r="C836" s="110"/>
      <c r="D836" s="110"/>
      <c r="E836" s="110"/>
      <c r="F836" s="110"/>
      <c r="G836" s="110"/>
      <c r="H836" s="110"/>
      <c r="I836" s="110"/>
      <c r="J836" s="110"/>
      <c r="K836" s="110"/>
      <c r="L836" s="110"/>
      <c r="M836" s="110"/>
      <c r="N836" s="110"/>
      <c r="O836" s="110"/>
    </row>
    <row r="837" spans="1:15" ht="12" customHeight="1" x14ac:dyDescent="0.15">
      <c r="A837" s="110"/>
      <c r="B837" s="110"/>
      <c r="C837" s="110"/>
      <c r="D837" s="110"/>
      <c r="E837" s="110"/>
      <c r="F837" s="110"/>
      <c r="G837" s="110"/>
      <c r="H837" s="110"/>
      <c r="I837" s="110"/>
      <c r="J837" s="110"/>
      <c r="K837" s="110"/>
      <c r="L837" s="110"/>
      <c r="M837" s="110"/>
      <c r="N837" s="110"/>
      <c r="O837" s="110"/>
    </row>
    <row r="838" spans="1:15" ht="12" customHeight="1" x14ac:dyDescent="0.15">
      <c r="A838" s="110"/>
      <c r="B838" s="110"/>
      <c r="C838" s="110"/>
      <c r="D838" s="110"/>
      <c r="E838" s="110"/>
      <c r="F838" s="110"/>
      <c r="G838" s="110"/>
      <c r="H838" s="110"/>
      <c r="I838" s="110"/>
      <c r="J838" s="110"/>
      <c r="K838" s="110"/>
      <c r="L838" s="110"/>
      <c r="M838" s="110"/>
      <c r="N838" s="110"/>
      <c r="O838" s="110"/>
    </row>
    <row r="839" spans="1:15" ht="12" customHeight="1" x14ac:dyDescent="0.15">
      <c r="A839" s="110"/>
      <c r="B839" s="110"/>
      <c r="C839" s="110"/>
      <c r="D839" s="110"/>
      <c r="E839" s="110"/>
      <c r="F839" s="110"/>
      <c r="G839" s="110"/>
      <c r="H839" s="110"/>
      <c r="I839" s="110"/>
      <c r="J839" s="110"/>
      <c r="K839" s="110"/>
      <c r="L839" s="110"/>
      <c r="M839" s="110"/>
      <c r="N839" s="110"/>
      <c r="O839" s="110"/>
    </row>
    <row r="840" spans="1:15" ht="12" customHeight="1" x14ac:dyDescent="0.15">
      <c r="A840" s="110"/>
      <c r="B840" s="110"/>
      <c r="C840" s="110"/>
      <c r="D840" s="110"/>
      <c r="E840" s="110"/>
      <c r="F840" s="110"/>
      <c r="G840" s="110"/>
      <c r="H840" s="110"/>
      <c r="I840" s="110"/>
      <c r="J840" s="110"/>
      <c r="K840" s="110"/>
      <c r="L840" s="110"/>
      <c r="M840" s="110"/>
      <c r="N840" s="110"/>
      <c r="O840" s="110"/>
    </row>
    <row r="841" spans="1:15" ht="12" customHeight="1" x14ac:dyDescent="0.15">
      <c r="A841" s="110"/>
      <c r="B841" s="110"/>
      <c r="C841" s="110"/>
      <c r="D841" s="110"/>
      <c r="E841" s="110"/>
      <c r="F841" s="110"/>
      <c r="G841" s="110"/>
      <c r="H841" s="110"/>
      <c r="I841" s="110"/>
      <c r="J841" s="110"/>
      <c r="K841" s="110"/>
      <c r="L841" s="110"/>
      <c r="M841" s="110"/>
      <c r="N841" s="110"/>
      <c r="O841" s="110"/>
    </row>
    <row r="842" spans="1:15" ht="12" customHeight="1" x14ac:dyDescent="0.15">
      <c r="A842" s="110"/>
      <c r="B842" s="110"/>
      <c r="C842" s="110"/>
      <c r="D842" s="110"/>
      <c r="E842" s="110"/>
      <c r="F842" s="110"/>
      <c r="G842" s="110"/>
      <c r="H842" s="110"/>
      <c r="I842" s="110"/>
      <c r="J842" s="110"/>
      <c r="K842" s="110"/>
      <c r="L842" s="110"/>
      <c r="M842" s="110"/>
      <c r="N842" s="110"/>
      <c r="O842" s="110"/>
    </row>
    <row r="843" spans="1:15" ht="12" customHeight="1" x14ac:dyDescent="0.15">
      <c r="A843" s="110"/>
      <c r="B843" s="110"/>
      <c r="C843" s="110"/>
      <c r="D843" s="110"/>
      <c r="E843" s="110"/>
      <c r="F843" s="110"/>
      <c r="G843" s="110"/>
      <c r="H843" s="110"/>
      <c r="I843" s="110"/>
      <c r="J843" s="110"/>
      <c r="K843" s="110"/>
      <c r="L843" s="110"/>
      <c r="M843" s="110"/>
      <c r="N843" s="110"/>
      <c r="O843" s="110"/>
    </row>
    <row r="844" spans="1:15" ht="12" customHeight="1" x14ac:dyDescent="0.15">
      <c r="A844" s="110"/>
      <c r="B844" s="110"/>
      <c r="C844" s="110"/>
      <c r="D844" s="110"/>
      <c r="E844" s="110"/>
      <c r="F844" s="110"/>
      <c r="G844" s="110"/>
      <c r="H844" s="110"/>
      <c r="I844" s="110"/>
      <c r="J844" s="110"/>
      <c r="K844" s="110"/>
      <c r="L844" s="110"/>
      <c r="M844" s="110"/>
      <c r="N844" s="110"/>
      <c r="O844" s="110"/>
    </row>
    <row r="845" spans="1:15" ht="12" customHeight="1" x14ac:dyDescent="0.15">
      <c r="A845" s="110"/>
      <c r="B845" s="110"/>
      <c r="C845" s="110"/>
      <c r="D845" s="110"/>
      <c r="E845" s="110"/>
      <c r="F845" s="110"/>
      <c r="G845" s="110"/>
      <c r="H845" s="110"/>
      <c r="I845" s="110"/>
      <c r="J845" s="110"/>
      <c r="K845" s="110"/>
      <c r="L845" s="110"/>
      <c r="M845" s="110"/>
      <c r="N845" s="110"/>
      <c r="O845" s="110"/>
    </row>
    <row r="846" spans="1:15" ht="12" customHeight="1" x14ac:dyDescent="0.15">
      <c r="A846" s="110"/>
      <c r="B846" s="110"/>
      <c r="C846" s="110"/>
      <c r="D846" s="110"/>
      <c r="E846" s="110"/>
      <c r="F846" s="110"/>
      <c r="G846" s="110"/>
      <c r="H846" s="110"/>
      <c r="I846" s="110"/>
      <c r="J846" s="110"/>
      <c r="K846" s="110"/>
      <c r="L846" s="110"/>
      <c r="M846" s="110"/>
      <c r="N846" s="110"/>
      <c r="O846" s="110"/>
    </row>
    <row r="847" spans="1:15" ht="12" customHeight="1" x14ac:dyDescent="0.15">
      <c r="A847" s="110"/>
      <c r="B847" s="110"/>
      <c r="C847" s="110"/>
      <c r="D847" s="110"/>
      <c r="E847" s="110"/>
      <c r="F847" s="110"/>
      <c r="G847" s="110"/>
      <c r="H847" s="110"/>
      <c r="I847" s="110"/>
      <c r="J847" s="110"/>
      <c r="K847" s="110"/>
      <c r="L847" s="110"/>
      <c r="M847" s="110"/>
      <c r="N847" s="110"/>
      <c r="O847" s="110"/>
    </row>
    <row r="848" spans="1:15" ht="12" customHeight="1" x14ac:dyDescent="0.15">
      <c r="A848" s="110"/>
      <c r="B848" s="110"/>
      <c r="C848" s="110"/>
      <c r="D848" s="110"/>
      <c r="E848" s="110"/>
      <c r="F848" s="110"/>
      <c r="G848" s="110"/>
      <c r="H848" s="110"/>
      <c r="I848" s="110"/>
      <c r="J848" s="110"/>
      <c r="K848" s="110"/>
      <c r="L848" s="110"/>
      <c r="M848" s="110"/>
      <c r="N848" s="110"/>
      <c r="O848" s="110"/>
    </row>
    <row r="849" spans="1:15" ht="12" customHeight="1" x14ac:dyDescent="0.15">
      <c r="A849" s="110"/>
      <c r="B849" s="110"/>
      <c r="C849" s="110"/>
      <c r="D849" s="110"/>
      <c r="E849" s="110"/>
      <c r="F849" s="110"/>
      <c r="G849" s="110"/>
      <c r="H849" s="110"/>
      <c r="I849" s="110"/>
      <c r="J849" s="110"/>
      <c r="K849" s="110"/>
      <c r="L849" s="110"/>
      <c r="M849" s="110"/>
      <c r="N849" s="110"/>
      <c r="O849" s="110"/>
    </row>
    <row r="850" spans="1:15" ht="12" customHeight="1" x14ac:dyDescent="0.15">
      <c r="A850" s="110"/>
      <c r="B850" s="110"/>
      <c r="C850" s="110"/>
      <c r="D850" s="110"/>
      <c r="E850" s="110"/>
      <c r="F850" s="110"/>
      <c r="G850" s="110"/>
      <c r="H850" s="110"/>
      <c r="I850" s="110"/>
      <c r="J850" s="110"/>
      <c r="K850" s="110"/>
      <c r="L850" s="110"/>
      <c r="M850" s="110"/>
      <c r="N850" s="110"/>
      <c r="O850" s="110"/>
    </row>
    <row r="851" spans="1:15" ht="12" customHeight="1" x14ac:dyDescent="0.15">
      <c r="A851" s="110"/>
      <c r="B851" s="110"/>
      <c r="C851" s="110"/>
      <c r="D851" s="110"/>
      <c r="E851" s="110"/>
      <c r="F851" s="110"/>
      <c r="G851" s="110"/>
      <c r="H851" s="110"/>
      <c r="I851" s="110"/>
      <c r="J851" s="110"/>
      <c r="K851" s="110"/>
      <c r="L851" s="110"/>
      <c r="M851" s="110"/>
      <c r="N851" s="110"/>
      <c r="O851" s="110"/>
    </row>
    <row r="852" spans="1:15" ht="12" customHeight="1" x14ac:dyDescent="0.15">
      <c r="A852" s="110"/>
      <c r="B852" s="110"/>
      <c r="C852" s="110"/>
      <c r="D852" s="110"/>
      <c r="E852" s="110"/>
      <c r="F852" s="110"/>
      <c r="G852" s="110"/>
      <c r="H852" s="110"/>
      <c r="I852" s="110"/>
      <c r="J852" s="110"/>
      <c r="K852" s="110"/>
      <c r="L852" s="110"/>
      <c r="M852" s="110"/>
      <c r="N852" s="110"/>
      <c r="O852" s="110"/>
    </row>
    <row r="853" spans="1:15" ht="12" customHeight="1" x14ac:dyDescent="0.15">
      <c r="A853" s="110"/>
      <c r="B853" s="110"/>
      <c r="C853" s="110"/>
      <c r="D853" s="110"/>
      <c r="E853" s="110"/>
      <c r="F853" s="110"/>
      <c r="G853" s="110"/>
      <c r="H853" s="110"/>
      <c r="I853" s="110"/>
      <c r="J853" s="110"/>
      <c r="K853" s="110"/>
      <c r="L853" s="110"/>
      <c r="M853" s="110"/>
      <c r="N853" s="110"/>
      <c r="O853" s="110"/>
    </row>
    <row r="854" spans="1:15" ht="12" customHeight="1" x14ac:dyDescent="0.15">
      <c r="A854" s="110"/>
      <c r="B854" s="110"/>
      <c r="C854" s="110"/>
      <c r="D854" s="110"/>
      <c r="E854" s="110"/>
      <c r="F854" s="110"/>
      <c r="G854" s="110"/>
      <c r="H854" s="110"/>
      <c r="I854" s="110"/>
      <c r="J854" s="110"/>
      <c r="K854" s="110"/>
      <c r="L854" s="110"/>
      <c r="M854" s="110"/>
      <c r="N854" s="110"/>
      <c r="O854" s="110"/>
    </row>
    <row r="855" spans="1:15" ht="12" customHeight="1" x14ac:dyDescent="0.15">
      <c r="A855" s="110"/>
      <c r="B855" s="110"/>
      <c r="C855" s="110"/>
      <c r="D855" s="110"/>
      <c r="E855" s="110"/>
      <c r="F855" s="110"/>
      <c r="G855" s="110"/>
      <c r="H855" s="110"/>
      <c r="I855" s="110"/>
      <c r="J855" s="110"/>
      <c r="K855" s="110"/>
      <c r="L855" s="110"/>
      <c r="M855" s="110"/>
      <c r="N855" s="110"/>
      <c r="O855" s="110"/>
    </row>
    <row r="856" spans="1:15" ht="12" customHeight="1" x14ac:dyDescent="0.15">
      <c r="A856" s="110"/>
      <c r="B856" s="110"/>
      <c r="C856" s="110"/>
      <c r="D856" s="110"/>
      <c r="E856" s="110"/>
      <c r="F856" s="110"/>
      <c r="G856" s="110"/>
      <c r="H856" s="110"/>
      <c r="I856" s="110"/>
      <c r="J856" s="110"/>
      <c r="K856" s="110"/>
      <c r="L856" s="110"/>
      <c r="M856" s="110"/>
      <c r="N856" s="110"/>
      <c r="O856" s="110"/>
    </row>
    <row r="857" spans="1:15" ht="12" customHeight="1" x14ac:dyDescent="0.15">
      <c r="A857" s="110"/>
      <c r="B857" s="110"/>
      <c r="C857" s="110"/>
      <c r="D857" s="110"/>
      <c r="E857" s="110"/>
      <c r="F857" s="110"/>
      <c r="G857" s="110"/>
      <c r="H857" s="110"/>
      <c r="I857" s="110"/>
      <c r="J857" s="110"/>
      <c r="K857" s="110"/>
      <c r="L857" s="110"/>
      <c r="M857" s="110"/>
      <c r="N857" s="110"/>
      <c r="O857" s="110"/>
    </row>
    <row r="858" spans="1:15" ht="12" customHeight="1" x14ac:dyDescent="0.15">
      <c r="A858" s="110"/>
      <c r="B858" s="110"/>
      <c r="C858" s="110"/>
      <c r="D858" s="110"/>
      <c r="E858" s="110"/>
      <c r="F858" s="110"/>
      <c r="G858" s="110"/>
      <c r="H858" s="110"/>
      <c r="I858" s="110"/>
      <c r="J858" s="110"/>
      <c r="K858" s="110"/>
      <c r="L858" s="110"/>
      <c r="M858" s="110"/>
      <c r="N858" s="110"/>
      <c r="O858" s="110"/>
    </row>
    <row r="859" spans="1:15" ht="12" customHeight="1" x14ac:dyDescent="0.15">
      <c r="A859" s="110"/>
      <c r="B859" s="110"/>
      <c r="C859" s="110"/>
      <c r="D859" s="110"/>
      <c r="E859" s="110"/>
      <c r="F859" s="110"/>
      <c r="G859" s="110"/>
      <c r="H859" s="110"/>
      <c r="I859" s="110"/>
      <c r="J859" s="110"/>
      <c r="K859" s="110"/>
      <c r="L859" s="110"/>
      <c r="M859" s="110"/>
      <c r="N859" s="110"/>
      <c r="O859" s="110"/>
    </row>
    <row r="860" spans="1:15" ht="12" customHeight="1" x14ac:dyDescent="0.15">
      <c r="A860" s="110"/>
      <c r="B860" s="110"/>
      <c r="C860" s="110"/>
      <c r="D860" s="110"/>
      <c r="E860" s="110"/>
      <c r="F860" s="110"/>
      <c r="G860" s="110"/>
      <c r="H860" s="110"/>
      <c r="I860" s="110"/>
      <c r="J860" s="110"/>
      <c r="K860" s="110"/>
      <c r="L860" s="110"/>
      <c r="M860" s="110"/>
      <c r="N860" s="110"/>
      <c r="O860" s="110"/>
    </row>
    <row r="861" spans="1:15" ht="12" customHeight="1" x14ac:dyDescent="0.15">
      <c r="A861" s="110"/>
      <c r="B861" s="110"/>
      <c r="C861" s="110"/>
      <c r="D861" s="110"/>
      <c r="E861" s="110"/>
      <c r="F861" s="110"/>
      <c r="G861" s="110"/>
      <c r="H861" s="110"/>
      <c r="I861" s="110"/>
      <c r="J861" s="110"/>
      <c r="K861" s="110"/>
      <c r="L861" s="110"/>
      <c r="M861" s="110"/>
      <c r="N861" s="110"/>
      <c r="O861" s="110"/>
    </row>
    <row r="862" spans="1:15" ht="12" customHeight="1" x14ac:dyDescent="0.15">
      <c r="A862" s="110"/>
      <c r="B862" s="110"/>
      <c r="C862" s="110"/>
      <c r="D862" s="110"/>
      <c r="E862" s="110"/>
      <c r="F862" s="110"/>
      <c r="G862" s="110"/>
      <c r="H862" s="110"/>
      <c r="I862" s="110"/>
      <c r="J862" s="110"/>
      <c r="K862" s="110"/>
      <c r="L862" s="110"/>
      <c r="M862" s="110"/>
      <c r="N862" s="110"/>
      <c r="O862" s="110"/>
    </row>
    <row r="863" spans="1:15" ht="12" customHeight="1" x14ac:dyDescent="0.15">
      <c r="A863" s="110"/>
      <c r="B863" s="110"/>
      <c r="C863" s="110"/>
      <c r="D863" s="110"/>
      <c r="E863" s="110"/>
      <c r="F863" s="110"/>
      <c r="G863" s="110"/>
      <c r="H863" s="110"/>
      <c r="I863" s="110"/>
      <c r="J863" s="110"/>
      <c r="K863" s="110"/>
      <c r="L863" s="110"/>
      <c r="M863" s="110"/>
      <c r="N863" s="110"/>
      <c r="O863" s="110"/>
    </row>
    <row r="864" spans="1:15" ht="12" customHeight="1" x14ac:dyDescent="0.15">
      <c r="A864" s="110"/>
      <c r="B864" s="110"/>
      <c r="C864" s="110"/>
      <c r="D864" s="110"/>
      <c r="E864" s="110"/>
      <c r="F864" s="110"/>
      <c r="G864" s="110"/>
      <c r="H864" s="110"/>
      <c r="I864" s="110"/>
      <c r="J864" s="110"/>
      <c r="K864" s="110"/>
      <c r="L864" s="110"/>
      <c r="M864" s="110"/>
      <c r="N864" s="110"/>
      <c r="O864" s="110"/>
    </row>
    <row r="865" spans="1:15" ht="12" customHeight="1" x14ac:dyDescent="0.15">
      <c r="A865" s="110"/>
      <c r="B865" s="110"/>
      <c r="C865" s="110"/>
      <c r="D865" s="110"/>
      <c r="E865" s="110"/>
      <c r="F865" s="110"/>
      <c r="G865" s="110"/>
      <c r="H865" s="110"/>
      <c r="I865" s="110"/>
      <c r="J865" s="110"/>
      <c r="K865" s="110"/>
      <c r="L865" s="110"/>
      <c r="M865" s="110"/>
      <c r="N865" s="110"/>
      <c r="O865" s="110"/>
    </row>
  </sheetData>
  <sheetProtection algorithmName="SHA-512" hashValue="1hzNNZqvBr+uqAUf4ho+H5YkIwCvDmfp+IrW84cjdMRdfrJNZvIsX0pCuUCX+fF7CkhGSRrIJldsaLuM50JQTg==" saltValue="bMQPuT2sYoD7dQ/b9su/uQ==" spinCount="100000" sheet="1" objects="1" scenarios="1"/>
  <mergeCells count="32">
    <mergeCell ref="G77:M77"/>
    <mergeCell ref="D45:K45"/>
    <mergeCell ref="D46:K46"/>
    <mergeCell ref="D61:D62"/>
    <mergeCell ref="E61:E62"/>
    <mergeCell ref="G55:H55"/>
    <mergeCell ref="D54:F54"/>
    <mergeCell ref="G61:H61"/>
    <mergeCell ref="G54:H54"/>
    <mergeCell ref="D47:F47"/>
    <mergeCell ref="G47:H47"/>
    <mergeCell ref="D48:D49"/>
    <mergeCell ref="E48:E49"/>
    <mergeCell ref="G48:H48"/>
    <mergeCell ref="G76:M76"/>
    <mergeCell ref="D55:D56"/>
    <mergeCell ref="D11:L11"/>
    <mergeCell ref="G39:M39"/>
    <mergeCell ref="G40:M40"/>
    <mergeCell ref="E55:E56"/>
    <mergeCell ref="H18:I18"/>
    <mergeCell ref="D14:K14"/>
    <mergeCell ref="D15:K15"/>
    <mergeCell ref="D23:G23"/>
    <mergeCell ref="D18:D19"/>
    <mergeCell ref="E18:E19"/>
    <mergeCell ref="G18:G19"/>
    <mergeCell ref="D24:D25"/>
    <mergeCell ref="E24:E25"/>
    <mergeCell ref="H17:I17"/>
    <mergeCell ref="G24:I24"/>
    <mergeCell ref="H23:I23"/>
  </mergeCells>
  <hyperlinks>
    <hyperlink ref="H6" r:id="rId1" xr:uid="{F582F8BB-9F4E-4656-B2DD-0EC84BF05FBF}"/>
  </hyperlinks>
  <pageMargins left="0.7" right="0.7" top="0.75" bottom="0.75" header="0.3" footer="0.3"/>
  <drawing r:id="rId2"/>
  <extLst>
    <ext xmlns:x14="http://schemas.microsoft.com/office/spreadsheetml/2009/9/main" uri="{CCE6A557-97BC-4b89-ADB6-D9C93CAAB3DF}">
      <x14:dataValidations xmlns:xm="http://schemas.microsoft.com/office/excel/2006/main" count="3">
        <x14:dataValidation type="list" allowBlank="1" showErrorMessage="1" xr:uid="{5A83AB4D-2A02-4795-BCB3-F17E494C4082}">
          <x14:formula1>
            <xm:f>Lists!$F$2:$F$5</xm:f>
          </x14:formula1>
          <xm:sqref>E26:E35 E63:E72</xm:sqref>
        </x14:dataValidation>
        <x14:dataValidation type="list" allowBlank="1" showInputMessage="1" showErrorMessage="1" xr:uid="{114C2DDF-D8E5-4FAA-908D-1AA341A75C83}">
          <x14:formula1>
            <xm:f>Lists!$B$2:$B$3</xm:f>
          </x14:formula1>
          <xm:sqref>D26:D35</xm:sqref>
        </x14:dataValidation>
        <x14:dataValidation type="list" allowBlank="1" showInputMessage="1" showErrorMessage="1" xr:uid="{A9B4A7C7-83D9-4BB1-9914-E32AADDDAA16}">
          <x14:formula1>
            <xm:f>Lists!$B$4:$B$7</xm:f>
          </x14:formula1>
          <xm:sqref>D63:D72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9813A-2223-D945-85A4-6803EEE5627C}">
  <sheetPr codeName="Sheet8">
    <tabColor theme="9"/>
  </sheetPr>
  <dimension ref="A1:O833"/>
  <sheetViews>
    <sheetView showGridLines="0" topLeftCell="A2" zoomScale="130" zoomScaleNormal="130" workbookViewId="0">
      <selection activeCell="I20" sqref="I20"/>
    </sheetView>
  </sheetViews>
  <sheetFormatPr baseColWidth="10" defaultColWidth="14.5" defaultRowHeight="15" customHeight="1" x14ac:dyDescent="0.15"/>
  <cols>
    <col min="1" max="1" width="4.33203125" style="52" customWidth="1"/>
    <col min="2" max="2" width="6.1640625" style="52" bestFit="1" customWidth="1"/>
    <col min="3" max="3" width="1.5" style="52" customWidth="1"/>
    <col min="4" max="4" width="22" style="52" customWidth="1"/>
    <col min="5" max="5" width="34.6640625" style="52" customWidth="1"/>
    <col min="6" max="6" width="24.5" style="52" customWidth="1"/>
    <col min="7" max="7" width="22" style="52" customWidth="1"/>
    <col min="8" max="13" width="20.5" style="52" customWidth="1"/>
    <col min="14" max="15" width="9.1640625" style="52" customWidth="1"/>
    <col min="16" max="16384" width="14.5" style="52"/>
  </cols>
  <sheetData>
    <row r="1" spans="1:15" ht="11.25" customHeight="1" x14ac:dyDescent="0.2">
      <c r="A1" s="201" t="s">
        <v>308</v>
      </c>
      <c r="B1" s="202"/>
      <c r="C1" s="202"/>
      <c r="D1" s="202"/>
      <c r="E1" s="202"/>
      <c r="F1" s="202"/>
      <c r="G1" s="202"/>
      <c r="H1" s="202"/>
      <c r="I1" s="202"/>
      <c r="J1" s="203"/>
      <c r="K1" s="203"/>
      <c r="L1" s="203"/>
      <c r="M1" s="203"/>
      <c r="N1" s="202"/>
      <c r="O1" s="202"/>
    </row>
    <row r="2" spans="1:15" ht="11.25" customHeight="1" x14ac:dyDescent="0.15">
      <c r="A2" s="204"/>
      <c r="B2" s="204"/>
      <c r="C2" s="204"/>
      <c r="D2" s="204"/>
      <c r="E2" s="204"/>
      <c r="F2" s="204"/>
      <c r="G2" s="204"/>
      <c r="H2" s="204"/>
      <c r="I2" s="204"/>
      <c r="J2" s="204"/>
      <c r="K2" s="204"/>
      <c r="L2" s="204"/>
      <c r="M2" s="204"/>
      <c r="N2" s="204"/>
      <c r="O2" s="204"/>
    </row>
    <row r="3" spans="1:15" ht="11.25" customHeight="1" x14ac:dyDescent="0.15">
      <c r="A3" s="204"/>
      <c r="B3" s="204"/>
      <c r="C3" s="204"/>
      <c r="D3" s="204"/>
      <c r="E3" s="204"/>
      <c r="F3" s="204"/>
      <c r="G3" s="204"/>
      <c r="H3" s="204"/>
      <c r="I3" s="204"/>
      <c r="J3" s="204"/>
      <c r="K3" s="204"/>
      <c r="L3" s="204"/>
      <c r="M3" s="204"/>
      <c r="N3" s="204"/>
      <c r="O3" s="204"/>
    </row>
    <row r="4" spans="1:15" ht="54.75" customHeight="1" x14ac:dyDescent="0.15">
      <c r="A4" s="204"/>
      <c r="B4" s="204"/>
      <c r="C4" s="205"/>
      <c r="D4" s="205"/>
      <c r="E4" s="206"/>
      <c r="F4" s="206" t="str">
        <f>Automakers!D3</f>
        <v>SBTi Automotive Target-Setting Tool | DRAFT VERSION</v>
      </c>
      <c r="G4" s="206"/>
      <c r="H4" s="207"/>
      <c r="I4" s="207"/>
      <c r="J4" s="206"/>
      <c r="K4" s="206"/>
      <c r="L4" s="204"/>
      <c r="M4" s="204"/>
      <c r="N4" s="204"/>
      <c r="O4" s="204"/>
    </row>
    <row r="5" spans="1:15" ht="11.25" customHeight="1" x14ac:dyDescent="0.15">
      <c r="A5" s="204"/>
      <c r="B5" s="204"/>
      <c r="C5" s="208"/>
      <c r="D5" s="208"/>
      <c r="E5" s="208"/>
      <c r="F5" s="208"/>
      <c r="G5" s="207" t="s">
        <v>309</v>
      </c>
      <c r="H5" s="209">
        <f>Automakers!F4</f>
        <v>0.3</v>
      </c>
      <c r="I5" s="209"/>
      <c r="J5" s="204"/>
      <c r="K5" s="204"/>
      <c r="L5" s="204"/>
      <c r="M5" s="204"/>
      <c r="N5" s="204"/>
      <c r="O5" s="204"/>
    </row>
    <row r="6" spans="1:15" ht="12" customHeight="1" x14ac:dyDescent="0.15">
      <c r="A6" s="204"/>
      <c r="B6" s="204"/>
      <c r="C6" s="204"/>
      <c r="D6" s="204"/>
      <c r="G6" s="207" t="s">
        <v>26</v>
      </c>
      <c r="H6" s="210" t="s">
        <v>412</v>
      </c>
      <c r="I6" s="210"/>
      <c r="N6" s="204"/>
      <c r="O6" s="204"/>
    </row>
    <row r="7" spans="1:15" ht="12" customHeight="1" x14ac:dyDescent="0.15">
      <c r="A7" s="204"/>
      <c r="B7" s="204"/>
      <c r="C7" s="204"/>
      <c r="F7" s="211"/>
      <c r="J7" s="212"/>
      <c r="K7" s="213"/>
      <c r="L7" s="213"/>
      <c r="M7" s="213"/>
      <c r="N7" s="204"/>
      <c r="O7" s="204"/>
    </row>
    <row r="8" spans="1:15" ht="9.75" customHeight="1" x14ac:dyDescent="0.15">
      <c r="A8" s="110"/>
      <c r="B8" s="204"/>
      <c r="C8" s="204"/>
      <c r="D8" s="204"/>
      <c r="E8" s="204"/>
      <c r="F8" s="204"/>
      <c r="G8" s="204"/>
      <c r="H8" s="204"/>
      <c r="I8" s="204"/>
      <c r="J8" s="204"/>
      <c r="K8" s="204"/>
      <c r="L8" s="204"/>
      <c r="M8" s="204"/>
      <c r="N8" s="204"/>
      <c r="O8" s="204"/>
    </row>
    <row r="9" spans="1:15" ht="9.75" customHeight="1" x14ac:dyDescent="0.2">
      <c r="A9" s="110"/>
      <c r="B9" s="214"/>
      <c r="C9" s="214"/>
      <c r="D9" s="214"/>
      <c r="E9" s="214"/>
      <c r="F9" s="214"/>
      <c r="G9" s="214"/>
      <c r="H9" s="214"/>
      <c r="I9" s="214"/>
      <c r="J9" s="214"/>
      <c r="K9" s="214"/>
      <c r="L9" s="214"/>
      <c r="M9" s="214"/>
      <c r="N9" s="204"/>
      <c r="O9" s="204"/>
    </row>
    <row r="10" spans="1:15" ht="9.75" customHeight="1" x14ac:dyDescent="0.15">
      <c r="A10" s="110"/>
      <c r="B10" s="204"/>
      <c r="C10" s="204"/>
      <c r="D10" s="204"/>
      <c r="E10" s="204"/>
      <c r="F10" s="204"/>
      <c r="G10" s="204"/>
      <c r="H10" s="204"/>
      <c r="I10" s="204"/>
      <c r="J10" s="204"/>
      <c r="K10" s="204"/>
      <c r="L10" s="204"/>
      <c r="M10" s="204"/>
      <c r="N10" s="204"/>
      <c r="O10" s="204"/>
    </row>
    <row r="11" spans="1:15" ht="30" customHeight="1" x14ac:dyDescent="0.15">
      <c r="A11" s="110"/>
      <c r="B11" s="204"/>
      <c r="C11" s="204"/>
      <c r="D11" s="320" t="s">
        <v>410</v>
      </c>
      <c r="E11" s="320"/>
      <c r="F11" s="320"/>
      <c r="G11" s="320"/>
      <c r="H11" s="320"/>
      <c r="I11" s="320"/>
      <c r="J11" s="320"/>
      <c r="K11" s="320"/>
      <c r="L11" s="320"/>
      <c r="M11" s="204"/>
      <c r="N11" s="204"/>
      <c r="O11" s="204"/>
    </row>
    <row r="12" spans="1:15" ht="30" customHeight="1" thickBot="1" x14ac:dyDescent="0.2">
      <c r="A12" s="110"/>
      <c r="B12" s="110"/>
      <c r="C12" s="110"/>
      <c r="D12" s="215" t="s">
        <v>467</v>
      </c>
      <c r="E12" s="216"/>
      <c r="F12" s="216"/>
      <c r="G12" s="216"/>
      <c r="H12" s="216"/>
      <c r="I12" s="216"/>
      <c r="J12" s="216"/>
      <c r="K12" s="216"/>
      <c r="L12" s="216"/>
      <c r="M12" s="216"/>
      <c r="N12" s="110"/>
      <c r="O12" s="110"/>
    </row>
    <row r="13" spans="1:15" ht="12" customHeight="1" x14ac:dyDescent="0.15">
      <c r="A13" s="110"/>
      <c r="B13" s="110"/>
      <c r="C13" s="110"/>
      <c r="D13" s="110"/>
      <c r="E13" s="110"/>
      <c r="F13" s="110"/>
      <c r="G13" s="110"/>
      <c r="H13" s="110"/>
      <c r="I13" s="110"/>
      <c r="J13" s="110"/>
      <c r="K13" s="110"/>
      <c r="L13" s="110"/>
      <c r="M13" s="110"/>
      <c r="N13" s="110"/>
      <c r="O13" s="110"/>
    </row>
    <row r="14" spans="1:15" ht="38" customHeight="1" x14ac:dyDescent="0.15">
      <c r="A14" s="110"/>
      <c r="B14" s="110"/>
      <c r="C14" s="110"/>
      <c r="D14" s="327" t="s">
        <v>479</v>
      </c>
      <c r="E14" s="328"/>
      <c r="F14" s="328"/>
      <c r="G14" s="328"/>
      <c r="H14" s="328"/>
      <c r="I14" s="328"/>
      <c r="J14" s="328"/>
      <c r="K14" s="328"/>
      <c r="L14" s="110"/>
      <c r="M14" s="110"/>
      <c r="N14" s="110"/>
      <c r="O14" s="110"/>
    </row>
    <row r="15" spans="1:15" ht="30" customHeight="1" x14ac:dyDescent="0.15">
      <c r="A15" s="110"/>
      <c r="B15" s="110"/>
      <c r="C15" s="110"/>
      <c r="D15" s="327" t="s">
        <v>468</v>
      </c>
      <c r="E15" s="328"/>
      <c r="F15" s="328"/>
      <c r="G15" s="328"/>
      <c r="H15" s="328"/>
      <c r="I15" s="328"/>
      <c r="J15" s="328"/>
      <c r="K15" s="328"/>
      <c r="L15" s="110"/>
      <c r="M15" s="110"/>
      <c r="N15" s="110"/>
      <c r="O15" s="110"/>
    </row>
    <row r="16" spans="1:15" ht="12" customHeight="1" x14ac:dyDescent="0.15">
      <c r="A16" s="110"/>
      <c r="B16" s="110"/>
      <c r="C16" s="110"/>
      <c r="D16" s="110"/>
      <c r="E16" s="110"/>
      <c r="F16" s="110"/>
      <c r="G16" s="110"/>
      <c r="H16" s="110"/>
      <c r="I16" s="110"/>
      <c r="J16" s="110"/>
      <c r="K16" s="110"/>
      <c r="L16" s="110"/>
      <c r="M16" s="110"/>
      <c r="N16" s="110"/>
      <c r="O16" s="110"/>
    </row>
    <row r="17" spans="1:13" ht="19" thickBot="1" x14ac:dyDescent="0.2">
      <c r="A17" s="110"/>
      <c r="B17" s="110"/>
      <c r="C17" s="110"/>
      <c r="D17" s="228" t="s">
        <v>469</v>
      </c>
      <c r="E17" s="229"/>
      <c r="F17" s="229"/>
      <c r="G17" s="229"/>
      <c r="H17" s="340" t="s">
        <v>311</v>
      </c>
      <c r="I17" s="340"/>
      <c r="J17" s="238"/>
      <c r="K17" s="238"/>
    </row>
    <row r="18" spans="1:13" ht="72" customHeight="1" thickTop="1" x14ac:dyDescent="0.15">
      <c r="A18" s="110"/>
      <c r="B18" s="110"/>
      <c r="C18" s="110"/>
      <c r="D18" s="332" t="s">
        <v>236</v>
      </c>
      <c r="E18" s="334" t="s">
        <v>3</v>
      </c>
      <c r="F18" s="233" t="s">
        <v>0</v>
      </c>
      <c r="G18" s="334" t="s">
        <v>429</v>
      </c>
      <c r="H18" s="324" t="s">
        <v>1</v>
      </c>
      <c r="I18" s="326"/>
    </row>
    <row r="19" spans="1:13" ht="43" thickBot="1" x14ac:dyDescent="0.2">
      <c r="A19" s="110"/>
      <c r="B19" s="110"/>
      <c r="C19" s="110"/>
      <c r="D19" s="333"/>
      <c r="E19" s="335"/>
      <c r="F19" s="119" t="s">
        <v>425</v>
      </c>
      <c r="G19" s="335"/>
      <c r="H19" s="119" t="s">
        <v>424</v>
      </c>
      <c r="I19" s="118" t="s">
        <v>310</v>
      </c>
      <c r="J19" s="110"/>
      <c r="K19" s="110"/>
    </row>
    <row r="20" spans="1:13" ht="14" thickTop="1" x14ac:dyDescent="0.15">
      <c r="A20" s="110"/>
      <c r="B20" s="217"/>
      <c r="C20" s="110"/>
      <c r="D20" s="218">
        <f>Autoparts!D23</f>
        <v>0</v>
      </c>
      <c r="E20" s="219">
        <f>Autoparts!D22</f>
        <v>0</v>
      </c>
      <c r="F20" s="234" t="str">
        <f>+Autoparts!D31</f>
        <v/>
      </c>
      <c r="G20" s="123"/>
      <c r="H20" s="236" t="str">
        <f>+Autoparts!F31</f>
        <v/>
      </c>
      <c r="I20" s="235" t="str">
        <f>+Autoparts!H31</f>
        <v/>
      </c>
      <c r="J20" s="217" t="s">
        <v>312</v>
      </c>
      <c r="K20" s="110"/>
    </row>
    <row r="21" spans="1:13" ht="13" x14ac:dyDescent="0.15">
      <c r="A21" s="110"/>
      <c r="B21" s="110"/>
      <c r="C21" s="110"/>
      <c r="D21" s="110"/>
      <c r="E21" s="110"/>
      <c r="F21" s="110"/>
      <c r="G21" s="220" t="s">
        <v>313</v>
      </c>
      <c r="I21" s="110"/>
      <c r="J21" s="110"/>
      <c r="K21" s="110"/>
      <c r="L21" s="110"/>
      <c r="M21" s="110"/>
    </row>
    <row r="22" spans="1:13" ht="13" x14ac:dyDescent="0.15">
      <c r="A22" s="110"/>
      <c r="B22" s="110"/>
      <c r="C22" s="110"/>
      <c r="D22" s="110"/>
      <c r="E22" s="110"/>
      <c r="F22" s="110"/>
      <c r="G22" s="110"/>
      <c r="H22" s="110"/>
      <c r="I22" s="110"/>
      <c r="J22" s="110"/>
      <c r="K22" s="110"/>
      <c r="L22" s="110"/>
      <c r="M22" s="110"/>
    </row>
    <row r="23" spans="1:13" ht="42" customHeight="1" thickBot="1" x14ac:dyDescent="0.2">
      <c r="A23" s="110"/>
      <c r="B23" s="110"/>
      <c r="C23" s="110"/>
      <c r="D23" s="329" t="s">
        <v>470</v>
      </c>
      <c r="E23" s="330"/>
      <c r="F23" s="330"/>
      <c r="G23" s="331"/>
      <c r="H23" s="343" t="s">
        <v>311</v>
      </c>
      <c r="I23" s="343"/>
      <c r="L23" s="110"/>
      <c r="M23" s="110"/>
    </row>
    <row r="24" spans="1:13" ht="15" customHeight="1" thickTop="1" thickBot="1" x14ac:dyDescent="0.2">
      <c r="A24" s="110"/>
      <c r="B24" s="110"/>
      <c r="C24" s="110"/>
      <c r="D24" s="336" t="s">
        <v>236</v>
      </c>
      <c r="E24" s="338" t="s">
        <v>3</v>
      </c>
      <c r="F24" s="241" t="s">
        <v>0</v>
      </c>
      <c r="G24" s="341" t="s">
        <v>1</v>
      </c>
      <c r="H24" s="341"/>
      <c r="I24" s="342"/>
      <c r="K24" s="110"/>
      <c r="L24" s="110"/>
    </row>
    <row r="25" spans="1:13" ht="57" thickBot="1" x14ac:dyDescent="0.2">
      <c r="A25" s="110"/>
      <c r="B25" s="110"/>
      <c r="C25" s="110"/>
      <c r="D25" s="337"/>
      <c r="E25" s="339"/>
      <c r="F25" s="239" t="s">
        <v>442</v>
      </c>
      <c r="G25" s="240" t="s">
        <v>429</v>
      </c>
      <c r="H25" s="239" t="s">
        <v>442</v>
      </c>
      <c r="I25" s="242" t="s">
        <v>310</v>
      </c>
    </row>
    <row r="26" spans="1:13" ht="30" customHeight="1" thickTop="1" thickBot="1" x14ac:dyDescent="0.2">
      <c r="A26" s="111"/>
      <c r="B26" s="112">
        <v>1</v>
      </c>
      <c r="C26" s="110"/>
      <c r="D26" s="124"/>
      <c r="E26" s="124"/>
      <c r="F26" s="126"/>
      <c r="G26" s="125"/>
      <c r="H26" s="126"/>
      <c r="I26" s="127"/>
      <c r="J26" s="217" t="s">
        <v>435</v>
      </c>
      <c r="K26" s="111"/>
    </row>
    <row r="27" spans="1:13" ht="30" customHeight="1" thickTop="1" thickBot="1" x14ac:dyDescent="0.2">
      <c r="A27" s="111"/>
      <c r="B27" s="112">
        <v>2</v>
      </c>
      <c r="C27" s="110"/>
      <c r="D27" s="124"/>
      <c r="E27" s="124"/>
      <c r="F27" s="129"/>
      <c r="G27" s="128"/>
      <c r="H27" s="129"/>
      <c r="I27" s="127"/>
      <c r="J27" s="111"/>
      <c r="K27" s="111"/>
    </row>
    <row r="28" spans="1:13" ht="30" customHeight="1" thickTop="1" thickBot="1" x14ac:dyDescent="0.2">
      <c r="A28" s="111"/>
      <c r="B28" s="112">
        <v>3</v>
      </c>
      <c r="C28" s="110"/>
      <c r="D28" s="124"/>
      <c r="E28" s="124"/>
      <c r="F28" s="128"/>
      <c r="G28" s="128"/>
      <c r="H28" s="129"/>
      <c r="I28" s="127"/>
      <c r="J28" s="111"/>
      <c r="K28" s="111"/>
    </row>
    <row r="29" spans="1:13" ht="30" customHeight="1" thickTop="1" thickBot="1" x14ac:dyDescent="0.2">
      <c r="A29" s="111"/>
      <c r="B29" s="112">
        <v>4</v>
      </c>
      <c r="C29" s="110"/>
      <c r="D29" s="124"/>
      <c r="E29" s="124"/>
      <c r="F29" s="128"/>
      <c r="G29" s="128"/>
      <c r="H29" s="129"/>
      <c r="I29" s="127"/>
      <c r="J29" s="111"/>
      <c r="K29" s="111"/>
    </row>
    <row r="30" spans="1:13" ht="30" customHeight="1" thickTop="1" thickBot="1" x14ac:dyDescent="0.2">
      <c r="A30" s="111"/>
      <c r="B30" s="112">
        <v>5</v>
      </c>
      <c r="C30" s="110"/>
      <c r="D30" s="124"/>
      <c r="E30" s="124"/>
      <c r="F30" s="128"/>
      <c r="G30" s="128"/>
      <c r="H30" s="129"/>
      <c r="I30" s="127"/>
      <c r="J30" s="111"/>
      <c r="K30" s="111"/>
    </row>
    <row r="31" spans="1:13" ht="30" customHeight="1" thickTop="1" thickBot="1" x14ac:dyDescent="0.2">
      <c r="A31" s="111"/>
      <c r="B31" s="112">
        <v>6</v>
      </c>
      <c r="C31" s="110"/>
      <c r="D31" s="124"/>
      <c r="E31" s="124"/>
      <c r="F31" s="128"/>
      <c r="G31" s="128"/>
      <c r="H31" s="129"/>
      <c r="I31" s="127"/>
      <c r="J31" s="111"/>
      <c r="K31" s="111"/>
    </row>
    <row r="32" spans="1:13" ht="30" customHeight="1" thickTop="1" thickBot="1" x14ac:dyDescent="0.2">
      <c r="A32" s="111"/>
      <c r="B32" s="112">
        <v>7</v>
      </c>
      <c r="C32" s="110"/>
      <c r="D32" s="124"/>
      <c r="E32" s="124"/>
      <c r="F32" s="128"/>
      <c r="G32" s="128"/>
      <c r="H32" s="129"/>
      <c r="I32" s="127"/>
      <c r="J32" s="111"/>
      <c r="K32" s="111"/>
    </row>
    <row r="33" spans="1:15" ht="30" customHeight="1" thickTop="1" thickBot="1" x14ac:dyDescent="0.2">
      <c r="A33" s="111"/>
      <c r="B33" s="112">
        <v>8</v>
      </c>
      <c r="C33" s="110"/>
      <c r="D33" s="124"/>
      <c r="E33" s="124"/>
      <c r="F33" s="128"/>
      <c r="G33" s="128"/>
      <c r="H33" s="129"/>
      <c r="I33" s="127"/>
      <c r="J33" s="111"/>
      <c r="K33" s="111"/>
    </row>
    <row r="34" spans="1:15" ht="30" customHeight="1" thickTop="1" thickBot="1" x14ac:dyDescent="0.2">
      <c r="A34" s="111"/>
      <c r="B34" s="112">
        <v>9</v>
      </c>
      <c r="C34" s="110"/>
      <c r="D34" s="124"/>
      <c r="E34" s="124"/>
      <c r="F34" s="128"/>
      <c r="G34" s="128"/>
      <c r="H34" s="129"/>
      <c r="I34" s="127"/>
      <c r="J34" s="111"/>
      <c r="K34" s="111"/>
    </row>
    <row r="35" spans="1:15" ht="30" customHeight="1" thickTop="1" thickBot="1" x14ac:dyDescent="0.2">
      <c r="A35" s="111"/>
      <c r="B35" s="112">
        <v>10</v>
      </c>
      <c r="C35" s="110"/>
      <c r="D35" s="124"/>
      <c r="E35" s="124"/>
      <c r="F35" s="128"/>
      <c r="G35" s="128"/>
      <c r="H35" s="129"/>
      <c r="I35" s="127"/>
      <c r="J35" s="111"/>
      <c r="K35" s="111"/>
    </row>
    <row r="36" spans="1:15" thickTop="1" thickBot="1" x14ac:dyDescent="0.2">
      <c r="A36" s="110"/>
      <c r="B36" s="110"/>
      <c r="C36" s="110"/>
      <c r="D36" s="110"/>
      <c r="E36" s="110"/>
      <c r="F36" s="113"/>
      <c r="G36" s="113"/>
      <c r="H36" s="120"/>
      <c r="I36" s="110"/>
      <c r="J36" s="110"/>
      <c r="K36" s="110"/>
    </row>
    <row r="37" spans="1:15" ht="18" thickTop="1" thickBot="1" x14ac:dyDescent="0.2">
      <c r="A37" s="110"/>
      <c r="B37" s="110"/>
      <c r="C37" s="110"/>
      <c r="D37" s="110"/>
      <c r="E37" s="117" t="s">
        <v>471</v>
      </c>
      <c r="F37" s="227" t="s">
        <v>430</v>
      </c>
      <c r="G37" s="114">
        <f>+SUMIF(G26:G35,"&gt;0",G26:G35)</f>
        <v>0</v>
      </c>
      <c r="H37" s="115" t="str">
        <f>+IF(G37&lt;&gt;0,SUMPRODUCT(H26:H35,$G26:$G35)/SUM($G26:$G35),"")</f>
        <v/>
      </c>
      <c r="I37" s="121" t="e">
        <f>+IF(H37&lt;&gt;0,SUMPRODUCT(I26:I35,$G26:$G35)/SUM($G26:$G35),"")</f>
        <v>#DIV/0!</v>
      </c>
      <c r="J37" s="110"/>
      <c r="K37" s="110"/>
    </row>
    <row r="38" spans="1:15" ht="12" customHeight="1" thickTop="1" x14ac:dyDescent="0.15">
      <c r="A38" s="110"/>
      <c r="B38" s="110"/>
      <c r="C38" s="110"/>
      <c r="D38" s="110"/>
      <c r="E38" s="110"/>
      <c r="F38" s="110"/>
      <c r="G38" s="110"/>
      <c r="H38" s="110"/>
      <c r="I38" s="110"/>
      <c r="J38" s="110"/>
      <c r="K38" s="110"/>
      <c r="L38" s="110"/>
      <c r="M38" s="110"/>
      <c r="N38" s="110"/>
      <c r="O38" s="110"/>
    </row>
    <row r="39" spans="1:15" ht="49" hidden="1" customHeight="1" thickBot="1" x14ac:dyDescent="0.2">
      <c r="A39" s="110"/>
      <c r="B39" s="110"/>
      <c r="C39" s="110"/>
      <c r="D39" s="221"/>
      <c r="E39" s="221"/>
      <c r="F39" s="222" t="str">
        <f>CONCATENATE("Aggregated GHG emission intensity target formulation | LDVs")</f>
        <v>Aggregated GHG emission intensity target formulation | LDVs</v>
      </c>
      <c r="G39" s="321" t="e">
        <f>IF(OR(ISBLANK(F37),ISBLANK(H37)),"Enter data in table",Automakers!$D$71&amp;" commits to reduce the average scope 1, scope 2 and scope 3 category 1, category 11 and category 12 aggregated GHG emission intensity covering all sold "&amp;D30&amp;" across all countries by "&amp;(ROUNDUP(TRUNC(I37,4),3)*100)&amp;"%"&amp;" by "&amp;Automakers!D1&amp;" relative to "&amp;Automakers!D2)</f>
        <v>#DIV/0!</v>
      </c>
      <c r="H39" s="322"/>
      <c r="I39" s="322"/>
      <c r="J39" s="322"/>
      <c r="K39" s="322"/>
      <c r="L39" s="322"/>
      <c r="M39" s="323"/>
      <c r="N39" s="110"/>
      <c r="O39" s="110"/>
    </row>
    <row r="40" spans="1:15" ht="30" hidden="1" customHeight="1" thickTop="1" thickBot="1" x14ac:dyDescent="0.2">
      <c r="A40" s="110"/>
      <c r="B40" s="110"/>
      <c r="C40" s="110"/>
      <c r="D40" s="223"/>
      <c r="E40" s="223"/>
      <c r="F40" s="224" t="str">
        <f>CONCATENATE("Aggregated low-emission vehicle sales share target formulation | LDVs")</f>
        <v>Aggregated low-emission vehicle sales share target formulation | LDVs</v>
      </c>
      <c r="G40" s="321"/>
      <c r="H40" s="322"/>
      <c r="I40" s="322"/>
      <c r="J40" s="322"/>
      <c r="K40" s="322"/>
      <c r="L40" s="322"/>
      <c r="M40" s="323"/>
      <c r="N40" s="110"/>
      <c r="O40" s="110"/>
    </row>
    <row r="41" spans="1:15" ht="12" hidden="1" customHeight="1" thickTop="1" x14ac:dyDescent="0.2">
      <c r="A41" s="110"/>
      <c r="B41" s="214"/>
      <c r="C41" s="214"/>
      <c r="D41" s="214"/>
      <c r="E41" s="214"/>
      <c r="F41" s="214"/>
      <c r="G41" s="214"/>
      <c r="H41" s="214"/>
      <c r="I41" s="214"/>
      <c r="J41" s="214"/>
      <c r="K41" s="214"/>
      <c r="L41" s="214"/>
      <c r="M41" s="214"/>
      <c r="N41" s="110"/>
      <c r="O41" s="110"/>
    </row>
    <row r="42" spans="1:15" ht="12" customHeight="1" x14ac:dyDescent="0.15">
      <c r="A42" s="110"/>
      <c r="B42" s="110"/>
      <c r="C42" s="110"/>
      <c r="D42" s="110"/>
      <c r="E42" s="200"/>
      <c r="F42" s="200"/>
      <c r="G42" s="200"/>
      <c r="H42" s="200"/>
      <c r="I42" s="200"/>
      <c r="J42" s="200"/>
      <c r="K42" s="200"/>
      <c r="L42" s="200"/>
      <c r="M42" s="200"/>
      <c r="N42" s="200"/>
      <c r="O42" s="110"/>
    </row>
    <row r="43" spans="1:15" ht="13" x14ac:dyDescent="0.15">
      <c r="A43" s="110"/>
      <c r="B43" s="110"/>
      <c r="C43" s="110"/>
      <c r="D43" s="110"/>
      <c r="E43" s="110"/>
      <c r="F43" s="110"/>
      <c r="G43" s="110"/>
      <c r="H43" s="110"/>
      <c r="I43" s="110"/>
      <c r="J43" s="110"/>
      <c r="K43" s="110"/>
      <c r="L43" s="110"/>
      <c r="M43" s="110"/>
      <c r="N43" s="110"/>
      <c r="O43" s="110"/>
    </row>
    <row r="44" spans="1:15" ht="30" hidden="1" customHeight="1" thickTop="1" thickBot="1" x14ac:dyDescent="0.2">
      <c r="A44" s="110"/>
      <c r="B44" s="110"/>
      <c r="C44" s="110"/>
      <c r="D44" s="225"/>
      <c r="E44" s="223"/>
      <c r="F44" s="222" t="str">
        <f>CONCATENATE("Aggregated GHG emission intensity target formulation | Non LDVs")</f>
        <v>Aggregated GHG emission intensity target formulation | Non LDVs</v>
      </c>
      <c r="G44" s="321" t="e">
        <f>IF(OR(ISBLANK(#REF!),ISBLANK(#REF!)),"Enter data in table",Automakers!$D$71&amp;" commits to reduce the average scope 1, scope 2 and scope 3 category 1, category 11 and category 12 aggregated GHG emission intensity covering all sold "&amp;#REF!&amp;" across all countries by "&amp;(ROUNDUP(TRUNC(#REF!,4),3)*100)&amp;"%"&amp;" by "&amp;Automakers!D26&amp;" relative to "&amp;Automakers!D27)</f>
        <v>#REF!</v>
      </c>
      <c r="H44" s="322"/>
      <c r="I44" s="322"/>
      <c r="J44" s="322"/>
      <c r="K44" s="322"/>
      <c r="L44" s="322"/>
      <c r="M44" s="323"/>
      <c r="N44" s="110"/>
      <c r="O44" s="110"/>
    </row>
    <row r="45" spans="1:15" ht="30" hidden="1" customHeight="1" thickTop="1" thickBot="1" x14ac:dyDescent="0.2">
      <c r="A45" s="110"/>
      <c r="B45" s="110"/>
      <c r="C45" s="110"/>
      <c r="D45" s="225"/>
      <c r="E45" s="223"/>
      <c r="F45" s="224" t="str">
        <f>CONCATENATE("Aggregated low-emission vehicle sales share target formulation | Non LDVs")</f>
        <v>Aggregated low-emission vehicle sales share target formulation | Non LDVs</v>
      </c>
      <c r="G45" s="321" t="e">
        <f>IF(OR(ISBLANK(#REF!),ISBLANK(#REF!)),"Enter data in table",Automakers!$D$71&amp;" commits to increase the sales share of its low-emission "&amp;#REF!&amp;" sold across all countries by "&amp;(ROUNDUP(TRUNC(#REF!,4),3)*100)&amp;"%"&amp;" by "&amp;Automakers!D26&amp;" relative to "&amp;Automakers!D27)</f>
        <v>#REF!</v>
      </c>
      <c r="H45" s="322"/>
      <c r="I45" s="322"/>
      <c r="J45" s="322"/>
      <c r="K45" s="322"/>
      <c r="L45" s="322"/>
      <c r="M45" s="323"/>
      <c r="N45" s="110"/>
      <c r="O45" s="110"/>
    </row>
    <row r="46" spans="1:15" ht="12" customHeight="1" x14ac:dyDescent="0.15">
      <c r="A46" s="110"/>
      <c r="B46" s="110"/>
      <c r="C46" s="110"/>
      <c r="D46" s="110"/>
      <c r="E46" s="110"/>
      <c r="F46" s="110"/>
      <c r="G46" s="110"/>
      <c r="H46" s="110"/>
      <c r="I46" s="110"/>
      <c r="J46" s="110"/>
      <c r="K46" s="110"/>
      <c r="L46" s="110"/>
      <c r="M46" s="110"/>
      <c r="N46" s="110"/>
      <c r="O46" s="110"/>
    </row>
    <row r="47" spans="1:15" ht="12" customHeight="1" x14ac:dyDescent="0.15">
      <c r="A47" s="110"/>
      <c r="B47" s="110"/>
      <c r="C47" s="110"/>
      <c r="D47" s="110"/>
      <c r="E47" s="110"/>
      <c r="F47" s="110"/>
      <c r="G47" s="110"/>
      <c r="H47" s="110"/>
      <c r="I47" s="110"/>
      <c r="J47" s="110"/>
      <c r="K47" s="110"/>
      <c r="L47" s="110"/>
      <c r="M47" s="110"/>
      <c r="N47" s="110"/>
      <c r="O47" s="110"/>
    </row>
    <row r="48" spans="1:15" ht="12" customHeight="1" x14ac:dyDescent="0.15">
      <c r="A48" s="110"/>
      <c r="B48" s="110"/>
      <c r="C48" s="110"/>
      <c r="D48" s="110"/>
      <c r="E48" s="110"/>
      <c r="F48" s="110"/>
      <c r="G48" s="110"/>
      <c r="H48" s="110"/>
      <c r="I48" s="110"/>
      <c r="J48" s="110"/>
      <c r="K48" s="110"/>
      <c r="L48" s="110"/>
      <c r="M48" s="110"/>
      <c r="N48" s="110"/>
      <c r="O48" s="110"/>
    </row>
    <row r="49" spans="1:15" ht="12" customHeight="1" x14ac:dyDescent="0.15">
      <c r="A49" s="110"/>
      <c r="B49" s="110"/>
      <c r="C49" s="110"/>
      <c r="D49" s="110"/>
      <c r="E49" s="110"/>
      <c r="F49" s="110"/>
      <c r="G49" s="110"/>
      <c r="H49" s="110"/>
      <c r="I49" s="110"/>
      <c r="J49" s="110"/>
      <c r="K49" s="110"/>
      <c r="L49" s="110"/>
      <c r="M49" s="110"/>
      <c r="N49" s="110"/>
      <c r="O49" s="110"/>
    </row>
    <row r="50" spans="1:15" ht="12" customHeight="1" x14ac:dyDescent="0.15">
      <c r="A50" s="110"/>
      <c r="B50" s="110"/>
      <c r="C50" s="110"/>
      <c r="D50" s="110"/>
      <c r="E50" s="110"/>
      <c r="F50" s="110"/>
      <c r="G50" s="110"/>
      <c r="H50" s="110"/>
      <c r="I50" s="110"/>
      <c r="J50" s="110"/>
      <c r="K50" s="110"/>
      <c r="L50" s="110"/>
      <c r="M50" s="110"/>
      <c r="N50" s="110"/>
      <c r="O50" s="110"/>
    </row>
    <row r="51" spans="1:15" ht="12" customHeight="1" x14ac:dyDescent="0.15">
      <c r="A51" s="110"/>
      <c r="B51" s="110"/>
      <c r="C51" s="110"/>
      <c r="D51" s="110"/>
      <c r="E51" s="110"/>
      <c r="F51" s="110"/>
      <c r="G51" s="110"/>
      <c r="H51" s="110"/>
      <c r="I51" s="110"/>
      <c r="J51" s="110"/>
      <c r="K51" s="110"/>
      <c r="L51" s="110"/>
      <c r="M51" s="110"/>
      <c r="N51" s="110"/>
      <c r="O51" s="110"/>
    </row>
    <row r="52" spans="1:15" ht="12" customHeight="1" x14ac:dyDescent="0.15">
      <c r="A52" s="110"/>
      <c r="B52" s="110"/>
      <c r="C52" s="110"/>
      <c r="D52" s="110"/>
      <c r="E52" s="110"/>
      <c r="F52" s="110"/>
      <c r="G52" s="110"/>
      <c r="H52" s="110"/>
      <c r="I52" s="110"/>
      <c r="J52" s="110"/>
      <c r="K52" s="110"/>
      <c r="L52" s="110"/>
      <c r="M52" s="110"/>
      <c r="N52" s="110"/>
      <c r="O52" s="110"/>
    </row>
    <row r="53" spans="1:15" ht="12" customHeight="1" x14ac:dyDescent="0.15">
      <c r="A53" s="110"/>
      <c r="B53" s="110"/>
      <c r="C53" s="110"/>
      <c r="D53" s="110"/>
      <c r="E53" s="110"/>
      <c r="F53" s="110"/>
      <c r="G53" s="110"/>
      <c r="H53" s="110"/>
      <c r="I53" s="110"/>
      <c r="J53" s="110"/>
      <c r="K53" s="110"/>
      <c r="L53" s="110"/>
      <c r="M53" s="110"/>
      <c r="N53" s="110"/>
      <c r="O53" s="110"/>
    </row>
    <row r="54" spans="1:15" ht="12" customHeight="1" x14ac:dyDescent="0.15">
      <c r="A54" s="110"/>
      <c r="B54" s="110"/>
      <c r="C54" s="110"/>
      <c r="D54" s="110"/>
      <c r="E54" s="110"/>
      <c r="F54" s="110"/>
      <c r="G54" s="110"/>
      <c r="H54" s="110"/>
      <c r="I54" s="110"/>
      <c r="J54" s="110"/>
      <c r="K54" s="110"/>
      <c r="L54" s="110"/>
      <c r="M54" s="110"/>
      <c r="N54" s="110"/>
      <c r="O54" s="110"/>
    </row>
    <row r="55" spans="1:15" ht="12" customHeight="1" x14ac:dyDescent="0.15">
      <c r="A55" s="110"/>
      <c r="B55" s="110"/>
      <c r="C55" s="110"/>
      <c r="D55" s="110"/>
      <c r="E55" s="110"/>
      <c r="F55" s="110"/>
      <c r="G55" s="110"/>
      <c r="H55" s="110"/>
      <c r="I55" s="110"/>
      <c r="J55" s="110"/>
      <c r="K55" s="110"/>
      <c r="L55" s="110"/>
      <c r="M55" s="110"/>
      <c r="N55" s="110"/>
      <c r="O55" s="110"/>
    </row>
    <row r="56" spans="1:15" ht="12" customHeight="1" x14ac:dyDescent="0.15">
      <c r="A56" s="110"/>
      <c r="B56" s="110"/>
      <c r="C56" s="110"/>
      <c r="D56" s="110"/>
      <c r="E56" s="110"/>
      <c r="F56" s="110"/>
      <c r="G56" s="110"/>
      <c r="H56" s="110"/>
      <c r="I56" s="110"/>
      <c r="J56" s="110"/>
      <c r="K56" s="110"/>
      <c r="L56" s="110"/>
      <c r="M56" s="110"/>
      <c r="N56" s="110"/>
      <c r="O56" s="110"/>
    </row>
    <row r="57" spans="1:15" ht="12" customHeight="1" x14ac:dyDescent="0.15">
      <c r="A57" s="110"/>
      <c r="B57" s="110"/>
      <c r="C57" s="110"/>
      <c r="D57" s="110"/>
      <c r="E57" s="110"/>
      <c r="F57" s="110"/>
      <c r="G57" s="110"/>
      <c r="H57" s="110"/>
      <c r="I57" s="110"/>
      <c r="J57" s="110"/>
      <c r="K57" s="110"/>
      <c r="L57" s="110"/>
      <c r="M57" s="110"/>
      <c r="N57" s="110"/>
      <c r="O57" s="110"/>
    </row>
    <row r="58" spans="1:15" ht="12" customHeight="1" x14ac:dyDescent="0.15">
      <c r="A58" s="110"/>
      <c r="B58" s="110"/>
      <c r="C58" s="110"/>
      <c r="D58" s="110"/>
      <c r="E58" s="110"/>
      <c r="F58" s="110"/>
      <c r="G58" s="110"/>
      <c r="H58" s="110"/>
      <c r="I58" s="110"/>
      <c r="J58" s="110"/>
      <c r="K58" s="110"/>
      <c r="L58" s="110"/>
      <c r="M58" s="110"/>
      <c r="N58" s="110"/>
      <c r="O58" s="110"/>
    </row>
    <row r="59" spans="1:15" ht="12" customHeight="1" x14ac:dyDescent="0.15">
      <c r="A59" s="110"/>
      <c r="B59" s="110"/>
      <c r="C59" s="110"/>
      <c r="D59" s="110"/>
      <c r="E59" s="110"/>
      <c r="F59" s="110"/>
      <c r="G59" s="110"/>
      <c r="H59" s="110"/>
      <c r="I59" s="110"/>
      <c r="J59" s="110"/>
      <c r="K59" s="110"/>
      <c r="L59" s="110"/>
      <c r="M59" s="110"/>
      <c r="N59" s="110"/>
      <c r="O59" s="110"/>
    </row>
    <row r="60" spans="1:15" ht="12" customHeight="1" x14ac:dyDescent="0.15">
      <c r="A60" s="110"/>
      <c r="B60" s="110"/>
      <c r="C60" s="110"/>
      <c r="D60" s="110"/>
      <c r="E60" s="110"/>
      <c r="F60" s="110"/>
      <c r="G60" s="110"/>
      <c r="H60" s="110"/>
      <c r="I60" s="110"/>
      <c r="J60" s="110"/>
      <c r="K60" s="110"/>
      <c r="L60" s="110"/>
      <c r="M60" s="110"/>
      <c r="N60" s="110"/>
      <c r="O60" s="110"/>
    </row>
    <row r="61" spans="1:15" ht="12" customHeight="1" x14ac:dyDescent="0.15">
      <c r="A61" s="110"/>
      <c r="B61" s="110"/>
      <c r="C61" s="110"/>
      <c r="D61" s="110"/>
      <c r="E61" s="110"/>
      <c r="F61" s="110"/>
      <c r="G61" s="110"/>
      <c r="H61" s="110"/>
      <c r="I61" s="110"/>
      <c r="J61" s="110"/>
      <c r="K61" s="110"/>
      <c r="L61" s="110"/>
      <c r="M61" s="110"/>
      <c r="N61" s="110"/>
      <c r="O61" s="110"/>
    </row>
    <row r="62" spans="1:15" ht="12" customHeight="1" x14ac:dyDescent="0.15">
      <c r="A62" s="110"/>
      <c r="B62" s="110"/>
      <c r="C62" s="110"/>
      <c r="D62" s="110"/>
      <c r="E62" s="110"/>
      <c r="F62" s="110"/>
      <c r="G62" s="110"/>
      <c r="H62" s="110"/>
      <c r="I62" s="110"/>
      <c r="J62" s="110"/>
      <c r="K62" s="110"/>
      <c r="L62" s="110"/>
      <c r="M62" s="110"/>
      <c r="N62" s="110"/>
      <c r="O62" s="110"/>
    </row>
    <row r="63" spans="1:15" ht="12" customHeight="1" x14ac:dyDescent="0.15">
      <c r="A63" s="110"/>
      <c r="B63" s="110"/>
      <c r="C63" s="110"/>
      <c r="D63" s="110"/>
      <c r="E63" s="110"/>
      <c r="F63" s="110"/>
      <c r="G63" s="110"/>
      <c r="H63" s="110"/>
      <c r="I63" s="110"/>
      <c r="J63" s="110"/>
      <c r="K63" s="110"/>
      <c r="L63" s="110"/>
      <c r="M63" s="110"/>
      <c r="N63" s="110"/>
      <c r="O63" s="110"/>
    </row>
    <row r="64" spans="1:15" ht="12" customHeight="1" x14ac:dyDescent="0.15">
      <c r="A64" s="110"/>
      <c r="B64" s="110"/>
      <c r="C64" s="110"/>
      <c r="D64" s="110"/>
      <c r="E64" s="110"/>
      <c r="F64" s="110"/>
      <c r="G64" s="110"/>
      <c r="H64" s="110"/>
      <c r="I64" s="110"/>
      <c r="J64" s="110"/>
      <c r="K64" s="110"/>
      <c r="L64" s="110"/>
      <c r="M64" s="110"/>
      <c r="N64" s="110"/>
      <c r="O64" s="110"/>
    </row>
    <row r="65" spans="1:15" ht="12" customHeight="1" x14ac:dyDescent="0.15">
      <c r="A65" s="110"/>
      <c r="B65" s="110"/>
      <c r="C65" s="110"/>
      <c r="D65" s="110"/>
      <c r="E65" s="110"/>
      <c r="F65" s="110"/>
      <c r="G65" s="110"/>
      <c r="H65" s="110"/>
      <c r="I65" s="110"/>
      <c r="J65" s="110"/>
      <c r="K65" s="110"/>
      <c r="L65" s="110"/>
      <c r="M65" s="110"/>
      <c r="N65" s="110"/>
      <c r="O65" s="110"/>
    </row>
    <row r="66" spans="1:15" ht="12" customHeight="1" x14ac:dyDescent="0.15">
      <c r="A66" s="110"/>
      <c r="B66" s="110"/>
      <c r="C66" s="110"/>
      <c r="D66" s="110"/>
      <c r="E66" s="110"/>
      <c r="F66" s="110"/>
      <c r="G66" s="110"/>
      <c r="H66" s="110"/>
      <c r="I66" s="110"/>
      <c r="J66" s="110"/>
      <c r="K66" s="110"/>
      <c r="L66" s="110"/>
      <c r="M66" s="110"/>
      <c r="N66" s="110"/>
      <c r="O66" s="110"/>
    </row>
    <row r="67" spans="1:15" ht="12" customHeight="1" x14ac:dyDescent="0.15">
      <c r="A67" s="110"/>
      <c r="B67" s="110"/>
      <c r="C67" s="110"/>
      <c r="D67" s="110"/>
      <c r="E67" s="110"/>
      <c r="F67" s="110"/>
      <c r="G67" s="110"/>
      <c r="H67" s="110"/>
      <c r="I67" s="110"/>
      <c r="J67" s="110"/>
      <c r="K67" s="110"/>
      <c r="L67" s="110"/>
      <c r="M67" s="110"/>
      <c r="N67" s="110"/>
      <c r="O67" s="110"/>
    </row>
    <row r="68" spans="1:15" ht="12" customHeight="1" x14ac:dyDescent="0.15">
      <c r="A68" s="110"/>
      <c r="B68" s="110"/>
      <c r="C68" s="110"/>
      <c r="D68" s="110"/>
      <c r="E68" s="110"/>
      <c r="F68" s="110"/>
      <c r="G68" s="110"/>
      <c r="H68" s="110"/>
      <c r="I68" s="110"/>
      <c r="J68" s="110"/>
      <c r="K68" s="110"/>
      <c r="L68" s="110"/>
      <c r="M68" s="110"/>
      <c r="N68" s="110"/>
      <c r="O68" s="110"/>
    </row>
    <row r="69" spans="1:15" ht="12" customHeight="1" x14ac:dyDescent="0.15">
      <c r="A69" s="110"/>
      <c r="B69" s="110"/>
      <c r="C69" s="110"/>
      <c r="D69" s="110"/>
      <c r="E69" s="110"/>
      <c r="F69" s="110"/>
      <c r="G69" s="110"/>
      <c r="H69" s="110"/>
      <c r="I69" s="110"/>
      <c r="J69" s="110"/>
      <c r="K69" s="110"/>
      <c r="L69" s="110"/>
      <c r="M69" s="110"/>
      <c r="N69" s="110"/>
      <c r="O69" s="110"/>
    </row>
    <row r="70" spans="1:15" ht="12" customHeight="1" x14ac:dyDescent="0.15">
      <c r="A70" s="110"/>
      <c r="B70" s="110"/>
      <c r="C70" s="110"/>
      <c r="D70" s="110"/>
      <c r="E70" s="110"/>
      <c r="F70" s="110"/>
      <c r="G70" s="110"/>
      <c r="H70" s="110"/>
      <c r="I70" s="110"/>
      <c r="J70" s="110"/>
      <c r="K70" s="110"/>
      <c r="L70" s="110"/>
      <c r="M70" s="110"/>
      <c r="N70" s="110"/>
      <c r="O70" s="110"/>
    </row>
    <row r="71" spans="1:15" ht="12" customHeight="1" x14ac:dyDescent="0.15">
      <c r="A71" s="110"/>
      <c r="B71" s="110"/>
      <c r="C71" s="110"/>
      <c r="D71" s="110"/>
      <c r="E71" s="110"/>
      <c r="F71" s="110"/>
      <c r="G71" s="110"/>
      <c r="H71" s="110"/>
      <c r="I71" s="110"/>
      <c r="J71" s="110"/>
      <c r="K71" s="110"/>
      <c r="L71" s="110"/>
      <c r="M71" s="110"/>
      <c r="N71" s="110"/>
      <c r="O71" s="110"/>
    </row>
    <row r="72" spans="1:15" ht="12" customHeight="1" x14ac:dyDescent="0.15">
      <c r="A72" s="110"/>
      <c r="B72" s="110"/>
      <c r="C72" s="110"/>
      <c r="D72" s="110"/>
      <c r="E72" s="110"/>
      <c r="F72" s="110"/>
      <c r="G72" s="110"/>
      <c r="H72" s="110"/>
      <c r="I72" s="110"/>
      <c r="J72" s="110"/>
      <c r="K72" s="110"/>
      <c r="L72" s="110"/>
      <c r="M72" s="110"/>
      <c r="N72" s="110"/>
      <c r="O72" s="110"/>
    </row>
    <row r="73" spans="1:15" ht="12" customHeight="1" x14ac:dyDescent="0.15">
      <c r="A73" s="110"/>
      <c r="B73" s="110"/>
      <c r="C73" s="110"/>
      <c r="D73" s="110"/>
      <c r="E73" s="110"/>
      <c r="F73" s="110"/>
      <c r="G73" s="110"/>
      <c r="H73" s="110"/>
      <c r="I73" s="110"/>
      <c r="J73" s="110"/>
      <c r="K73" s="110"/>
      <c r="L73" s="110"/>
      <c r="M73" s="110"/>
      <c r="N73" s="110"/>
      <c r="O73" s="110"/>
    </row>
    <row r="74" spans="1:15" ht="12" customHeight="1" x14ac:dyDescent="0.15">
      <c r="A74" s="110"/>
      <c r="B74" s="110"/>
      <c r="C74" s="110"/>
      <c r="D74" s="110"/>
      <c r="E74" s="110"/>
      <c r="F74" s="110"/>
      <c r="G74" s="110"/>
      <c r="H74" s="110"/>
      <c r="I74" s="110"/>
      <c r="J74" s="110"/>
      <c r="K74" s="110"/>
      <c r="L74" s="110"/>
      <c r="M74" s="110"/>
      <c r="N74" s="110"/>
      <c r="O74" s="110"/>
    </row>
    <row r="75" spans="1:15" ht="12" customHeight="1" x14ac:dyDescent="0.15">
      <c r="A75" s="110"/>
      <c r="B75" s="110"/>
      <c r="C75" s="110"/>
      <c r="D75" s="110"/>
      <c r="E75" s="110"/>
      <c r="F75" s="110"/>
      <c r="G75" s="110"/>
      <c r="H75" s="110"/>
      <c r="I75" s="110"/>
      <c r="J75" s="110"/>
      <c r="K75" s="110"/>
      <c r="L75" s="110"/>
      <c r="M75" s="110"/>
      <c r="N75" s="110"/>
      <c r="O75" s="110"/>
    </row>
    <row r="76" spans="1:15" ht="12" customHeight="1" x14ac:dyDescent="0.15">
      <c r="A76" s="110"/>
      <c r="B76" s="110"/>
      <c r="C76" s="110"/>
      <c r="D76" s="110"/>
      <c r="E76" s="110"/>
      <c r="F76" s="110"/>
      <c r="G76" s="110"/>
      <c r="H76" s="110"/>
      <c r="I76" s="110"/>
      <c r="J76" s="110"/>
      <c r="K76" s="110"/>
      <c r="L76" s="110"/>
      <c r="M76" s="110"/>
      <c r="N76" s="110"/>
      <c r="O76" s="110"/>
    </row>
    <row r="77" spans="1:15" ht="12" customHeight="1" x14ac:dyDescent="0.15">
      <c r="A77" s="110"/>
      <c r="B77" s="110"/>
      <c r="C77" s="110"/>
      <c r="D77" s="110"/>
      <c r="E77" s="110"/>
      <c r="F77" s="110"/>
      <c r="G77" s="110"/>
      <c r="H77" s="110"/>
      <c r="I77" s="110"/>
      <c r="J77" s="110"/>
      <c r="K77" s="110"/>
      <c r="L77" s="110"/>
      <c r="M77" s="110"/>
      <c r="N77" s="110"/>
      <c r="O77" s="110"/>
    </row>
    <row r="78" spans="1:15" ht="12" customHeight="1" x14ac:dyDescent="0.15">
      <c r="A78" s="110"/>
      <c r="B78" s="110"/>
      <c r="C78" s="110"/>
      <c r="D78" s="110"/>
      <c r="E78" s="110"/>
      <c r="F78" s="110"/>
      <c r="G78" s="110"/>
      <c r="H78" s="110"/>
      <c r="I78" s="110"/>
      <c r="J78" s="110"/>
      <c r="K78" s="110"/>
      <c r="L78" s="110"/>
      <c r="M78" s="110"/>
      <c r="N78" s="110"/>
      <c r="O78" s="110"/>
    </row>
    <row r="79" spans="1:15" ht="12" customHeight="1" x14ac:dyDescent="0.15">
      <c r="A79" s="110"/>
      <c r="B79" s="110"/>
      <c r="C79" s="110"/>
      <c r="D79" s="110"/>
      <c r="E79" s="110"/>
      <c r="F79" s="110"/>
      <c r="G79" s="110"/>
      <c r="H79" s="110"/>
      <c r="I79" s="110"/>
      <c r="J79" s="110"/>
      <c r="K79" s="110"/>
      <c r="L79" s="110"/>
      <c r="M79" s="110"/>
      <c r="N79" s="110"/>
      <c r="O79" s="110"/>
    </row>
    <row r="80" spans="1:15" ht="12" customHeight="1" x14ac:dyDescent="0.15">
      <c r="A80" s="110"/>
      <c r="B80" s="110"/>
      <c r="C80" s="110"/>
      <c r="D80" s="110"/>
      <c r="E80" s="110"/>
      <c r="F80" s="110"/>
      <c r="G80" s="110"/>
      <c r="H80" s="110"/>
      <c r="I80" s="110"/>
      <c r="J80" s="110"/>
      <c r="K80" s="110"/>
      <c r="L80" s="110"/>
      <c r="M80" s="110"/>
      <c r="N80" s="110"/>
      <c r="O80" s="110"/>
    </row>
    <row r="81" spans="1:15" ht="12" customHeight="1" x14ac:dyDescent="0.15">
      <c r="A81" s="110"/>
      <c r="B81" s="110"/>
      <c r="C81" s="110"/>
      <c r="D81" s="110"/>
      <c r="E81" s="110"/>
      <c r="F81" s="110"/>
      <c r="G81" s="110"/>
      <c r="H81" s="110"/>
      <c r="I81" s="110"/>
      <c r="J81" s="110"/>
      <c r="K81" s="110"/>
      <c r="L81" s="110"/>
      <c r="M81" s="110"/>
      <c r="N81" s="110"/>
      <c r="O81" s="110"/>
    </row>
    <row r="82" spans="1:15" ht="12" customHeight="1" x14ac:dyDescent="0.15">
      <c r="A82" s="110"/>
      <c r="B82" s="110"/>
      <c r="C82" s="110"/>
      <c r="D82" s="110"/>
      <c r="E82" s="110"/>
      <c r="F82" s="110"/>
      <c r="G82" s="110"/>
      <c r="H82" s="110"/>
      <c r="I82" s="110"/>
      <c r="J82" s="110"/>
      <c r="K82" s="110"/>
      <c r="L82" s="110"/>
      <c r="M82" s="110"/>
      <c r="N82" s="110"/>
      <c r="O82" s="110"/>
    </row>
    <row r="83" spans="1:15" ht="12" customHeight="1" x14ac:dyDescent="0.15">
      <c r="A83" s="110"/>
      <c r="B83" s="110"/>
      <c r="C83" s="110"/>
      <c r="D83" s="110"/>
      <c r="E83" s="110"/>
      <c r="F83" s="110"/>
      <c r="G83" s="110"/>
      <c r="H83" s="110"/>
      <c r="I83" s="110"/>
      <c r="J83" s="110"/>
      <c r="K83" s="110"/>
      <c r="L83" s="110"/>
      <c r="M83" s="110"/>
      <c r="N83" s="110"/>
      <c r="O83" s="110"/>
    </row>
    <row r="84" spans="1:15" ht="12" customHeight="1" x14ac:dyDescent="0.15">
      <c r="A84" s="110"/>
      <c r="B84" s="110"/>
      <c r="C84" s="110"/>
      <c r="D84" s="110"/>
      <c r="E84" s="110"/>
      <c r="F84" s="110"/>
      <c r="G84" s="110"/>
      <c r="H84" s="110"/>
      <c r="I84" s="110"/>
      <c r="J84" s="110"/>
      <c r="K84" s="110"/>
      <c r="L84" s="110"/>
      <c r="M84" s="110"/>
      <c r="N84" s="110"/>
      <c r="O84" s="110"/>
    </row>
    <row r="85" spans="1:15" ht="12" customHeight="1" x14ac:dyDescent="0.15">
      <c r="A85" s="110"/>
      <c r="B85" s="110"/>
      <c r="C85" s="110"/>
      <c r="D85" s="110"/>
      <c r="E85" s="110"/>
      <c r="F85" s="110"/>
      <c r="G85" s="110"/>
      <c r="H85" s="110"/>
      <c r="I85" s="110"/>
      <c r="J85" s="110"/>
      <c r="K85" s="110"/>
      <c r="L85" s="110"/>
      <c r="M85" s="110"/>
      <c r="N85" s="110"/>
      <c r="O85" s="110"/>
    </row>
    <row r="86" spans="1:15" ht="12" customHeight="1" x14ac:dyDescent="0.15">
      <c r="A86" s="110"/>
      <c r="B86" s="110"/>
      <c r="C86" s="110"/>
      <c r="D86" s="110"/>
      <c r="E86" s="110"/>
      <c r="F86" s="110"/>
      <c r="G86" s="110"/>
      <c r="H86" s="110"/>
      <c r="I86" s="110"/>
      <c r="J86" s="110"/>
      <c r="K86" s="110"/>
      <c r="L86" s="110"/>
      <c r="M86" s="110"/>
      <c r="N86" s="110"/>
      <c r="O86" s="110"/>
    </row>
    <row r="87" spans="1:15" ht="12" customHeight="1" x14ac:dyDescent="0.15">
      <c r="A87" s="110"/>
      <c r="B87" s="110"/>
      <c r="C87" s="110"/>
      <c r="D87" s="110"/>
      <c r="E87" s="110"/>
      <c r="F87" s="110"/>
      <c r="G87" s="110"/>
      <c r="H87" s="110"/>
      <c r="I87" s="110"/>
      <c r="J87" s="110"/>
      <c r="K87" s="110"/>
      <c r="L87" s="110"/>
      <c r="M87" s="110"/>
      <c r="N87" s="110"/>
      <c r="O87" s="110"/>
    </row>
    <row r="88" spans="1:15" ht="12" customHeight="1" x14ac:dyDescent="0.15">
      <c r="A88" s="110"/>
      <c r="B88" s="110"/>
      <c r="C88" s="110"/>
      <c r="D88" s="110"/>
      <c r="E88" s="110"/>
      <c r="F88" s="110"/>
      <c r="G88" s="110"/>
      <c r="H88" s="110"/>
      <c r="I88" s="110"/>
      <c r="J88" s="110"/>
      <c r="K88" s="110"/>
      <c r="L88" s="110"/>
      <c r="M88" s="110"/>
      <c r="N88" s="110"/>
      <c r="O88" s="110"/>
    </row>
    <row r="89" spans="1:15" ht="12" customHeight="1" x14ac:dyDescent="0.15">
      <c r="A89" s="110"/>
      <c r="B89" s="110"/>
      <c r="C89" s="110"/>
      <c r="D89" s="110"/>
      <c r="E89" s="110"/>
      <c r="F89" s="110"/>
      <c r="G89" s="110"/>
      <c r="H89" s="110"/>
      <c r="I89" s="110"/>
      <c r="J89" s="110"/>
      <c r="K89" s="110"/>
      <c r="L89" s="110"/>
      <c r="M89" s="110"/>
      <c r="N89" s="110"/>
      <c r="O89" s="110"/>
    </row>
    <row r="90" spans="1:15" ht="12" customHeight="1" x14ac:dyDescent="0.15">
      <c r="A90" s="110"/>
      <c r="B90" s="110"/>
      <c r="C90" s="110"/>
      <c r="D90" s="110"/>
      <c r="E90" s="110"/>
      <c r="F90" s="110"/>
      <c r="G90" s="110"/>
      <c r="H90" s="110"/>
      <c r="I90" s="110"/>
      <c r="J90" s="110"/>
      <c r="K90" s="110"/>
      <c r="L90" s="110"/>
      <c r="M90" s="110"/>
      <c r="N90" s="110"/>
      <c r="O90" s="110"/>
    </row>
    <row r="91" spans="1:15" ht="12" customHeight="1" x14ac:dyDescent="0.15">
      <c r="A91" s="110"/>
      <c r="B91" s="110"/>
      <c r="C91" s="110"/>
      <c r="D91" s="110"/>
      <c r="E91" s="110"/>
      <c r="F91" s="110"/>
      <c r="G91" s="110"/>
      <c r="H91" s="110"/>
      <c r="I91" s="110"/>
      <c r="J91" s="110"/>
      <c r="K91" s="110"/>
      <c r="L91" s="110"/>
      <c r="M91" s="110"/>
      <c r="N91" s="110"/>
      <c r="O91" s="110"/>
    </row>
    <row r="92" spans="1:15" ht="12" customHeight="1" x14ac:dyDescent="0.15">
      <c r="A92" s="110"/>
      <c r="B92" s="110"/>
      <c r="C92" s="110"/>
      <c r="D92" s="110"/>
      <c r="E92" s="110"/>
      <c r="F92" s="110"/>
      <c r="G92" s="110"/>
      <c r="H92" s="110"/>
      <c r="I92" s="110"/>
      <c r="J92" s="110"/>
      <c r="K92" s="110"/>
      <c r="L92" s="110"/>
      <c r="M92" s="110"/>
      <c r="N92" s="110"/>
      <c r="O92" s="110"/>
    </row>
    <row r="93" spans="1:15" ht="12" customHeight="1" x14ac:dyDescent="0.15">
      <c r="A93" s="110"/>
      <c r="B93" s="110"/>
      <c r="C93" s="110"/>
      <c r="D93" s="110"/>
      <c r="E93" s="110"/>
      <c r="F93" s="110"/>
      <c r="G93" s="110"/>
      <c r="H93" s="110"/>
      <c r="I93" s="110"/>
      <c r="J93" s="110"/>
      <c r="K93" s="110"/>
      <c r="L93" s="110"/>
      <c r="M93" s="110"/>
      <c r="N93" s="110"/>
      <c r="O93" s="110"/>
    </row>
    <row r="94" spans="1:15" ht="12" customHeight="1" x14ac:dyDescent="0.15">
      <c r="A94" s="110"/>
      <c r="B94" s="110"/>
      <c r="C94" s="110"/>
      <c r="D94" s="110"/>
      <c r="E94" s="110"/>
      <c r="F94" s="110"/>
      <c r="G94" s="110"/>
      <c r="H94" s="110"/>
      <c r="I94" s="110"/>
      <c r="J94" s="110"/>
      <c r="K94" s="110"/>
      <c r="L94" s="110"/>
      <c r="M94" s="110"/>
      <c r="N94" s="110"/>
      <c r="O94" s="110"/>
    </row>
    <row r="95" spans="1:15" ht="12" customHeight="1" x14ac:dyDescent="0.15">
      <c r="A95" s="110"/>
      <c r="B95" s="110"/>
      <c r="C95" s="110"/>
      <c r="D95" s="110"/>
      <c r="E95" s="110"/>
      <c r="F95" s="110"/>
      <c r="G95" s="110"/>
      <c r="H95" s="110"/>
      <c r="I95" s="110"/>
      <c r="J95" s="110"/>
      <c r="K95" s="110"/>
      <c r="L95" s="110"/>
      <c r="M95" s="110"/>
      <c r="N95" s="110"/>
      <c r="O95" s="110"/>
    </row>
    <row r="96" spans="1:15" ht="12" customHeight="1" x14ac:dyDescent="0.15">
      <c r="A96" s="110"/>
      <c r="B96" s="110"/>
      <c r="C96" s="110"/>
      <c r="D96" s="110"/>
      <c r="E96" s="110"/>
      <c r="F96" s="110"/>
      <c r="G96" s="110"/>
      <c r="H96" s="110"/>
      <c r="I96" s="110"/>
      <c r="J96" s="110"/>
      <c r="K96" s="110"/>
      <c r="L96" s="110"/>
      <c r="M96" s="110"/>
      <c r="N96" s="110"/>
      <c r="O96" s="110"/>
    </row>
    <row r="97" spans="1:15" ht="12" customHeight="1" x14ac:dyDescent="0.15">
      <c r="A97" s="110"/>
      <c r="B97" s="110"/>
      <c r="C97" s="110"/>
      <c r="D97" s="110"/>
      <c r="E97" s="110"/>
      <c r="F97" s="110"/>
      <c r="G97" s="110"/>
      <c r="H97" s="110"/>
      <c r="I97" s="110"/>
      <c r="J97" s="110"/>
      <c r="K97" s="110"/>
      <c r="L97" s="110"/>
      <c r="M97" s="110"/>
      <c r="N97" s="110"/>
      <c r="O97" s="110"/>
    </row>
    <row r="98" spans="1:15" ht="12" customHeight="1" x14ac:dyDescent="0.15">
      <c r="A98" s="110"/>
      <c r="B98" s="110"/>
      <c r="C98" s="110"/>
      <c r="D98" s="110"/>
      <c r="E98" s="110"/>
      <c r="F98" s="110"/>
      <c r="G98" s="110"/>
      <c r="H98" s="110"/>
      <c r="I98" s="110"/>
      <c r="J98" s="110"/>
      <c r="K98" s="110"/>
      <c r="L98" s="110"/>
      <c r="M98" s="110"/>
      <c r="N98" s="110"/>
      <c r="O98" s="110"/>
    </row>
    <row r="99" spans="1:15" ht="12" customHeight="1" x14ac:dyDescent="0.15">
      <c r="A99" s="110"/>
      <c r="B99" s="110"/>
      <c r="C99" s="110"/>
      <c r="D99" s="110"/>
      <c r="E99" s="110"/>
      <c r="F99" s="110"/>
      <c r="G99" s="110"/>
      <c r="H99" s="110"/>
      <c r="I99" s="110"/>
      <c r="J99" s="110"/>
      <c r="K99" s="110"/>
      <c r="L99" s="110"/>
      <c r="M99" s="110"/>
      <c r="N99" s="110"/>
      <c r="O99" s="110"/>
    </row>
    <row r="100" spans="1:15" ht="12" customHeight="1" x14ac:dyDescent="0.15">
      <c r="A100" s="110"/>
      <c r="B100" s="110"/>
      <c r="C100" s="110"/>
      <c r="D100" s="110"/>
      <c r="E100" s="110"/>
      <c r="F100" s="110"/>
      <c r="G100" s="110"/>
      <c r="H100" s="110"/>
      <c r="I100" s="110"/>
      <c r="J100" s="110"/>
      <c r="K100" s="110"/>
      <c r="L100" s="110"/>
      <c r="M100" s="110"/>
      <c r="N100" s="110"/>
      <c r="O100" s="110"/>
    </row>
    <row r="101" spans="1:15" ht="12" customHeight="1" x14ac:dyDescent="0.15">
      <c r="A101" s="110"/>
      <c r="B101" s="110"/>
      <c r="C101" s="110"/>
      <c r="D101" s="110"/>
      <c r="E101" s="110"/>
      <c r="F101" s="110"/>
      <c r="G101" s="110"/>
      <c r="H101" s="110"/>
      <c r="I101" s="110"/>
      <c r="J101" s="110"/>
      <c r="K101" s="110"/>
      <c r="L101" s="110"/>
      <c r="M101" s="110"/>
      <c r="N101" s="110"/>
      <c r="O101" s="110"/>
    </row>
    <row r="102" spans="1:15" ht="12" customHeight="1" x14ac:dyDescent="0.15">
      <c r="A102" s="110"/>
      <c r="B102" s="110"/>
      <c r="C102" s="110"/>
      <c r="D102" s="110"/>
      <c r="E102" s="110"/>
      <c r="F102" s="110"/>
      <c r="G102" s="110"/>
      <c r="H102" s="110"/>
      <c r="I102" s="110"/>
      <c r="J102" s="110"/>
      <c r="K102" s="110"/>
      <c r="L102" s="110"/>
      <c r="M102" s="110"/>
      <c r="N102" s="110"/>
      <c r="O102" s="110"/>
    </row>
    <row r="103" spans="1:15" ht="12" customHeight="1" x14ac:dyDescent="0.15">
      <c r="A103" s="110"/>
      <c r="B103" s="110"/>
      <c r="C103" s="110"/>
      <c r="D103" s="110"/>
      <c r="E103" s="110"/>
      <c r="F103" s="110"/>
      <c r="G103" s="110"/>
      <c r="H103" s="110"/>
      <c r="I103" s="110"/>
      <c r="J103" s="110"/>
      <c r="K103" s="110"/>
      <c r="L103" s="110"/>
      <c r="M103" s="110"/>
      <c r="N103" s="110"/>
      <c r="O103" s="110"/>
    </row>
    <row r="104" spans="1:15" ht="12" customHeight="1" x14ac:dyDescent="0.15">
      <c r="A104" s="110"/>
      <c r="B104" s="110"/>
      <c r="C104" s="110"/>
      <c r="D104" s="110"/>
      <c r="E104" s="110"/>
      <c r="F104" s="110"/>
      <c r="G104" s="110"/>
      <c r="H104" s="110"/>
      <c r="I104" s="110"/>
      <c r="J104" s="110"/>
      <c r="K104" s="110"/>
      <c r="L104" s="110"/>
      <c r="M104" s="110"/>
      <c r="N104" s="110"/>
      <c r="O104" s="110"/>
    </row>
    <row r="105" spans="1:15" ht="12" customHeight="1" x14ac:dyDescent="0.15">
      <c r="A105" s="110"/>
      <c r="B105" s="110"/>
      <c r="C105" s="110"/>
      <c r="D105" s="110"/>
      <c r="E105" s="110"/>
      <c r="F105" s="110"/>
      <c r="G105" s="110"/>
      <c r="H105" s="110"/>
      <c r="I105" s="110"/>
      <c r="J105" s="110"/>
      <c r="K105" s="110"/>
      <c r="L105" s="110"/>
      <c r="M105" s="110"/>
      <c r="N105" s="110"/>
      <c r="O105" s="110"/>
    </row>
    <row r="106" spans="1:15" ht="12" customHeight="1" x14ac:dyDescent="0.15">
      <c r="A106" s="110"/>
      <c r="B106" s="110"/>
      <c r="C106" s="110"/>
      <c r="D106" s="110"/>
      <c r="E106" s="110"/>
      <c r="F106" s="110"/>
      <c r="G106" s="110"/>
      <c r="H106" s="110"/>
      <c r="I106" s="110"/>
      <c r="J106" s="110"/>
      <c r="K106" s="110"/>
      <c r="L106" s="110"/>
      <c r="M106" s="110"/>
      <c r="N106" s="110"/>
      <c r="O106" s="110"/>
    </row>
    <row r="107" spans="1:15" ht="12" customHeight="1" x14ac:dyDescent="0.15">
      <c r="A107" s="110"/>
      <c r="B107" s="110"/>
      <c r="C107" s="110"/>
      <c r="D107" s="110"/>
      <c r="E107" s="110"/>
      <c r="F107" s="110"/>
      <c r="G107" s="110"/>
      <c r="H107" s="110"/>
      <c r="I107" s="110"/>
      <c r="J107" s="110"/>
      <c r="K107" s="110"/>
      <c r="L107" s="110"/>
      <c r="M107" s="110"/>
      <c r="N107" s="110"/>
      <c r="O107" s="110"/>
    </row>
    <row r="108" spans="1:15" ht="12" customHeight="1" x14ac:dyDescent="0.15">
      <c r="A108" s="110"/>
      <c r="B108" s="110"/>
      <c r="C108" s="110"/>
      <c r="D108" s="110"/>
      <c r="E108" s="110"/>
      <c r="F108" s="110"/>
      <c r="G108" s="110"/>
      <c r="H108" s="110"/>
      <c r="I108" s="110"/>
      <c r="J108" s="110"/>
      <c r="K108" s="110"/>
      <c r="L108" s="110"/>
      <c r="M108" s="110"/>
      <c r="N108" s="110"/>
      <c r="O108" s="110"/>
    </row>
    <row r="109" spans="1:15" ht="12" customHeight="1" x14ac:dyDescent="0.15">
      <c r="A109" s="110"/>
      <c r="B109" s="110"/>
      <c r="C109" s="110"/>
      <c r="D109" s="110"/>
      <c r="E109" s="110"/>
      <c r="F109" s="110"/>
      <c r="G109" s="110"/>
      <c r="H109" s="110"/>
      <c r="I109" s="110"/>
      <c r="J109" s="110"/>
      <c r="K109" s="110"/>
      <c r="L109" s="110"/>
      <c r="M109" s="110"/>
      <c r="N109" s="110"/>
      <c r="O109" s="110"/>
    </row>
    <row r="110" spans="1:15" ht="12" customHeight="1" x14ac:dyDescent="0.15">
      <c r="A110" s="110"/>
      <c r="B110" s="110"/>
      <c r="C110" s="110"/>
      <c r="D110" s="110"/>
      <c r="E110" s="110"/>
      <c r="F110" s="110"/>
      <c r="G110" s="110"/>
      <c r="H110" s="110"/>
      <c r="I110" s="110"/>
      <c r="J110" s="110"/>
      <c r="K110" s="110"/>
      <c r="L110" s="110"/>
      <c r="M110" s="110"/>
      <c r="N110" s="110"/>
      <c r="O110" s="110"/>
    </row>
    <row r="111" spans="1:15" ht="12" customHeight="1" x14ac:dyDescent="0.15">
      <c r="A111" s="110"/>
      <c r="B111" s="110"/>
      <c r="C111" s="110"/>
      <c r="D111" s="110"/>
      <c r="E111" s="110"/>
      <c r="F111" s="110"/>
      <c r="G111" s="110"/>
      <c r="H111" s="110"/>
      <c r="I111" s="110"/>
      <c r="J111" s="110"/>
      <c r="K111" s="110"/>
      <c r="L111" s="110"/>
      <c r="M111" s="110"/>
      <c r="N111" s="110"/>
      <c r="O111" s="110"/>
    </row>
    <row r="112" spans="1:15" ht="12" customHeight="1" x14ac:dyDescent="0.15">
      <c r="A112" s="110"/>
      <c r="B112" s="110"/>
      <c r="C112" s="110"/>
      <c r="D112" s="110"/>
      <c r="E112" s="110"/>
      <c r="F112" s="110"/>
      <c r="G112" s="110"/>
      <c r="H112" s="110"/>
      <c r="I112" s="110"/>
      <c r="J112" s="110"/>
      <c r="K112" s="110"/>
      <c r="L112" s="110"/>
      <c r="M112" s="110"/>
      <c r="N112" s="110"/>
      <c r="O112" s="110"/>
    </row>
    <row r="113" spans="1:15" ht="12" customHeight="1" x14ac:dyDescent="0.15">
      <c r="A113" s="110"/>
      <c r="B113" s="110"/>
      <c r="C113" s="110"/>
      <c r="D113" s="110"/>
      <c r="E113" s="110"/>
      <c r="F113" s="110"/>
      <c r="G113" s="110"/>
      <c r="H113" s="110"/>
      <c r="I113" s="110"/>
      <c r="J113" s="110"/>
      <c r="K113" s="110"/>
      <c r="L113" s="110"/>
      <c r="M113" s="110"/>
      <c r="N113" s="110"/>
      <c r="O113" s="110"/>
    </row>
    <row r="114" spans="1:15" ht="12" customHeight="1" x14ac:dyDescent="0.15">
      <c r="A114" s="110"/>
      <c r="B114" s="110"/>
      <c r="C114" s="110"/>
      <c r="D114" s="110"/>
      <c r="E114" s="110"/>
      <c r="F114" s="110"/>
      <c r="G114" s="110"/>
      <c r="H114" s="110"/>
      <c r="I114" s="110"/>
      <c r="J114" s="110"/>
      <c r="K114" s="110"/>
      <c r="L114" s="110"/>
      <c r="M114" s="110"/>
      <c r="N114" s="110"/>
      <c r="O114" s="110"/>
    </row>
    <row r="115" spans="1:15" ht="12" customHeight="1" x14ac:dyDescent="0.15">
      <c r="A115" s="110"/>
      <c r="B115" s="110"/>
      <c r="C115" s="110"/>
      <c r="D115" s="110"/>
      <c r="E115" s="110"/>
      <c r="F115" s="110"/>
      <c r="G115" s="110"/>
      <c r="H115" s="110"/>
      <c r="I115" s="110"/>
      <c r="J115" s="110"/>
      <c r="K115" s="110"/>
      <c r="L115" s="110"/>
      <c r="M115" s="110"/>
      <c r="N115" s="110"/>
      <c r="O115" s="110"/>
    </row>
    <row r="116" spans="1:15" ht="12" customHeight="1" x14ac:dyDescent="0.15">
      <c r="A116" s="110"/>
      <c r="B116" s="110"/>
      <c r="C116" s="110"/>
      <c r="D116" s="110"/>
      <c r="E116" s="110"/>
      <c r="F116" s="110"/>
      <c r="G116" s="110"/>
      <c r="H116" s="110"/>
      <c r="I116" s="110"/>
      <c r="J116" s="110"/>
      <c r="K116" s="110"/>
      <c r="L116" s="110"/>
      <c r="M116" s="110"/>
      <c r="N116" s="110"/>
      <c r="O116" s="110"/>
    </row>
    <row r="117" spans="1:15" ht="12" customHeight="1" x14ac:dyDescent="0.15">
      <c r="A117" s="110"/>
      <c r="B117" s="110"/>
      <c r="C117" s="110"/>
      <c r="D117" s="110"/>
      <c r="E117" s="110"/>
      <c r="F117" s="110"/>
      <c r="G117" s="110"/>
      <c r="H117" s="110"/>
      <c r="I117" s="110"/>
      <c r="J117" s="110"/>
      <c r="K117" s="110"/>
      <c r="L117" s="110"/>
      <c r="M117" s="110"/>
      <c r="N117" s="110"/>
      <c r="O117" s="110"/>
    </row>
    <row r="118" spans="1:15" ht="12" customHeight="1" x14ac:dyDescent="0.15">
      <c r="A118" s="110"/>
      <c r="B118" s="110"/>
      <c r="C118" s="110"/>
      <c r="D118" s="110"/>
      <c r="E118" s="110"/>
      <c r="F118" s="110"/>
      <c r="G118" s="110"/>
      <c r="H118" s="110"/>
      <c r="I118" s="110"/>
      <c r="J118" s="110"/>
      <c r="K118" s="110"/>
      <c r="L118" s="110"/>
      <c r="M118" s="110"/>
      <c r="N118" s="110"/>
      <c r="O118" s="110"/>
    </row>
    <row r="119" spans="1:15" ht="12" customHeight="1" x14ac:dyDescent="0.15">
      <c r="A119" s="110"/>
      <c r="B119" s="110"/>
      <c r="C119" s="110"/>
      <c r="D119" s="110"/>
      <c r="E119" s="110"/>
      <c r="F119" s="110"/>
      <c r="G119" s="110"/>
      <c r="H119" s="110"/>
      <c r="I119" s="110"/>
      <c r="J119" s="110"/>
      <c r="K119" s="110"/>
      <c r="L119" s="110"/>
      <c r="M119" s="110"/>
      <c r="N119" s="110"/>
      <c r="O119" s="110"/>
    </row>
    <row r="120" spans="1:15" ht="12" customHeight="1" x14ac:dyDescent="0.15">
      <c r="A120" s="110"/>
      <c r="B120" s="110"/>
      <c r="C120" s="110"/>
      <c r="D120" s="110"/>
      <c r="E120" s="110"/>
      <c r="F120" s="110"/>
      <c r="G120" s="110"/>
      <c r="H120" s="110"/>
      <c r="I120" s="110"/>
      <c r="J120" s="110"/>
      <c r="K120" s="110"/>
      <c r="L120" s="110"/>
      <c r="M120" s="110"/>
      <c r="N120" s="110"/>
      <c r="O120" s="110"/>
    </row>
    <row r="121" spans="1:15" ht="12" customHeight="1" x14ac:dyDescent="0.15">
      <c r="A121" s="110"/>
      <c r="B121" s="110"/>
      <c r="C121" s="110"/>
      <c r="D121" s="110"/>
      <c r="E121" s="110"/>
      <c r="F121" s="110"/>
      <c r="G121" s="110"/>
      <c r="H121" s="110"/>
      <c r="I121" s="110"/>
      <c r="J121" s="110"/>
      <c r="K121" s="110"/>
      <c r="L121" s="110"/>
      <c r="M121" s="110"/>
      <c r="N121" s="110"/>
      <c r="O121" s="110"/>
    </row>
    <row r="122" spans="1:15" ht="12" customHeight="1" x14ac:dyDescent="0.15">
      <c r="A122" s="110"/>
      <c r="B122" s="110"/>
      <c r="C122" s="110"/>
      <c r="D122" s="110"/>
      <c r="E122" s="110"/>
      <c r="F122" s="110"/>
      <c r="G122" s="110"/>
      <c r="H122" s="110"/>
      <c r="I122" s="110"/>
      <c r="J122" s="110"/>
      <c r="K122" s="110"/>
      <c r="L122" s="110"/>
      <c r="M122" s="110"/>
      <c r="N122" s="110"/>
      <c r="O122" s="110"/>
    </row>
    <row r="123" spans="1:15" ht="12" customHeight="1" x14ac:dyDescent="0.15">
      <c r="A123" s="110"/>
      <c r="B123" s="110"/>
      <c r="C123" s="110"/>
      <c r="D123" s="110"/>
      <c r="E123" s="110"/>
      <c r="F123" s="110"/>
      <c r="G123" s="110"/>
      <c r="H123" s="110"/>
      <c r="I123" s="110"/>
      <c r="J123" s="110"/>
      <c r="K123" s="110"/>
      <c r="L123" s="110"/>
      <c r="M123" s="110"/>
      <c r="N123" s="110"/>
      <c r="O123" s="110"/>
    </row>
    <row r="124" spans="1:15" ht="12" customHeight="1" x14ac:dyDescent="0.15">
      <c r="A124" s="110"/>
      <c r="B124" s="110"/>
      <c r="C124" s="110"/>
      <c r="D124" s="110"/>
      <c r="E124" s="110"/>
      <c r="F124" s="110"/>
      <c r="G124" s="110"/>
      <c r="H124" s="110"/>
      <c r="I124" s="110"/>
      <c r="J124" s="110"/>
      <c r="K124" s="110"/>
      <c r="L124" s="110"/>
      <c r="M124" s="110"/>
      <c r="N124" s="110"/>
      <c r="O124" s="110"/>
    </row>
    <row r="125" spans="1:15" ht="12" customHeight="1" x14ac:dyDescent="0.15">
      <c r="A125" s="110"/>
      <c r="B125" s="110"/>
      <c r="C125" s="110"/>
      <c r="D125" s="110"/>
      <c r="E125" s="110"/>
      <c r="F125" s="110"/>
      <c r="G125" s="110"/>
      <c r="H125" s="110"/>
      <c r="I125" s="110"/>
      <c r="J125" s="110"/>
      <c r="K125" s="110"/>
      <c r="L125" s="110"/>
      <c r="M125" s="110"/>
      <c r="N125" s="110"/>
      <c r="O125" s="110"/>
    </row>
    <row r="126" spans="1:15" ht="12" customHeight="1" x14ac:dyDescent="0.15">
      <c r="A126" s="110"/>
      <c r="B126" s="110"/>
      <c r="C126" s="110"/>
      <c r="D126" s="110"/>
      <c r="E126" s="110"/>
      <c r="F126" s="110"/>
      <c r="G126" s="110"/>
      <c r="H126" s="110"/>
      <c r="I126" s="110"/>
      <c r="J126" s="110"/>
      <c r="K126" s="110"/>
      <c r="L126" s="110"/>
      <c r="M126" s="110"/>
      <c r="N126" s="110"/>
      <c r="O126" s="110"/>
    </row>
    <row r="127" spans="1:15" ht="12" customHeight="1" x14ac:dyDescent="0.15">
      <c r="A127" s="110"/>
      <c r="B127" s="110"/>
      <c r="C127" s="110"/>
      <c r="D127" s="110"/>
      <c r="E127" s="110"/>
      <c r="F127" s="110"/>
      <c r="G127" s="110"/>
      <c r="H127" s="110"/>
      <c r="I127" s="110"/>
      <c r="J127" s="110"/>
      <c r="K127" s="110"/>
      <c r="L127" s="110"/>
      <c r="M127" s="110"/>
      <c r="N127" s="110"/>
      <c r="O127" s="110"/>
    </row>
    <row r="128" spans="1:15" ht="12" customHeight="1" x14ac:dyDescent="0.15">
      <c r="A128" s="110"/>
      <c r="B128" s="110"/>
      <c r="C128" s="110"/>
      <c r="D128" s="110"/>
      <c r="E128" s="110"/>
      <c r="F128" s="110"/>
      <c r="G128" s="110"/>
      <c r="H128" s="110"/>
      <c r="I128" s="110"/>
      <c r="J128" s="110"/>
      <c r="K128" s="110"/>
      <c r="L128" s="110"/>
      <c r="M128" s="110"/>
      <c r="N128" s="110"/>
      <c r="O128" s="110"/>
    </row>
    <row r="129" spans="1:15" ht="12" customHeight="1" x14ac:dyDescent="0.15">
      <c r="A129" s="110"/>
      <c r="B129" s="110"/>
      <c r="C129" s="110"/>
      <c r="D129" s="110"/>
      <c r="E129" s="110"/>
      <c r="F129" s="110"/>
      <c r="G129" s="110"/>
      <c r="H129" s="110"/>
      <c r="I129" s="110"/>
      <c r="J129" s="110"/>
      <c r="K129" s="110"/>
      <c r="L129" s="110"/>
      <c r="M129" s="110"/>
      <c r="N129" s="110"/>
      <c r="O129" s="110"/>
    </row>
    <row r="130" spans="1:15" ht="12" customHeight="1" x14ac:dyDescent="0.15">
      <c r="A130" s="110"/>
      <c r="B130" s="110"/>
      <c r="C130" s="110"/>
      <c r="D130" s="110"/>
      <c r="E130" s="110"/>
      <c r="F130" s="110"/>
      <c r="G130" s="110"/>
      <c r="H130" s="110"/>
      <c r="I130" s="110"/>
      <c r="J130" s="110"/>
      <c r="K130" s="110"/>
      <c r="L130" s="110"/>
      <c r="M130" s="110"/>
      <c r="N130" s="110"/>
      <c r="O130" s="110"/>
    </row>
    <row r="131" spans="1:15" ht="12" customHeight="1" x14ac:dyDescent="0.15">
      <c r="A131" s="110"/>
      <c r="B131" s="110"/>
      <c r="C131" s="110"/>
      <c r="D131" s="110"/>
      <c r="E131" s="110"/>
      <c r="F131" s="110"/>
      <c r="G131" s="110"/>
      <c r="H131" s="110"/>
      <c r="I131" s="110"/>
      <c r="J131" s="110"/>
      <c r="K131" s="110"/>
      <c r="L131" s="110"/>
      <c r="M131" s="110"/>
      <c r="N131" s="110"/>
      <c r="O131" s="110"/>
    </row>
    <row r="132" spans="1:15" ht="12" customHeight="1" x14ac:dyDescent="0.15">
      <c r="A132" s="110"/>
      <c r="B132" s="110"/>
      <c r="C132" s="110"/>
      <c r="D132" s="110"/>
      <c r="E132" s="110"/>
      <c r="F132" s="110"/>
      <c r="G132" s="110"/>
      <c r="H132" s="110"/>
      <c r="I132" s="110"/>
      <c r="J132" s="110"/>
      <c r="K132" s="110"/>
      <c r="L132" s="110"/>
      <c r="M132" s="110"/>
      <c r="N132" s="110"/>
      <c r="O132" s="110"/>
    </row>
    <row r="133" spans="1:15" ht="12" customHeight="1" x14ac:dyDescent="0.15">
      <c r="A133" s="110"/>
      <c r="B133" s="110"/>
      <c r="C133" s="110"/>
      <c r="D133" s="110"/>
      <c r="E133" s="110"/>
      <c r="F133" s="110"/>
      <c r="G133" s="110"/>
      <c r="H133" s="110"/>
      <c r="I133" s="110"/>
      <c r="J133" s="110"/>
      <c r="K133" s="110"/>
      <c r="L133" s="110"/>
      <c r="M133" s="110"/>
      <c r="N133" s="110"/>
      <c r="O133" s="110"/>
    </row>
    <row r="134" spans="1:15" ht="12" customHeight="1" x14ac:dyDescent="0.15">
      <c r="A134" s="110"/>
      <c r="B134" s="110"/>
      <c r="C134" s="110"/>
      <c r="D134" s="110"/>
      <c r="E134" s="110"/>
      <c r="F134" s="110"/>
      <c r="G134" s="110"/>
      <c r="H134" s="110"/>
      <c r="I134" s="110"/>
      <c r="J134" s="110"/>
      <c r="K134" s="110"/>
      <c r="L134" s="110"/>
      <c r="M134" s="110"/>
      <c r="N134" s="110"/>
      <c r="O134" s="110"/>
    </row>
    <row r="135" spans="1:15" ht="12" customHeight="1" x14ac:dyDescent="0.15">
      <c r="A135" s="110"/>
      <c r="B135" s="110"/>
      <c r="C135" s="110"/>
      <c r="D135" s="110"/>
      <c r="E135" s="110"/>
      <c r="F135" s="110"/>
      <c r="G135" s="110"/>
      <c r="H135" s="110"/>
      <c r="I135" s="110"/>
      <c r="J135" s="110"/>
      <c r="K135" s="110"/>
      <c r="L135" s="110"/>
      <c r="M135" s="110"/>
      <c r="N135" s="110"/>
      <c r="O135" s="110"/>
    </row>
    <row r="136" spans="1:15" ht="12" customHeight="1" x14ac:dyDescent="0.15">
      <c r="A136" s="110"/>
      <c r="B136" s="110"/>
      <c r="C136" s="110"/>
      <c r="D136" s="110"/>
      <c r="E136" s="110"/>
      <c r="F136" s="110"/>
      <c r="G136" s="110"/>
      <c r="H136" s="110"/>
      <c r="I136" s="110"/>
      <c r="J136" s="110"/>
      <c r="K136" s="110"/>
      <c r="L136" s="110"/>
      <c r="M136" s="110"/>
      <c r="N136" s="110"/>
      <c r="O136" s="110"/>
    </row>
    <row r="137" spans="1:15" ht="12" customHeight="1" x14ac:dyDescent="0.15">
      <c r="A137" s="110"/>
      <c r="B137" s="110"/>
      <c r="C137" s="110"/>
      <c r="D137" s="110"/>
      <c r="E137" s="110"/>
      <c r="F137" s="110"/>
      <c r="G137" s="110"/>
      <c r="H137" s="110"/>
      <c r="I137" s="110"/>
      <c r="J137" s="110"/>
      <c r="K137" s="110"/>
      <c r="L137" s="110"/>
      <c r="M137" s="110"/>
      <c r="N137" s="110"/>
      <c r="O137" s="110"/>
    </row>
    <row r="138" spans="1:15" ht="12" customHeight="1" x14ac:dyDescent="0.15">
      <c r="A138" s="110"/>
      <c r="B138" s="110"/>
      <c r="C138" s="110"/>
      <c r="D138" s="110"/>
      <c r="E138" s="110"/>
      <c r="F138" s="110"/>
      <c r="G138" s="110"/>
      <c r="H138" s="110"/>
      <c r="I138" s="110"/>
      <c r="J138" s="110"/>
      <c r="K138" s="110"/>
      <c r="L138" s="110"/>
      <c r="M138" s="110"/>
      <c r="N138" s="110"/>
      <c r="O138" s="110"/>
    </row>
    <row r="139" spans="1:15" ht="12" customHeight="1" x14ac:dyDescent="0.15">
      <c r="A139" s="110"/>
      <c r="B139" s="110"/>
      <c r="C139" s="110"/>
      <c r="D139" s="110"/>
      <c r="E139" s="110"/>
      <c r="F139" s="110"/>
      <c r="G139" s="110"/>
      <c r="H139" s="110"/>
      <c r="I139" s="110"/>
      <c r="J139" s="110"/>
      <c r="K139" s="110"/>
      <c r="L139" s="110"/>
      <c r="M139" s="110"/>
      <c r="N139" s="110"/>
      <c r="O139" s="110"/>
    </row>
    <row r="140" spans="1:15" ht="12" customHeight="1" x14ac:dyDescent="0.15">
      <c r="A140" s="110"/>
      <c r="B140" s="110"/>
      <c r="C140" s="110"/>
      <c r="D140" s="110"/>
      <c r="E140" s="110"/>
      <c r="F140" s="110"/>
      <c r="G140" s="110"/>
      <c r="H140" s="110"/>
      <c r="I140" s="110"/>
      <c r="J140" s="110"/>
      <c r="K140" s="110"/>
      <c r="L140" s="110"/>
      <c r="M140" s="110"/>
      <c r="N140" s="110"/>
      <c r="O140" s="110"/>
    </row>
    <row r="141" spans="1:15" ht="12" customHeight="1" x14ac:dyDescent="0.15">
      <c r="A141" s="110"/>
      <c r="B141" s="110"/>
      <c r="C141" s="110"/>
      <c r="D141" s="110"/>
      <c r="E141" s="110"/>
      <c r="F141" s="110"/>
      <c r="G141" s="110"/>
      <c r="H141" s="110"/>
      <c r="I141" s="110"/>
      <c r="J141" s="110"/>
      <c r="K141" s="110"/>
      <c r="L141" s="110"/>
      <c r="M141" s="110"/>
      <c r="N141" s="110"/>
      <c r="O141" s="110"/>
    </row>
    <row r="142" spans="1:15" ht="12" customHeight="1" x14ac:dyDescent="0.15">
      <c r="A142" s="110"/>
      <c r="B142" s="110"/>
      <c r="C142" s="110"/>
      <c r="D142" s="110"/>
      <c r="E142" s="110"/>
      <c r="F142" s="110"/>
      <c r="G142" s="110"/>
      <c r="H142" s="110"/>
      <c r="I142" s="110"/>
      <c r="J142" s="110"/>
      <c r="K142" s="110"/>
      <c r="L142" s="110"/>
      <c r="M142" s="110"/>
      <c r="N142" s="110"/>
      <c r="O142" s="110"/>
    </row>
    <row r="143" spans="1:15" ht="12" customHeight="1" x14ac:dyDescent="0.15">
      <c r="A143" s="110"/>
      <c r="B143" s="110"/>
      <c r="C143" s="110"/>
      <c r="D143" s="110"/>
      <c r="E143" s="110"/>
      <c r="F143" s="110"/>
      <c r="G143" s="110"/>
      <c r="H143" s="110"/>
      <c r="I143" s="110"/>
      <c r="J143" s="110"/>
      <c r="K143" s="110"/>
      <c r="L143" s="110"/>
      <c r="M143" s="110"/>
      <c r="N143" s="110"/>
      <c r="O143" s="110"/>
    </row>
    <row r="144" spans="1:15" ht="12" customHeight="1" x14ac:dyDescent="0.15">
      <c r="A144" s="110"/>
      <c r="B144" s="110"/>
      <c r="C144" s="110"/>
      <c r="D144" s="110"/>
      <c r="E144" s="110"/>
      <c r="F144" s="110"/>
      <c r="G144" s="110"/>
      <c r="H144" s="110"/>
      <c r="I144" s="110"/>
      <c r="J144" s="110"/>
      <c r="K144" s="110"/>
      <c r="L144" s="110"/>
      <c r="M144" s="110"/>
      <c r="N144" s="110"/>
      <c r="O144" s="110"/>
    </row>
    <row r="145" spans="1:15" ht="12" customHeight="1" x14ac:dyDescent="0.15">
      <c r="A145" s="110"/>
      <c r="B145" s="110"/>
      <c r="C145" s="110"/>
      <c r="D145" s="110"/>
      <c r="E145" s="110"/>
      <c r="F145" s="110"/>
      <c r="G145" s="110"/>
      <c r="H145" s="110"/>
      <c r="I145" s="110"/>
      <c r="J145" s="110"/>
      <c r="K145" s="110"/>
      <c r="L145" s="110"/>
      <c r="M145" s="110"/>
      <c r="N145" s="110"/>
      <c r="O145" s="110"/>
    </row>
    <row r="146" spans="1:15" ht="12" customHeight="1" x14ac:dyDescent="0.15">
      <c r="A146" s="110"/>
      <c r="B146" s="110"/>
      <c r="C146" s="110"/>
      <c r="D146" s="110"/>
      <c r="E146" s="110"/>
      <c r="F146" s="110"/>
      <c r="G146" s="110"/>
      <c r="H146" s="110"/>
      <c r="I146" s="110"/>
      <c r="J146" s="110"/>
      <c r="K146" s="110"/>
      <c r="L146" s="110"/>
      <c r="M146" s="110"/>
      <c r="N146" s="110"/>
      <c r="O146" s="110"/>
    </row>
    <row r="147" spans="1:15" ht="12" customHeight="1" x14ac:dyDescent="0.15">
      <c r="A147" s="110"/>
      <c r="B147" s="110"/>
      <c r="C147" s="110"/>
      <c r="D147" s="110"/>
      <c r="E147" s="110"/>
      <c r="F147" s="110"/>
      <c r="G147" s="110"/>
      <c r="H147" s="110"/>
      <c r="I147" s="110"/>
      <c r="J147" s="110"/>
      <c r="K147" s="110"/>
      <c r="L147" s="110"/>
      <c r="M147" s="110"/>
      <c r="N147" s="110"/>
      <c r="O147" s="110"/>
    </row>
    <row r="148" spans="1:15" ht="12" customHeight="1" x14ac:dyDescent="0.15">
      <c r="A148" s="110"/>
      <c r="B148" s="110"/>
      <c r="C148" s="110"/>
      <c r="D148" s="110"/>
      <c r="E148" s="110"/>
      <c r="F148" s="110"/>
      <c r="G148" s="110"/>
      <c r="H148" s="110"/>
      <c r="I148" s="110"/>
      <c r="J148" s="110"/>
      <c r="K148" s="110"/>
      <c r="L148" s="110"/>
      <c r="M148" s="110"/>
      <c r="N148" s="110"/>
      <c r="O148" s="110"/>
    </row>
    <row r="149" spans="1:15" ht="12" customHeight="1" x14ac:dyDescent="0.15">
      <c r="A149" s="110"/>
      <c r="B149" s="110"/>
      <c r="C149" s="110"/>
      <c r="D149" s="110"/>
      <c r="E149" s="110"/>
      <c r="F149" s="110"/>
      <c r="G149" s="110"/>
      <c r="H149" s="110"/>
      <c r="I149" s="110"/>
      <c r="J149" s="110"/>
      <c r="K149" s="110"/>
      <c r="L149" s="110"/>
      <c r="M149" s="110"/>
      <c r="N149" s="110"/>
      <c r="O149" s="110"/>
    </row>
    <row r="150" spans="1:15" ht="12" customHeight="1" x14ac:dyDescent="0.15">
      <c r="A150" s="110"/>
      <c r="B150" s="110"/>
      <c r="C150" s="110"/>
      <c r="D150" s="110"/>
      <c r="E150" s="110"/>
      <c r="F150" s="110"/>
      <c r="G150" s="110"/>
      <c r="H150" s="110"/>
      <c r="I150" s="110"/>
      <c r="J150" s="110"/>
      <c r="K150" s="110"/>
      <c r="L150" s="110"/>
      <c r="M150" s="110"/>
      <c r="N150" s="110"/>
      <c r="O150" s="110"/>
    </row>
    <row r="151" spans="1:15" ht="12" customHeight="1" x14ac:dyDescent="0.15">
      <c r="A151" s="110"/>
      <c r="B151" s="110"/>
      <c r="C151" s="110"/>
      <c r="D151" s="110"/>
      <c r="E151" s="110"/>
      <c r="F151" s="110"/>
      <c r="G151" s="110"/>
      <c r="H151" s="110"/>
      <c r="I151" s="110"/>
      <c r="J151" s="110"/>
      <c r="K151" s="110"/>
      <c r="L151" s="110"/>
      <c r="M151" s="110"/>
      <c r="N151" s="110"/>
      <c r="O151" s="110"/>
    </row>
    <row r="152" spans="1:15" ht="12" customHeight="1" x14ac:dyDescent="0.15">
      <c r="A152" s="110"/>
      <c r="B152" s="110"/>
      <c r="C152" s="110"/>
      <c r="D152" s="110"/>
      <c r="E152" s="110"/>
      <c r="F152" s="110"/>
      <c r="G152" s="110"/>
      <c r="H152" s="110"/>
      <c r="I152" s="110"/>
      <c r="J152" s="110"/>
      <c r="K152" s="110"/>
      <c r="L152" s="110"/>
      <c r="M152" s="110"/>
      <c r="N152" s="110"/>
      <c r="O152" s="110"/>
    </row>
    <row r="153" spans="1:15" ht="12" customHeight="1" x14ac:dyDescent="0.15">
      <c r="A153" s="110"/>
      <c r="B153" s="110"/>
      <c r="C153" s="110"/>
      <c r="D153" s="110"/>
      <c r="E153" s="110"/>
      <c r="F153" s="110"/>
      <c r="G153" s="110"/>
      <c r="H153" s="110"/>
      <c r="I153" s="110"/>
      <c r="J153" s="110"/>
      <c r="K153" s="110"/>
      <c r="L153" s="110"/>
      <c r="M153" s="110"/>
      <c r="N153" s="110"/>
      <c r="O153" s="110"/>
    </row>
    <row r="154" spans="1:15" ht="12" customHeight="1" x14ac:dyDescent="0.15">
      <c r="A154" s="110"/>
      <c r="B154" s="110"/>
      <c r="C154" s="110"/>
      <c r="D154" s="110"/>
      <c r="E154" s="110"/>
      <c r="F154" s="110"/>
      <c r="G154" s="110"/>
      <c r="H154" s="110"/>
      <c r="I154" s="110"/>
      <c r="J154" s="110"/>
      <c r="K154" s="110"/>
      <c r="L154" s="110"/>
      <c r="M154" s="110"/>
      <c r="N154" s="110"/>
      <c r="O154" s="110"/>
    </row>
    <row r="155" spans="1:15" ht="12" customHeight="1" x14ac:dyDescent="0.15">
      <c r="A155" s="110"/>
      <c r="B155" s="110"/>
      <c r="C155" s="110"/>
      <c r="D155" s="110"/>
      <c r="E155" s="110"/>
      <c r="F155" s="110"/>
      <c r="G155" s="110"/>
      <c r="H155" s="110"/>
      <c r="I155" s="110"/>
      <c r="J155" s="110"/>
      <c r="K155" s="110"/>
      <c r="L155" s="110"/>
      <c r="M155" s="110"/>
      <c r="N155" s="110"/>
      <c r="O155" s="110"/>
    </row>
    <row r="156" spans="1:15" ht="12" customHeight="1" x14ac:dyDescent="0.15">
      <c r="A156" s="110"/>
      <c r="B156" s="110"/>
      <c r="C156" s="110"/>
      <c r="D156" s="110"/>
      <c r="E156" s="110"/>
      <c r="F156" s="110"/>
      <c r="G156" s="110"/>
      <c r="H156" s="110"/>
      <c r="I156" s="110"/>
      <c r="J156" s="110"/>
      <c r="K156" s="110"/>
      <c r="L156" s="110"/>
      <c r="M156" s="110"/>
      <c r="N156" s="110"/>
      <c r="O156" s="110"/>
    </row>
    <row r="157" spans="1:15" ht="12" customHeight="1" x14ac:dyDescent="0.15">
      <c r="A157" s="110"/>
      <c r="B157" s="110"/>
      <c r="C157" s="110"/>
      <c r="D157" s="110"/>
      <c r="E157" s="110"/>
      <c r="F157" s="110"/>
      <c r="G157" s="110"/>
      <c r="H157" s="110"/>
      <c r="I157" s="110"/>
      <c r="J157" s="110"/>
      <c r="K157" s="110"/>
      <c r="L157" s="110"/>
      <c r="M157" s="110"/>
      <c r="N157" s="110"/>
      <c r="O157" s="110"/>
    </row>
    <row r="158" spans="1:15" ht="12" customHeight="1" x14ac:dyDescent="0.15">
      <c r="A158" s="110"/>
      <c r="B158" s="110"/>
      <c r="C158" s="110"/>
      <c r="D158" s="110"/>
      <c r="E158" s="110"/>
      <c r="F158" s="110"/>
      <c r="G158" s="110"/>
      <c r="H158" s="110"/>
      <c r="I158" s="110"/>
      <c r="J158" s="110"/>
      <c r="K158" s="110"/>
      <c r="L158" s="110"/>
      <c r="M158" s="110"/>
      <c r="N158" s="110"/>
      <c r="O158" s="110"/>
    </row>
    <row r="159" spans="1:15" ht="12" customHeight="1" x14ac:dyDescent="0.15">
      <c r="A159" s="110"/>
      <c r="B159" s="110"/>
      <c r="C159" s="110"/>
      <c r="D159" s="110"/>
      <c r="E159" s="110"/>
      <c r="F159" s="110"/>
      <c r="G159" s="110"/>
      <c r="H159" s="110"/>
      <c r="I159" s="110"/>
      <c r="J159" s="110"/>
      <c r="K159" s="110"/>
      <c r="L159" s="110"/>
      <c r="M159" s="110"/>
      <c r="N159" s="110"/>
      <c r="O159" s="110"/>
    </row>
    <row r="160" spans="1:15" ht="12" customHeight="1" x14ac:dyDescent="0.15">
      <c r="A160" s="110"/>
      <c r="B160" s="110"/>
      <c r="C160" s="110"/>
      <c r="D160" s="110"/>
      <c r="E160" s="110"/>
      <c r="F160" s="110"/>
      <c r="G160" s="110"/>
      <c r="H160" s="110"/>
      <c r="I160" s="110"/>
      <c r="J160" s="110"/>
      <c r="K160" s="110"/>
      <c r="L160" s="110"/>
      <c r="M160" s="110"/>
      <c r="N160" s="110"/>
      <c r="O160" s="110"/>
    </row>
    <row r="161" spans="1:15" ht="12" customHeight="1" x14ac:dyDescent="0.15">
      <c r="A161" s="110"/>
      <c r="B161" s="110"/>
      <c r="C161" s="110"/>
      <c r="D161" s="110"/>
      <c r="E161" s="110"/>
      <c r="F161" s="110"/>
      <c r="G161" s="110"/>
      <c r="H161" s="110"/>
      <c r="I161" s="110"/>
      <c r="J161" s="110"/>
      <c r="K161" s="110"/>
      <c r="L161" s="110"/>
      <c r="M161" s="110"/>
      <c r="N161" s="110"/>
      <c r="O161" s="110"/>
    </row>
    <row r="162" spans="1:15" ht="12" customHeight="1" x14ac:dyDescent="0.15">
      <c r="A162" s="110"/>
      <c r="B162" s="110"/>
      <c r="C162" s="110"/>
      <c r="D162" s="110"/>
      <c r="E162" s="110"/>
      <c r="F162" s="110"/>
      <c r="G162" s="110"/>
      <c r="H162" s="110"/>
      <c r="I162" s="110"/>
      <c r="J162" s="110"/>
      <c r="K162" s="110"/>
      <c r="L162" s="110"/>
      <c r="M162" s="110"/>
      <c r="N162" s="110"/>
      <c r="O162" s="110"/>
    </row>
    <row r="163" spans="1:15" ht="12" customHeight="1" x14ac:dyDescent="0.15">
      <c r="A163" s="110"/>
      <c r="B163" s="110"/>
      <c r="C163" s="110"/>
      <c r="D163" s="110"/>
      <c r="E163" s="110"/>
      <c r="F163" s="110"/>
      <c r="G163" s="110"/>
      <c r="H163" s="110"/>
      <c r="I163" s="110"/>
      <c r="J163" s="110"/>
      <c r="K163" s="110"/>
      <c r="L163" s="110"/>
      <c r="M163" s="110"/>
      <c r="N163" s="110"/>
      <c r="O163" s="110"/>
    </row>
    <row r="164" spans="1:15" ht="12" customHeight="1" x14ac:dyDescent="0.15">
      <c r="A164" s="110"/>
      <c r="B164" s="110"/>
      <c r="C164" s="110"/>
      <c r="D164" s="110"/>
      <c r="E164" s="110"/>
      <c r="F164" s="110"/>
      <c r="G164" s="110"/>
      <c r="H164" s="110"/>
      <c r="I164" s="110"/>
      <c r="J164" s="110"/>
      <c r="K164" s="110"/>
      <c r="L164" s="110"/>
      <c r="M164" s="110"/>
      <c r="N164" s="110"/>
      <c r="O164" s="110"/>
    </row>
    <row r="165" spans="1:15" ht="12" customHeight="1" x14ac:dyDescent="0.15">
      <c r="A165" s="110"/>
      <c r="B165" s="110"/>
      <c r="C165" s="110"/>
      <c r="D165" s="110"/>
      <c r="E165" s="110"/>
      <c r="F165" s="110"/>
      <c r="G165" s="110"/>
      <c r="H165" s="110"/>
      <c r="I165" s="110"/>
      <c r="J165" s="110"/>
      <c r="K165" s="110"/>
      <c r="L165" s="110"/>
      <c r="M165" s="110"/>
      <c r="N165" s="110"/>
      <c r="O165" s="110"/>
    </row>
    <row r="166" spans="1:15" ht="12" customHeight="1" x14ac:dyDescent="0.15">
      <c r="A166" s="110"/>
      <c r="B166" s="110"/>
      <c r="C166" s="110"/>
      <c r="D166" s="110"/>
      <c r="E166" s="110"/>
      <c r="F166" s="110"/>
      <c r="G166" s="110"/>
      <c r="H166" s="110"/>
      <c r="I166" s="110"/>
      <c r="J166" s="110"/>
      <c r="K166" s="110"/>
      <c r="L166" s="110"/>
      <c r="M166" s="110"/>
      <c r="N166" s="110"/>
      <c r="O166" s="110"/>
    </row>
    <row r="167" spans="1:15" ht="12" customHeight="1" x14ac:dyDescent="0.15">
      <c r="A167" s="110"/>
      <c r="B167" s="110"/>
      <c r="C167" s="110"/>
      <c r="D167" s="110"/>
      <c r="E167" s="110"/>
      <c r="F167" s="110"/>
      <c r="G167" s="110"/>
      <c r="H167" s="110"/>
      <c r="I167" s="110"/>
      <c r="J167" s="110"/>
      <c r="K167" s="110"/>
      <c r="L167" s="110"/>
      <c r="M167" s="110"/>
      <c r="N167" s="110"/>
      <c r="O167" s="110"/>
    </row>
    <row r="168" spans="1:15" ht="12" customHeight="1" x14ac:dyDescent="0.15">
      <c r="A168" s="110"/>
      <c r="B168" s="110"/>
      <c r="C168" s="110"/>
      <c r="D168" s="110"/>
      <c r="E168" s="110"/>
      <c r="F168" s="110"/>
      <c r="G168" s="110"/>
      <c r="H168" s="110"/>
      <c r="I168" s="110"/>
      <c r="J168" s="110"/>
      <c r="K168" s="110"/>
      <c r="L168" s="110"/>
      <c r="M168" s="110"/>
      <c r="N168" s="110"/>
      <c r="O168" s="110"/>
    </row>
    <row r="169" spans="1:15" ht="12" customHeight="1" x14ac:dyDescent="0.15">
      <c r="A169" s="110"/>
      <c r="B169" s="110"/>
      <c r="C169" s="110"/>
      <c r="D169" s="110"/>
      <c r="E169" s="110"/>
      <c r="F169" s="110"/>
      <c r="G169" s="110"/>
      <c r="H169" s="110"/>
      <c r="I169" s="110"/>
      <c r="J169" s="110"/>
      <c r="K169" s="110"/>
      <c r="L169" s="110"/>
      <c r="M169" s="110"/>
      <c r="N169" s="110"/>
      <c r="O169" s="110"/>
    </row>
    <row r="170" spans="1:15" ht="12" customHeight="1" x14ac:dyDescent="0.15">
      <c r="A170" s="110"/>
      <c r="B170" s="110"/>
      <c r="C170" s="110"/>
      <c r="D170" s="110"/>
      <c r="E170" s="110"/>
      <c r="F170" s="110"/>
      <c r="G170" s="110"/>
      <c r="H170" s="110"/>
      <c r="I170" s="110"/>
      <c r="J170" s="110"/>
      <c r="K170" s="110"/>
      <c r="L170" s="110"/>
      <c r="M170" s="110"/>
      <c r="N170" s="110"/>
      <c r="O170" s="110"/>
    </row>
    <row r="171" spans="1:15" ht="12" customHeight="1" x14ac:dyDescent="0.15">
      <c r="A171" s="110"/>
      <c r="B171" s="110"/>
      <c r="C171" s="110"/>
      <c r="D171" s="110"/>
      <c r="E171" s="110"/>
      <c r="F171" s="110"/>
      <c r="G171" s="110"/>
      <c r="H171" s="110"/>
      <c r="I171" s="110"/>
      <c r="J171" s="110"/>
      <c r="K171" s="110"/>
      <c r="L171" s="110"/>
      <c r="M171" s="110"/>
      <c r="N171" s="110"/>
      <c r="O171" s="110"/>
    </row>
    <row r="172" spans="1:15" ht="12" customHeight="1" x14ac:dyDescent="0.15">
      <c r="A172" s="110"/>
      <c r="B172" s="110"/>
      <c r="C172" s="110"/>
      <c r="D172" s="110"/>
      <c r="E172" s="110"/>
      <c r="F172" s="110"/>
      <c r="G172" s="110"/>
      <c r="H172" s="110"/>
      <c r="I172" s="110"/>
      <c r="J172" s="110"/>
      <c r="K172" s="110"/>
      <c r="L172" s="110"/>
      <c r="M172" s="110"/>
      <c r="N172" s="110"/>
      <c r="O172" s="110"/>
    </row>
    <row r="173" spans="1:15" ht="12" customHeight="1" x14ac:dyDescent="0.15">
      <c r="A173" s="110"/>
      <c r="B173" s="110"/>
      <c r="C173" s="110"/>
      <c r="D173" s="110"/>
      <c r="E173" s="110"/>
      <c r="F173" s="110"/>
      <c r="G173" s="110"/>
      <c r="H173" s="110"/>
      <c r="I173" s="110"/>
      <c r="J173" s="110"/>
      <c r="K173" s="110"/>
      <c r="L173" s="110"/>
      <c r="M173" s="110"/>
      <c r="N173" s="110"/>
      <c r="O173" s="110"/>
    </row>
    <row r="174" spans="1:15" ht="12" customHeight="1" x14ac:dyDescent="0.15">
      <c r="A174" s="110"/>
      <c r="B174" s="110"/>
      <c r="C174" s="110"/>
      <c r="D174" s="110"/>
      <c r="E174" s="110"/>
      <c r="F174" s="110"/>
      <c r="G174" s="110"/>
      <c r="H174" s="110"/>
      <c r="I174" s="110"/>
      <c r="J174" s="110"/>
      <c r="K174" s="110"/>
      <c r="L174" s="110"/>
      <c r="M174" s="110"/>
      <c r="N174" s="110"/>
      <c r="O174" s="110"/>
    </row>
    <row r="175" spans="1:15" ht="12" customHeight="1" x14ac:dyDescent="0.15">
      <c r="A175" s="110"/>
      <c r="B175" s="110"/>
      <c r="C175" s="110"/>
      <c r="D175" s="110"/>
      <c r="E175" s="110"/>
      <c r="F175" s="110"/>
      <c r="G175" s="110"/>
      <c r="H175" s="110"/>
      <c r="I175" s="110"/>
      <c r="J175" s="110"/>
      <c r="K175" s="110"/>
      <c r="L175" s="110"/>
      <c r="M175" s="110"/>
      <c r="N175" s="110"/>
      <c r="O175" s="110"/>
    </row>
    <row r="176" spans="1:15" ht="12" customHeight="1" x14ac:dyDescent="0.15">
      <c r="A176" s="110"/>
      <c r="B176" s="110"/>
      <c r="C176" s="110"/>
      <c r="D176" s="110"/>
      <c r="E176" s="110"/>
      <c r="F176" s="110"/>
      <c r="G176" s="110"/>
      <c r="H176" s="110"/>
      <c r="I176" s="110"/>
      <c r="J176" s="110"/>
      <c r="K176" s="110"/>
      <c r="L176" s="110"/>
      <c r="M176" s="110"/>
      <c r="N176" s="110"/>
      <c r="O176" s="110"/>
    </row>
    <row r="177" spans="1:15" ht="12" customHeight="1" x14ac:dyDescent="0.15">
      <c r="A177" s="110"/>
      <c r="B177" s="110"/>
      <c r="C177" s="110"/>
      <c r="D177" s="110"/>
      <c r="E177" s="110"/>
      <c r="F177" s="110"/>
      <c r="G177" s="110"/>
      <c r="H177" s="110"/>
      <c r="I177" s="110"/>
      <c r="J177" s="110"/>
      <c r="K177" s="110"/>
      <c r="L177" s="110"/>
      <c r="M177" s="110"/>
      <c r="N177" s="110"/>
      <c r="O177" s="110"/>
    </row>
    <row r="178" spans="1:15" ht="12" customHeight="1" x14ac:dyDescent="0.15">
      <c r="A178" s="110"/>
      <c r="B178" s="110"/>
      <c r="C178" s="110"/>
      <c r="D178" s="110"/>
      <c r="E178" s="110"/>
      <c r="F178" s="110"/>
      <c r="G178" s="110"/>
      <c r="H178" s="110"/>
      <c r="I178" s="110"/>
      <c r="J178" s="110"/>
      <c r="K178" s="110"/>
      <c r="L178" s="110"/>
      <c r="M178" s="110"/>
      <c r="N178" s="110"/>
      <c r="O178" s="110"/>
    </row>
    <row r="179" spans="1:15" ht="12" customHeight="1" x14ac:dyDescent="0.15">
      <c r="A179" s="110"/>
      <c r="B179" s="110"/>
      <c r="C179" s="110"/>
      <c r="D179" s="110"/>
      <c r="E179" s="110"/>
      <c r="F179" s="110"/>
      <c r="G179" s="110"/>
      <c r="H179" s="110"/>
      <c r="I179" s="110"/>
      <c r="J179" s="110"/>
      <c r="K179" s="110"/>
      <c r="L179" s="110"/>
      <c r="M179" s="110"/>
      <c r="N179" s="110"/>
      <c r="O179" s="110"/>
    </row>
    <row r="180" spans="1:15" ht="12" customHeight="1" x14ac:dyDescent="0.15">
      <c r="A180" s="110"/>
      <c r="B180" s="110"/>
      <c r="C180" s="110"/>
      <c r="D180" s="110"/>
      <c r="E180" s="110"/>
      <c r="F180" s="110"/>
      <c r="G180" s="110"/>
      <c r="H180" s="110"/>
      <c r="I180" s="110"/>
      <c r="J180" s="110"/>
      <c r="K180" s="110"/>
      <c r="L180" s="110"/>
      <c r="M180" s="110"/>
      <c r="N180" s="110"/>
      <c r="O180" s="110"/>
    </row>
    <row r="181" spans="1:15" ht="12" customHeight="1" x14ac:dyDescent="0.15">
      <c r="A181" s="110"/>
      <c r="B181" s="110"/>
      <c r="C181" s="110"/>
      <c r="D181" s="110"/>
      <c r="E181" s="110"/>
      <c r="F181" s="110"/>
      <c r="G181" s="110"/>
      <c r="H181" s="110"/>
      <c r="I181" s="110"/>
      <c r="J181" s="110"/>
      <c r="K181" s="110"/>
      <c r="L181" s="110"/>
      <c r="M181" s="110"/>
      <c r="N181" s="110"/>
      <c r="O181" s="110"/>
    </row>
    <row r="182" spans="1:15" ht="12" customHeight="1" x14ac:dyDescent="0.15">
      <c r="A182" s="110"/>
      <c r="B182" s="110"/>
      <c r="C182" s="110"/>
      <c r="D182" s="110"/>
      <c r="E182" s="110"/>
      <c r="F182" s="110"/>
      <c r="G182" s="110"/>
      <c r="H182" s="110"/>
      <c r="I182" s="110"/>
      <c r="J182" s="110"/>
      <c r="K182" s="110"/>
      <c r="L182" s="110"/>
      <c r="M182" s="110"/>
      <c r="N182" s="110"/>
      <c r="O182" s="110"/>
    </row>
    <row r="183" spans="1:15" ht="12" customHeight="1" x14ac:dyDescent="0.15">
      <c r="A183" s="110"/>
      <c r="B183" s="110"/>
      <c r="C183" s="110"/>
      <c r="D183" s="110"/>
      <c r="E183" s="110"/>
      <c r="F183" s="110"/>
      <c r="G183" s="110"/>
      <c r="H183" s="110"/>
      <c r="I183" s="110"/>
      <c r="J183" s="110"/>
      <c r="K183" s="110"/>
      <c r="L183" s="110"/>
      <c r="M183" s="110"/>
      <c r="N183" s="110"/>
      <c r="O183" s="110"/>
    </row>
    <row r="184" spans="1:15" ht="12" customHeight="1" x14ac:dyDescent="0.15">
      <c r="A184" s="110"/>
      <c r="B184" s="110"/>
      <c r="C184" s="110"/>
      <c r="D184" s="110"/>
      <c r="E184" s="110"/>
      <c r="F184" s="110"/>
      <c r="G184" s="110"/>
      <c r="H184" s="110"/>
      <c r="I184" s="110"/>
      <c r="J184" s="110"/>
      <c r="K184" s="110"/>
      <c r="L184" s="110"/>
      <c r="M184" s="110"/>
      <c r="N184" s="110"/>
      <c r="O184" s="110"/>
    </row>
    <row r="185" spans="1:15" ht="12" customHeight="1" x14ac:dyDescent="0.15">
      <c r="A185" s="110"/>
      <c r="B185" s="110"/>
      <c r="C185" s="110"/>
      <c r="D185" s="110"/>
      <c r="E185" s="110"/>
      <c r="F185" s="110"/>
      <c r="G185" s="110"/>
      <c r="H185" s="110"/>
      <c r="I185" s="110"/>
      <c r="J185" s="110"/>
      <c r="K185" s="110"/>
      <c r="L185" s="110"/>
      <c r="M185" s="110"/>
      <c r="N185" s="110"/>
      <c r="O185" s="110"/>
    </row>
    <row r="186" spans="1:15" ht="12" customHeight="1" x14ac:dyDescent="0.15">
      <c r="A186" s="110"/>
      <c r="B186" s="110"/>
      <c r="C186" s="110"/>
      <c r="D186" s="110"/>
      <c r="E186" s="110"/>
      <c r="F186" s="110"/>
      <c r="G186" s="110"/>
      <c r="H186" s="110"/>
      <c r="I186" s="110"/>
      <c r="J186" s="110"/>
      <c r="K186" s="110"/>
      <c r="L186" s="110"/>
      <c r="M186" s="110"/>
      <c r="N186" s="110"/>
      <c r="O186" s="110"/>
    </row>
    <row r="187" spans="1:15" ht="12" customHeight="1" x14ac:dyDescent="0.15">
      <c r="A187" s="110"/>
      <c r="B187" s="110"/>
      <c r="C187" s="110"/>
      <c r="D187" s="110"/>
      <c r="E187" s="110"/>
      <c r="F187" s="110"/>
      <c r="G187" s="110"/>
      <c r="H187" s="110"/>
      <c r="I187" s="110"/>
      <c r="J187" s="110"/>
      <c r="K187" s="110"/>
      <c r="L187" s="110"/>
      <c r="M187" s="110"/>
      <c r="N187" s="110"/>
      <c r="O187" s="110"/>
    </row>
    <row r="188" spans="1:15" ht="12" customHeight="1" x14ac:dyDescent="0.15">
      <c r="A188" s="110"/>
      <c r="B188" s="110"/>
      <c r="C188" s="110"/>
      <c r="D188" s="110"/>
      <c r="E188" s="110"/>
      <c r="F188" s="110"/>
      <c r="G188" s="110"/>
      <c r="H188" s="110"/>
      <c r="I188" s="110"/>
      <c r="J188" s="110"/>
      <c r="K188" s="110"/>
      <c r="L188" s="110"/>
      <c r="M188" s="110"/>
      <c r="N188" s="110"/>
      <c r="O188" s="110"/>
    </row>
    <row r="189" spans="1:15" ht="12" customHeight="1" x14ac:dyDescent="0.15">
      <c r="A189" s="110"/>
      <c r="B189" s="110"/>
      <c r="C189" s="110"/>
      <c r="D189" s="110"/>
      <c r="E189" s="110"/>
      <c r="F189" s="110"/>
      <c r="G189" s="110"/>
      <c r="H189" s="110"/>
      <c r="I189" s="110"/>
      <c r="J189" s="110"/>
      <c r="K189" s="110"/>
      <c r="L189" s="110"/>
      <c r="M189" s="110"/>
      <c r="N189" s="110"/>
      <c r="O189" s="110"/>
    </row>
    <row r="190" spans="1:15" ht="12" customHeight="1" x14ac:dyDescent="0.15">
      <c r="A190" s="110"/>
      <c r="B190" s="110"/>
      <c r="C190" s="110"/>
      <c r="D190" s="110"/>
      <c r="E190" s="110"/>
      <c r="F190" s="110"/>
      <c r="G190" s="110"/>
      <c r="H190" s="110"/>
      <c r="I190" s="110"/>
      <c r="J190" s="110"/>
      <c r="K190" s="110"/>
      <c r="L190" s="110"/>
      <c r="M190" s="110"/>
      <c r="N190" s="110"/>
      <c r="O190" s="110"/>
    </row>
    <row r="191" spans="1:15" ht="12" customHeight="1" x14ac:dyDescent="0.15">
      <c r="A191" s="110"/>
      <c r="B191" s="110"/>
      <c r="C191" s="110"/>
      <c r="D191" s="110"/>
      <c r="E191" s="110"/>
      <c r="F191" s="110"/>
      <c r="G191" s="110"/>
      <c r="H191" s="110"/>
      <c r="I191" s="110"/>
      <c r="J191" s="110"/>
      <c r="K191" s="110"/>
      <c r="L191" s="110"/>
      <c r="M191" s="110"/>
      <c r="N191" s="110"/>
      <c r="O191" s="110"/>
    </row>
    <row r="192" spans="1:15" ht="12" customHeight="1" x14ac:dyDescent="0.15">
      <c r="A192" s="110"/>
      <c r="B192" s="110"/>
      <c r="C192" s="110"/>
      <c r="D192" s="110"/>
      <c r="E192" s="110"/>
      <c r="F192" s="110"/>
      <c r="G192" s="110"/>
      <c r="H192" s="110"/>
      <c r="I192" s="110"/>
      <c r="J192" s="110"/>
      <c r="K192" s="110"/>
      <c r="L192" s="110"/>
      <c r="M192" s="110"/>
      <c r="N192" s="110"/>
      <c r="O192" s="110"/>
    </row>
    <row r="193" spans="1:15" ht="12" customHeight="1" x14ac:dyDescent="0.15">
      <c r="A193" s="110"/>
      <c r="B193" s="110"/>
      <c r="C193" s="110"/>
      <c r="D193" s="110"/>
      <c r="E193" s="110"/>
      <c r="F193" s="110"/>
      <c r="G193" s="110"/>
      <c r="H193" s="110"/>
      <c r="I193" s="110"/>
      <c r="J193" s="110"/>
      <c r="K193" s="110"/>
      <c r="L193" s="110"/>
      <c r="M193" s="110"/>
      <c r="N193" s="110"/>
      <c r="O193" s="110"/>
    </row>
    <row r="194" spans="1:15" ht="12" customHeight="1" x14ac:dyDescent="0.15">
      <c r="A194" s="110"/>
      <c r="B194" s="110"/>
      <c r="C194" s="110"/>
      <c r="D194" s="110"/>
      <c r="E194" s="110"/>
      <c r="F194" s="110"/>
      <c r="G194" s="110"/>
      <c r="H194" s="110"/>
      <c r="I194" s="110"/>
      <c r="J194" s="110"/>
      <c r="K194" s="110"/>
      <c r="L194" s="110"/>
      <c r="M194" s="110"/>
      <c r="N194" s="110"/>
      <c r="O194" s="110"/>
    </row>
    <row r="195" spans="1:15" ht="12" customHeight="1" x14ac:dyDescent="0.15">
      <c r="A195" s="110"/>
      <c r="B195" s="110"/>
      <c r="C195" s="110"/>
      <c r="D195" s="110"/>
      <c r="E195" s="110"/>
      <c r="F195" s="110"/>
      <c r="G195" s="110"/>
      <c r="H195" s="110"/>
      <c r="I195" s="110"/>
      <c r="J195" s="110"/>
      <c r="K195" s="110"/>
      <c r="L195" s="110"/>
      <c r="M195" s="110"/>
      <c r="N195" s="110"/>
      <c r="O195" s="110"/>
    </row>
    <row r="196" spans="1:15" ht="12" customHeight="1" x14ac:dyDescent="0.15">
      <c r="A196" s="110"/>
      <c r="B196" s="110"/>
      <c r="C196" s="110"/>
      <c r="D196" s="110"/>
      <c r="E196" s="110"/>
      <c r="F196" s="110"/>
      <c r="G196" s="110"/>
      <c r="H196" s="110"/>
      <c r="I196" s="110"/>
      <c r="J196" s="110"/>
      <c r="K196" s="110"/>
      <c r="L196" s="110"/>
      <c r="M196" s="110"/>
      <c r="N196" s="110"/>
      <c r="O196" s="110"/>
    </row>
    <row r="197" spans="1:15" ht="12" customHeight="1" x14ac:dyDescent="0.15">
      <c r="A197" s="110"/>
      <c r="B197" s="110"/>
      <c r="C197" s="110"/>
      <c r="D197" s="110"/>
      <c r="E197" s="110"/>
      <c r="F197" s="110"/>
      <c r="G197" s="110"/>
      <c r="H197" s="110"/>
      <c r="I197" s="110"/>
      <c r="J197" s="110"/>
      <c r="K197" s="110"/>
      <c r="L197" s="110"/>
      <c r="M197" s="110"/>
      <c r="N197" s="110"/>
      <c r="O197" s="110"/>
    </row>
    <row r="198" spans="1:15" ht="12" customHeight="1" x14ac:dyDescent="0.15">
      <c r="A198" s="110"/>
      <c r="B198" s="110"/>
      <c r="C198" s="110"/>
      <c r="D198" s="110"/>
      <c r="E198" s="110"/>
      <c r="F198" s="110"/>
      <c r="G198" s="110"/>
      <c r="H198" s="110"/>
      <c r="I198" s="110"/>
      <c r="J198" s="110"/>
      <c r="K198" s="110"/>
      <c r="L198" s="110"/>
      <c r="M198" s="110"/>
      <c r="N198" s="110"/>
      <c r="O198" s="110"/>
    </row>
    <row r="199" spans="1:15" ht="12" customHeight="1" x14ac:dyDescent="0.15">
      <c r="A199" s="110"/>
      <c r="B199" s="110"/>
      <c r="C199" s="110"/>
      <c r="D199" s="110"/>
      <c r="E199" s="110"/>
      <c r="F199" s="110"/>
      <c r="G199" s="110"/>
      <c r="H199" s="110"/>
      <c r="I199" s="110"/>
      <c r="J199" s="110"/>
      <c r="K199" s="110"/>
      <c r="L199" s="110"/>
      <c r="M199" s="110"/>
      <c r="N199" s="110"/>
      <c r="O199" s="110"/>
    </row>
    <row r="200" spans="1:15" ht="12" customHeight="1" x14ac:dyDescent="0.15">
      <c r="A200" s="110"/>
      <c r="B200" s="110"/>
      <c r="C200" s="110"/>
      <c r="D200" s="110"/>
      <c r="E200" s="110"/>
      <c r="F200" s="110"/>
      <c r="G200" s="110"/>
      <c r="H200" s="110"/>
      <c r="I200" s="110"/>
      <c r="J200" s="110"/>
      <c r="K200" s="110"/>
      <c r="L200" s="110"/>
      <c r="M200" s="110"/>
      <c r="N200" s="110"/>
      <c r="O200" s="110"/>
    </row>
    <row r="201" spans="1:15" ht="12" customHeight="1" x14ac:dyDescent="0.15">
      <c r="A201" s="110"/>
      <c r="B201" s="110"/>
      <c r="C201" s="110"/>
      <c r="D201" s="110"/>
      <c r="E201" s="110"/>
      <c r="F201" s="110"/>
      <c r="G201" s="110"/>
      <c r="H201" s="110"/>
      <c r="I201" s="110"/>
      <c r="J201" s="110"/>
      <c r="K201" s="110"/>
      <c r="L201" s="110"/>
      <c r="M201" s="110"/>
      <c r="N201" s="110"/>
      <c r="O201" s="110"/>
    </row>
    <row r="202" spans="1:15" ht="12" customHeight="1" x14ac:dyDescent="0.15">
      <c r="A202" s="110"/>
      <c r="B202" s="110"/>
      <c r="C202" s="110"/>
      <c r="D202" s="110"/>
      <c r="E202" s="110"/>
      <c r="F202" s="110"/>
      <c r="G202" s="110"/>
      <c r="H202" s="110"/>
      <c r="I202" s="110"/>
      <c r="J202" s="110"/>
      <c r="K202" s="110"/>
      <c r="L202" s="110"/>
      <c r="M202" s="110"/>
      <c r="N202" s="110"/>
      <c r="O202" s="110"/>
    </row>
    <row r="203" spans="1:15" ht="12" customHeight="1" x14ac:dyDescent="0.15">
      <c r="A203" s="110"/>
      <c r="B203" s="110"/>
      <c r="C203" s="110"/>
      <c r="D203" s="110"/>
      <c r="E203" s="110"/>
      <c r="F203" s="110"/>
      <c r="G203" s="110"/>
      <c r="H203" s="110"/>
      <c r="I203" s="110"/>
      <c r="J203" s="110"/>
      <c r="K203" s="110"/>
      <c r="L203" s="110"/>
      <c r="M203" s="110"/>
      <c r="N203" s="110"/>
      <c r="O203" s="110"/>
    </row>
    <row r="204" spans="1:15" ht="12" customHeight="1" x14ac:dyDescent="0.15">
      <c r="A204" s="110"/>
      <c r="B204" s="110"/>
      <c r="C204" s="110"/>
      <c r="D204" s="110"/>
      <c r="E204" s="110"/>
      <c r="F204" s="110"/>
      <c r="G204" s="110"/>
      <c r="H204" s="110"/>
      <c r="I204" s="110"/>
      <c r="J204" s="110"/>
      <c r="K204" s="110"/>
      <c r="L204" s="110"/>
      <c r="M204" s="110"/>
      <c r="N204" s="110"/>
      <c r="O204" s="110"/>
    </row>
    <row r="205" spans="1:15" ht="12" customHeight="1" x14ac:dyDescent="0.15">
      <c r="A205" s="110"/>
      <c r="B205" s="110"/>
      <c r="C205" s="110"/>
      <c r="D205" s="110"/>
      <c r="E205" s="110"/>
      <c r="F205" s="110"/>
      <c r="G205" s="110"/>
      <c r="H205" s="110"/>
      <c r="I205" s="110"/>
      <c r="J205" s="110"/>
      <c r="K205" s="110"/>
      <c r="L205" s="110"/>
      <c r="M205" s="110"/>
      <c r="N205" s="110"/>
      <c r="O205" s="110"/>
    </row>
    <row r="206" spans="1:15" ht="12" customHeight="1" x14ac:dyDescent="0.15">
      <c r="A206" s="110"/>
      <c r="B206" s="110"/>
      <c r="C206" s="110"/>
      <c r="D206" s="110"/>
      <c r="E206" s="110"/>
      <c r="F206" s="110"/>
      <c r="G206" s="110"/>
      <c r="H206" s="110"/>
      <c r="I206" s="110"/>
      <c r="J206" s="110"/>
      <c r="K206" s="110"/>
      <c r="L206" s="110"/>
      <c r="M206" s="110"/>
      <c r="N206" s="110"/>
      <c r="O206" s="110"/>
    </row>
    <row r="207" spans="1:15" ht="12" customHeight="1" x14ac:dyDescent="0.15">
      <c r="A207" s="110"/>
      <c r="B207" s="110"/>
      <c r="C207" s="110"/>
      <c r="D207" s="110"/>
      <c r="E207" s="110"/>
      <c r="F207" s="110"/>
      <c r="G207" s="110"/>
      <c r="H207" s="110"/>
      <c r="I207" s="110"/>
      <c r="J207" s="110"/>
      <c r="K207" s="110"/>
      <c r="L207" s="110"/>
      <c r="M207" s="110"/>
      <c r="N207" s="110"/>
      <c r="O207" s="110"/>
    </row>
    <row r="208" spans="1:15" ht="12" customHeight="1" x14ac:dyDescent="0.15">
      <c r="A208" s="110"/>
      <c r="B208" s="110"/>
      <c r="C208" s="110"/>
      <c r="D208" s="110"/>
      <c r="E208" s="110"/>
      <c r="F208" s="110"/>
      <c r="G208" s="110"/>
      <c r="H208" s="110"/>
      <c r="I208" s="110"/>
      <c r="J208" s="110"/>
      <c r="K208" s="110"/>
      <c r="L208" s="110"/>
      <c r="M208" s="110"/>
      <c r="N208" s="110"/>
      <c r="O208" s="110"/>
    </row>
    <row r="209" spans="1:15" ht="12" customHeight="1" x14ac:dyDescent="0.15">
      <c r="A209" s="110"/>
      <c r="B209" s="110"/>
      <c r="C209" s="110"/>
      <c r="D209" s="110"/>
      <c r="E209" s="110"/>
      <c r="F209" s="110"/>
      <c r="G209" s="110"/>
      <c r="H209" s="110"/>
      <c r="I209" s="110"/>
      <c r="J209" s="110"/>
      <c r="K209" s="110"/>
      <c r="L209" s="110"/>
      <c r="M209" s="110"/>
      <c r="N209" s="110"/>
      <c r="O209" s="110"/>
    </row>
    <row r="210" spans="1:15" ht="12" customHeight="1" x14ac:dyDescent="0.15">
      <c r="A210" s="110"/>
      <c r="B210" s="110"/>
      <c r="C210" s="110"/>
      <c r="D210" s="110"/>
      <c r="E210" s="110"/>
      <c r="F210" s="110"/>
      <c r="G210" s="110"/>
      <c r="H210" s="110"/>
      <c r="I210" s="110"/>
      <c r="J210" s="110"/>
      <c r="K210" s="110"/>
      <c r="L210" s="110"/>
      <c r="M210" s="110"/>
      <c r="N210" s="110"/>
      <c r="O210" s="110"/>
    </row>
    <row r="211" spans="1:15" ht="12" customHeight="1" x14ac:dyDescent="0.15">
      <c r="A211" s="110"/>
      <c r="B211" s="110"/>
      <c r="C211" s="110"/>
      <c r="D211" s="110"/>
      <c r="E211" s="110"/>
      <c r="F211" s="110"/>
      <c r="G211" s="110"/>
      <c r="H211" s="110"/>
      <c r="I211" s="110"/>
      <c r="J211" s="110"/>
      <c r="K211" s="110"/>
      <c r="L211" s="110"/>
      <c r="M211" s="110"/>
      <c r="N211" s="110"/>
      <c r="O211" s="110"/>
    </row>
    <row r="212" spans="1:15" ht="12" customHeight="1" x14ac:dyDescent="0.15">
      <c r="A212" s="110"/>
      <c r="B212" s="110"/>
      <c r="C212" s="110"/>
      <c r="D212" s="110"/>
      <c r="E212" s="110"/>
      <c r="F212" s="110"/>
      <c r="G212" s="110"/>
      <c r="H212" s="110"/>
      <c r="I212" s="110"/>
      <c r="J212" s="110"/>
      <c r="K212" s="110"/>
      <c r="L212" s="110"/>
      <c r="M212" s="110"/>
      <c r="N212" s="110"/>
      <c r="O212" s="110"/>
    </row>
    <row r="213" spans="1:15" ht="12" customHeight="1" x14ac:dyDescent="0.15">
      <c r="A213" s="110"/>
      <c r="B213" s="110"/>
      <c r="C213" s="110"/>
      <c r="D213" s="110"/>
      <c r="E213" s="110"/>
      <c r="F213" s="110"/>
      <c r="G213" s="110"/>
      <c r="H213" s="110"/>
      <c r="I213" s="110"/>
      <c r="J213" s="110"/>
      <c r="K213" s="110"/>
      <c r="L213" s="110"/>
      <c r="M213" s="110"/>
      <c r="N213" s="110"/>
      <c r="O213" s="110"/>
    </row>
    <row r="214" spans="1:15" ht="12" customHeight="1" x14ac:dyDescent="0.15">
      <c r="A214" s="110"/>
      <c r="B214" s="110"/>
      <c r="C214" s="110"/>
      <c r="D214" s="110"/>
      <c r="E214" s="110"/>
      <c r="F214" s="110"/>
      <c r="G214" s="110"/>
      <c r="H214" s="110"/>
      <c r="I214" s="110"/>
      <c r="J214" s="110"/>
      <c r="K214" s="110"/>
      <c r="L214" s="110"/>
      <c r="M214" s="110"/>
      <c r="N214" s="110"/>
      <c r="O214" s="110"/>
    </row>
    <row r="215" spans="1:15" ht="12" customHeight="1" x14ac:dyDescent="0.15">
      <c r="A215" s="110"/>
      <c r="B215" s="110"/>
      <c r="C215" s="110"/>
      <c r="D215" s="110"/>
      <c r="E215" s="110"/>
      <c r="F215" s="110"/>
      <c r="G215" s="110"/>
      <c r="H215" s="110"/>
      <c r="I215" s="110"/>
      <c r="J215" s="110"/>
      <c r="K215" s="110"/>
      <c r="L215" s="110"/>
      <c r="M215" s="110"/>
      <c r="N215" s="110"/>
      <c r="O215" s="110"/>
    </row>
    <row r="216" spans="1:15" ht="12" customHeight="1" x14ac:dyDescent="0.15">
      <c r="A216" s="110"/>
      <c r="B216" s="110"/>
      <c r="C216" s="110"/>
      <c r="D216" s="110"/>
      <c r="E216" s="110"/>
      <c r="F216" s="110"/>
      <c r="G216" s="110"/>
      <c r="H216" s="110"/>
      <c r="I216" s="110"/>
      <c r="J216" s="110"/>
      <c r="K216" s="110"/>
      <c r="L216" s="110"/>
      <c r="M216" s="110"/>
      <c r="N216" s="110"/>
      <c r="O216" s="110"/>
    </row>
    <row r="217" spans="1:15" ht="12" customHeight="1" x14ac:dyDescent="0.15">
      <c r="A217" s="110"/>
      <c r="B217" s="110"/>
      <c r="C217" s="110"/>
      <c r="D217" s="110"/>
      <c r="E217" s="110"/>
      <c r="F217" s="110"/>
      <c r="G217" s="110"/>
      <c r="H217" s="110"/>
      <c r="I217" s="110"/>
      <c r="J217" s="110"/>
      <c r="K217" s="110"/>
      <c r="L217" s="110"/>
      <c r="M217" s="110"/>
      <c r="N217" s="110"/>
      <c r="O217" s="110"/>
    </row>
    <row r="218" spans="1:15" ht="12" customHeight="1" x14ac:dyDescent="0.15">
      <c r="A218" s="110"/>
      <c r="B218" s="110"/>
      <c r="C218" s="110"/>
      <c r="D218" s="110"/>
      <c r="E218" s="110"/>
      <c r="F218" s="110"/>
      <c r="G218" s="110"/>
      <c r="H218" s="110"/>
      <c r="I218" s="110"/>
      <c r="J218" s="110"/>
      <c r="K218" s="110"/>
      <c r="L218" s="110"/>
      <c r="M218" s="110"/>
      <c r="N218" s="110"/>
      <c r="O218" s="110"/>
    </row>
    <row r="219" spans="1:15" ht="12" customHeight="1" x14ac:dyDescent="0.15">
      <c r="A219" s="110"/>
      <c r="B219" s="110"/>
      <c r="C219" s="110"/>
      <c r="D219" s="110"/>
      <c r="E219" s="110"/>
      <c r="F219" s="110"/>
      <c r="G219" s="110"/>
      <c r="H219" s="110"/>
      <c r="I219" s="110"/>
      <c r="J219" s="110"/>
      <c r="K219" s="110"/>
      <c r="L219" s="110"/>
      <c r="M219" s="110"/>
      <c r="N219" s="110"/>
      <c r="O219" s="110"/>
    </row>
    <row r="220" spans="1:15" ht="12" customHeight="1" x14ac:dyDescent="0.15">
      <c r="A220" s="110"/>
      <c r="B220" s="110"/>
      <c r="C220" s="110"/>
      <c r="D220" s="110"/>
      <c r="E220" s="110"/>
      <c r="F220" s="110"/>
      <c r="G220" s="110"/>
      <c r="H220" s="110"/>
      <c r="I220" s="110"/>
      <c r="J220" s="110"/>
      <c r="K220" s="110"/>
      <c r="L220" s="110"/>
      <c r="M220" s="110"/>
      <c r="N220" s="110"/>
      <c r="O220" s="110"/>
    </row>
    <row r="221" spans="1:15" ht="12" customHeight="1" x14ac:dyDescent="0.15">
      <c r="A221" s="110"/>
      <c r="B221" s="110"/>
      <c r="C221" s="110"/>
      <c r="D221" s="110"/>
      <c r="E221" s="110"/>
      <c r="F221" s="110"/>
      <c r="G221" s="110"/>
      <c r="H221" s="110"/>
      <c r="I221" s="110"/>
      <c r="J221" s="110"/>
      <c r="K221" s="110"/>
      <c r="L221" s="110"/>
      <c r="M221" s="110"/>
      <c r="N221" s="110"/>
      <c r="O221" s="110"/>
    </row>
    <row r="222" spans="1:15" ht="12" customHeight="1" x14ac:dyDescent="0.15">
      <c r="A222" s="110"/>
      <c r="B222" s="110"/>
      <c r="C222" s="110"/>
      <c r="D222" s="110"/>
      <c r="E222" s="110"/>
      <c r="F222" s="110"/>
      <c r="G222" s="110"/>
      <c r="H222" s="110"/>
      <c r="I222" s="110"/>
      <c r="J222" s="110"/>
      <c r="K222" s="110"/>
      <c r="L222" s="110"/>
      <c r="M222" s="110"/>
      <c r="N222" s="110"/>
      <c r="O222" s="110"/>
    </row>
    <row r="223" spans="1:15" ht="12" customHeight="1" x14ac:dyDescent="0.15">
      <c r="A223" s="110"/>
      <c r="B223" s="110"/>
      <c r="C223" s="110"/>
      <c r="D223" s="110"/>
      <c r="E223" s="110"/>
      <c r="F223" s="110"/>
      <c r="G223" s="110"/>
      <c r="H223" s="110"/>
      <c r="I223" s="110"/>
      <c r="J223" s="110"/>
      <c r="K223" s="110"/>
      <c r="L223" s="110"/>
      <c r="M223" s="110"/>
      <c r="N223" s="110"/>
      <c r="O223" s="110"/>
    </row>
    <row r="224" spans="1:15" ht="12" customHeight="1" x14ac:dyDescent="0.15">
      <c r="A224" s="110"/>
      <c r="B224" s="110"/>
      <c r="C224" s="110"/>
      <c r="D224" s="110"/>
      <c r="E224" s="110"/>
      <c r="F224" s="110"/>
      <c r="G224" s="110"/>
      <c r="H224" s="110"/>
      <c r="I224" s="110"/>
      <c r="J224" s="110"/>
      <c r="K224" s="110"/>
      <c r="L224" s="110"/>
      <c r="M224" s="110"/>
      <c r="N224" s="110"/>
      <c r="O224" s="110"/>
    </row>
    <row r="225" spans="1:15" ht="12" customHeight="1" x14ac:dyDescent="0.15">
      <c r="A225" s="110"/>
      <c r="B225" s="110"/>
      <c r="C225" s="110"/>
      <c r="D225" s="110"/>
      <c r="E225" s="110"/>
      <c r="F225" s="110"/>
      <c r="G225" s="110"/>
      <c r="H225" s="110"/>
      <c r="I225" s="110"/>
      <c r="J225" s="110"/>
      <c r="K225" s="110"/>
      <c r="L225" s="110"/>
      <c r="M225" s="110"/>
      <c r="N225" s="110"/>
      <c r="O225" s="110"/>
    </row>
    <row r="226" spans="1:15" ht="12" customHeight="1" x14ac:dyDescent="0.15">
      <c r="A226" s="110"/>
      <c r="B226" s="110"/>
      <c r="C226" s="110"/>
      <c r="D226" s="110"/>
      <c r="E226" s="110"/>
      <c r="F226" s="110"/>
      <c r="G226" s="110"/>
      <c r="H226" s="110"/>
      <c r="I226" s="110"/>
      <c r="J226" s="110"/>
      <c r="K226" s="110"/>
      <c r="L226" s="110"/>
      <c r="M226" s="110"/>
      <c r="N226" s="110"/>
      <c r="O226" s="110"/>
    </row>
    <row r="227" spans="1:15" ht="12" customHeight="1" x14ac:dyDescent="0.15">
      <c r="A227" s="110"/>
      <c r="B227" s="110"/>
      <c r="C227" s="110"/>
      <c r="D227" s="110"/>
      <c r="E227" s="110"/>
      <c r="F227" s="110"/>
      <c r="G227" s="110"/>
      <c r="H227" s="110"/>
      <c r="I227" s="110"/>
      <c r="J227" s="110"/>
      <c r="K227" s="110"/>
      <c r="L227" s="110"/>
      <c r="M227" s="110"/>
      <c r="N227" s="110"/>
      <c r="O227" s="110"/>
    </row>
    <row r="228" spans="1:15" ht="12" customHeight="1" x14ac:dyDescent="0.15">
      <c r="A228" s="110"/>
      <c r="B228" s="110"/>
      <c r="C228" s="110"/>
      <c r="D228" s="110"/>
      <c r="E228" s="110"/>
      <c r="F228" s="110"/>
      <c r="G228" s="110"/>
      <c r="H228" s="110"/>
      <c r="I228" s="110"/>
      <c r="J228" s="110"/>
      <c r="K228" s="110"/>
      <c r="L228" s="110"/>
      <c r="M228" s="110"/>
      <c r="N228" s="110"/>
      <c r="O228" s="110"/>
    </row>
    <row r="229" spans="1:15" ht="12" customHeight="1" x14ac:dyDescent="0.15">
      <c r="A229" s="110"/>
      <c r="B229" s="110"/>
      <c r="C229" s="110"/>
      <c r="D229" s="110"/>
      <c r="E229" s="110"/>
      <c r="F229" s="110"/>
      <c r="G229" s="110"/>
      <c r="H229" s="110"/>
      <c r="I229" s="110"/>
      <c r="J229" s="110"/>
      <c r="K229" s="110"/>
      <c r="L229" s="110"/>
      <c r="M229" s="110"/>
      <c r="N229" s="110"/>
      <c r="O229" s="110"/>
    </row>
    <row r="230" spans="1:15" ht="12" customHeight="1" x14ac:dyDescent="0.15">
      <c r="A230" s="110"/>
      <c r="B230" s="110"/>
      <c r="C230" s="110"/>
      <c r="D230" s="110"/>
      <c r="E230" s="110"/>
      <c r="F230" s="110"/>
      <c r="G230" s="110"/>
      <c r="H230" s="110"/>
      <c r="I230" s="110"/>
      <c r="J230" s="110"/>
      <c r="K230" s="110"/>
      <c r="L230" s="110"/>
      <c r="M230" s="110"/>
      <c r="N230" s="110"/>
      <c r="O230" s="110"/>
    </row>
    <row r="231" spans="1:15" ht="12" customHeight="1" x14ac:dyDescent="0.15">
      <c r="A231" s="110"/>
      <c r="B231" s="110"/>
      <c r="C231" s="110"/>
      <c r="D231" s="110"/>
      <c r="E231" s="110"/>
      <c r="F231" s="110"/>
      <c r="G231" s="110"/>
      <c r="H231" s="110"/>
      <c r="I231" s="110"/>
      <c r="J231" s="110"/>
      <c r="K231" s="110"/>
      <c r="L231" s="110"/>
      <c r="M231" s="110"/>
      <c r="N231" s="110"/>
      <c r="O231" s="110"/>
    </row>
    <row r="232" spans="1:15" ht="12" customHeight="1" x14ac:dyDescent="0.15">
      <c r="A232" s="110"/>
      <c r="B232" s="110"/>
      <c r="C232" s="110"/>
      <c r="D232" s="110"/>
      <c r="E232" s="110"/>
      <c r="F232" s="110"/>
      <c r="G232" s="110"/>
      <c r="H232" s="110"/>
      <c r="I232" s="110"/>
      <c r="J232" s="110"/>
      <c r="K232" s="110"/>
      <c r="L232" s="110"/>
      <c r="M232" s="110"/>
      <c r="N232" s="110"/>
      <c r="O232" s="110"/>
    </row>
    <row r="233" spans="1:15" ht="12" customHeight="1" x14ac:dyDescent="0.15">
      <c r="A233" s="110"/>
      <c r="B233" s="110"/>
      <c r="C233" s="110"/>
      <c r="D233" s="110"/>
      <c r="E233" s="110"/>
      <c r="F233" s="110"/>
      <c r="G233" s="110"/>
      <c r="H233" s="110"/>
      <c r="I233" s="110"/>
      <c r="J233" s="110"/>
      <c r="K233" s="110"/>
      <c r="L233" s="110"/>
      <c r="M233" s="110"/>
      <c r="N233" s="110"/>
      <c r="O233" s="110"/>
    </row>
    <row r="234" spans="1:15" ht="12" customHeight="1" x14ac:dyDescent="0.15">
      <c r="A234" s="110"/>
      <c r="B234" s="110"/>
      <c r="C234" s="110"/>
      <c r="D234" s="110"/>
      <c r="E234" s="110"/>
      <c r="F234" s="110"/>
      <c r="G234" s="110"/>
      <c r="H234" s="110"/>
      <c r="I234" s="110"/>
      <c r="J234" s="110"/>
      <c r="K234" s="110"/>
      <c r="L234" s="110"/>
      <c r="M234" s="110"/>
      <c r="N234" s="110"/>
      <c r="O234" s="110"/>
    </row>
    <row r="235" spans="1:15" ht="12" customHeight="1" x14ac:dyDescent="0.15">
      <c r="A235" s="110"/>
      <c r="B235" s="110"/>
      <c r="C235" s="110"/>
      <c r="D235" s="110"/>
      <c r="E235" s="110"/>
      <c r="F235" s="110"/>
      <c r="G235" s="110"/>
      <c r="H235" s="110"/>
      <c r="I235" s="110"/>
      <c r="J235" s="110"/>
      <c r="K235" s="110"/>
      <c r="L235" s="110"/>
      <c r="M235" s="110"/>
      <c r="N235" s="110"/>
      <c r="O235" s="110"/>
    </row>
    <row r="236" spans="1:15" ht="12" customHeight="1" x14ac:dyDescent="0.15">
      <c r="A236" s="110"/>
      <c r="B236" s="110"/>
      <c r="C236" s="110"/>
      <c r="D236" s="110"/>
      <c r="E236" s="110"/>
      <c r="F236" s="110"/>
      <c r="G236" s="110"/>
      <c r="H236" s="110"/>
      <c r="I236" s="110"/>
      <c r="J236" s="110"/>
      <c r="K236" s="110"/>
      <c r="L236" s="110"/>
      <c r="M236" s="110"/>
      <c r="N236" s="110"/>
      <c r="O236" s="110"/>
    </row>
    <row r="237" spans="1:15" ht="12" customHeight="1" x14ac:dyDescent="0.15">
      <c r="A237" s="110"/>
      <c r="B237" s="110"/>
      <c r="C237" s="110"/>
      <c r="D237" s="110"/>
      <c r="E237" s="110"/>
      <c r="F237" s="110"/>
      <c r="G237" s="110"/>
      <c r="H237" s="110"/>
      <c r="I237" s="110"/>
      <c r="J237" s="110"/>
      <c r="K237" s="110"/>
      <c r="L237" s="110"/>
      <c r="M237" s="110"/>
      <c r="N237" s="110"/>
      <c r="O237" s="110"/>
    </row>
    <row r="238" spans="1:15" ht="12" customHeight="1" x14ac:dyDescent="0.15">
      <c r="A238" s="110"/>
      <c r="B238" s="110"/>
      <c r="C238" s="110"/>
      <c r="D238" s="110"/>
      <c r="E238" s="110"/>
      <c r="F238" s="110"/>
      <c r="G238" s="110"/>
      <c r="H238" s="110"/>
      <c r="I238" s="110"/>
      <c r="J238" s="110"/>
      <c r="K238" s="110"/>
      <c r="L238" s="110"/>
      <c r="M238" s="110"/>
      <c r="N238" s="110"/>
      <c r="O238" s="110"/>
    </row>
    <row r="239" spans="1:15" ht="12" customHeight="1" x14ac:dyDescent="0.15">
      <c r="A239" s="110"/>
      <c r="B239" s="110"/>
      <c r="C239" s="110"/>
      <c r="D239" s="110"/>
      <c r="E239" s="110"/>
      <c r="F239" s="110"/>
      <c r="G239" s="110"/>
      <c r="H239" s="110"/>
      <c r="I239" s="110"/>
      <c r="J239" s="110"/>
      <c r="K239" s="110"/>
      <c r="L239" s="110"/>
      <c r="M239" s="110"/>
      <c r="N239" s="110"/>
      <c r="O239" s="110"/>
    </row>
    <row r="240" spans="1:15" ht="12" customHeight="1" x14ac:dyDescent="0.15">
      <c r="A240" s="110"/>
      <c r="B240" s="110"/>
      <c r="C240" s="110"/>
      <c r="D240" s="110"/>
      <c r="E240" s="110"/>
      <c r="F240" s="110"/>
      <c r="G240" s="110"/>
      <c r="H240" s="110"/>
      <c r="I240" s="110"/>
      <c r="J240" s="110"/>
      <c r="K240" s="110"/>
      <c r="L240" s="110"/>
      <c r="M240" s="110"/>
      <c r="N240" s="110"/>
      <c r="O240" s="110"/>
    </row>
    <row r="241" spans="1:15" ht="12" customHeight="1" x14ac:dyDescent="0.15">
      <c r="A241" s="110"/>
      <c r="B241" s="110"/>
      <c r="C241" s="110"/>
      <c r="D241" s="110"/>
      <c r="E241" s="110"/>
      <c r="F241" s="110"/>
      <c r="G241" s="110"/>
      <c r="H241" s="110"/>
      <c r="I241" s="110"/>
      <c r="J241" s="110"/>
      <c r="K241" s="110"/>
      <c r="L241" s="110"/>
      <c r="M241" s="110"/>
      <c r="N241" s="110"/>
      <c r="O241" s="110"/>
    </row>
    <row r="242" spans="1:15" ht="12" customHeight="1" x14ac:dyDescent="0.15">
      <c r="A242" s="110"/>
      <c r="B242" s="110"/>
      <c r="C242" s="110"/>
      <c r="D242" s="110"/>
      <c r="E242" s="110"/>
      <c r="F242" s="110"/>
      <c r="G242" s="110"/>
      <c r="H242" s="110"/>
      <c r="I242" s="110"/>
      <c r="J242" s="110"/>
      <c r="K242" s="110"/>
      <c r="L242" s="110"/>
      <c r="M242" s="110"/>
      <c r="N242" s="110"/>
      <c r="O242" s="110"/>
    </row>
    <row r="243" spans="1:15" ht="12" customHeight="1" x14ac:dyDescent="0.15">
      <c r="A243" s="110"/>
      <c r="B243" s="110"/>
      <c r="C243" s="110"/>
      <c r="D243" s="110"/>
      <c r="E243" s="110"/>
      <c r="F243" s="110"/>
      <c r="G243" s="110"/>
      <c r="H243" s="110"/>
      <c r="I243" s="110"/>
      <c r="J243" s="110"/>
      <c r="K243" s="110"/>
      <c r="L243" s="110"/>
      <c r="M243" s="110"/>
      <c r="N243" s="110"/>
      <c r="O243" s="110"/>
    </row>
    <row r="244" spans="1:15" ht="12" customHeight="1" x14ac:dyDescent="0.15">
      <c r="A244" s="110"/>
      <c r="B244" s="110"/>
      <c r="C244" s="110"/>
      <c r="D244" s="110"/>
      <c r="E244" s="110"/>
      <c r="F244" s="110"/>
      <c r="G244" s="110"/>
      <c r="H244" s="110"/>
      <c r="I244" s="110"/>
      <c r="J244" s="110"/>
      <c r="K244" s="110"/>
      <c r="L244" s="110"/>
      <c r="M244" s="110"/>
      <c r="N244" s="110"/>
      <c r="O244" s="110"/>
    </row>
    <row r="245" spans="1:15" ht="12" customHeight="1" x14ac:dyDescent="0.15">
      <c r="A245" s="110"/>
      <c r="B245" s="110"/>
      <c r="C245" s="110"/>
      <c r="D245" s="110"/>
      <c r="E245" s="110"/>
      <c r="F245" s="110"/>
      <c r="G245" s="110"/>
      <c r="H245" s="110"/>
      <c r="I245" s="110"/>
      <c r="J245" s="110"/>
      <c r="K245" s="110"/>
      <c r="L245" s="110"/>
      <c r="M245" s="110"/>
      <c r="N245" s="110"/>
      <c r="O245" s="110"/>
    </row>
    <row r="246" spans="1:15" ht="12" customHeight="1" x14ac:dyDescent="0.15">
      <c r="A246" s="110"/>
      <c r="B246" s="110"/>
      <c r="C246" s="110"/>
      <c r="D246" s="110"/>
      <c r="E246" s="110"/>
      <c r="F246" s="110"/>
      <c r="G246" s="110"/>
      <c r="H246" s="110"/>
      <c r="I246" s="110"/>
      <c r="J246" s="110"/>
      <c r="K246" s="110"/>
      <c r="L246" s="110"/>
      <c r="M246" s="110"/>
      <c r="N246" s="110"/>
      <c r="O246" s="110"/>
    </row>
    <row r="247" spans="1:15" ht="12" customHeight="1" x14ac:dyDescent="0.15">
      <c r="A247" s="110"/>
      <c r="B247" s="110"/>
      <c r="C247" s="110"/>
      <c r="D247" s="110"/>
      <c r="E247" s="110"/>
      <c r="F247" s="110"/>
      <c r="G247" s="110"/>
      <c r="H247" s="110"/>
      <c r="I247" s="110"/>
      <c r="J247" s="110"/>
      <c r="K247" s="110"/>
      <c r="L247" s="110"/>
      <c r="M247" s="110"/>
      <c r="N247" s="110"/>
      <c r="O247" s="110"/>
    </row>
    <row r="248" spans="1:15" ht="12" customHeight="1" x14ac:dyDescent="0.15">
      <c r="A248" s="110"/>
      <c r="B248" s="110"/>
      <c r="C248" s="110"/>
      <c r="D248" s="110"/>
      <c r="E248" s="110"/>
      <c r="F248" s="110"/>
      <c r="G248" s="110"/>
      <c r="H248" s="110"/>
      <c r="I248" s="110"/>
      <c r="J248" s="110"/>
      <c r="K248" s="110"/>
      <c r="L248" s="110"/>
      <c r="M248" s="110"/>
      <c r="N248" s="110"/>
      <c r="O248" s="110"/>
    </row>
    <row r="249" spans="1:15" ht="12" customHeight="1" x14ac:dyDescent="0.15">
      <c r="A249" s="110"/>
      <c r="B249" s="110"/>
      <c r="C249" s="110"/>
      <c r="D249" s="110"/>
      <c r="E249" s="110"/>
      <c r="F249" s="110"/>
      <c r="G249" s="110"/>
      <c r="H249" s="110"/>
      <c r="I249" s="110"/>
      <c r="J249" s="110"/>
      <c r="K249" s="110"/>
      <c r="L249" s="110"/>
      <c r="M249" s="110"/>
      <c r="N249" s="110"/>
      <c r="O249" s="110"/>
    </row>
    <row r="250" spans="1:15" ht="12" customHeight="1" x14ac:dyDescent="0.15">
      <c r="A250" s="110"/>
      <c r="B250" s="110"/>
      <c r="C250" s="110"/>
      <c r="D250" s="110"/>
      <c r="E250" s="110"/>
      <c r="F250" s="110"/>
      <c r="G250" s="110"/>
      <c r="H250" s="110"/>
      <c r="I250" s="110"/>
      <c r="J250" s="110"/>
      <c r="K250" s="110"/>
      <c r="L250" s="110"/>
      <c r="M250" s="110"/>
      <c r="N250" s="110"/>
      <c r="O250" s="110"/>
    </row>
    <row r="251" spans="1:15" ht="12" customHeight="1" x14ac:dyDescent="0.15">
      <c r="A251" s="110"/>
      <c r="B251" s="110"/>
      <c r="C251" s="110"/>
      <c r="D251" s="110"/>
      <c r="E251" s="110"/>
      <c r="F251" s="110"/>
      <c r="G251" s="110"/>
      <c r="H251" s="110"/>
      <c r="I251" s="110"/>
      <c r="J251" s="110"/>
      <c r="K251" s="110"/>
      <c r="L251" s="110"/>
      <c r="M251" s="110"/>
      <c r="N251" s="110"/>
      <c r="O251" s="110"/>
    </row>
    <row r="252" spans="1:15" ht="12" customHeight="1" x14ac:dyDescent="0.15">
      <c r="A252" s="110"/>
      <c r="B252" s="110"/>
      <c r="C252" s="110"/>
      <c r="D252" s="110"/>
      <c r="E252" s="110"/>
      <c r="F252" s="110"/>
      <c r="G252" s="110"/>
      <c r="H252" s="110"/>
      <c r="I252" s="110"/>
      <c r="J252" s="110"/>
      <c r="K252" s="110"/>
      <c r="L252" s="110"/>
      <c r="M252" s="110"/>
      <c r="N252" s="110"/>
      <c r="O252" s="110"/>
    </row>
    <row r="253" spans="1:15" ht="12" customHeight="1" x14ac:dyDescent="0.15">
      <c r="A253" s="110"/>
      <c r="B253" s="110"/>
      <c r="C253" s="110"/>
      <c r="D253" s="110"/>
      <c r="E253" s="110"/>
      <c r="F253" s="110"/>
      <c r="G253" s="110"/>
      <c r="H253" s="110"/>
      <c r="I253" s="110"/>
      <c r="J253" s="110"/>
      <c r="K253" s="110"/>
      <c r="L253" s="110"/>
      <c r="M253" s="110"/>
      <c r="N253" s="110"/>
      <c r="O253" s="110"/>
    </row>
    <row r="254" spans="1:15" ht="12" customHeight="1" x14ac:dyDescent="0.15">
      <c r="A254" s="110"/>
      <c r="B254" s="110"/>
      <c r="C254" s="110"/>
      <c r="D254" s="110"/>
      <c r="E254" s="110"/>
      <c r="F254" s="110"/>
      <c r="G254" s="110"/>
      <c r="H254" s="110"/>
      <c r="I254" s="110"/>
      <c r="J254" s="110"/>
      <c r="K254" s="110"/>
      <c r="L254" s="110"/>
      <c r="M254" s="110"/>
      <c r="N254" s="110"/>
      <c r="O254" s="110"/>
    </row>
    <row r="255" spans="1:15" ht="12" customHeight="1" x14ac:dyDescent="0.15">
      <c r="A255" s="110"/>
      <c r="B255" s="110"/>
      <c r="C255" s="110"/>
      <c r="D255" s="110"/>
      <c r="E255" s="110"/>
      <c r="F255" s="110"/>
      <c r="G255" s="110"/>
      <c r="H255" s="110"/>
      <c r="I255" s="110"/>
      <c r="J255" s="110"/>
      <c r="K255" s="110"/>
      <c r="L255" s="110"/>
      <c r="M255" s="110"/>
      <c r="N255" s="110"/>
      <c r="O255" s="110"/>
    </row>
    <row r="256" spans="1:15" ht="12" customHeight="1" x14ac:dyDescent="0.15">
      <c r="A256" s="110"/>
      <c r="B256" s="110"/>
      <c r="C256" s="110"/>
      <c r="D256" s="110"/>
      <c r="E256" s="110"/>
      <c r="F256" s="110"/>
      <c r="G256" s="110"/>
      <c r="H256" s="110"/>
      <c r="I256" s="110"/>
      <c r="J256" s="110"/>
      <c r="K256" s="110"/>
      <c r="L256" s="110"/>
      <c r="M256" s="110"/>
      <c r="N256" s="110"/>
      <c r="O256" s="110"/>
    </row>
    <row r="257" spans="1:15" ht="12" customHeight="1" x14ac:dyDescent="0.15">
      <c r="A257" s="110"/>
      <c r="B257" s="110"/>
      <c r="C257" s="110"/>
      <c r="D257" s="110"/>
      <c r="E257" s="110"/>
      <c r="F257" s="110"/>
      <c r="G257" s="110"/>
      <c r="H257" s="110"/>
      <c r="I257" s="110"/>
      <c r="J257" s="110"/>
      <c r="K257" s="110"/>
      <c r="L257" s="110"/>
      <c r="M257" s="110"/>
      <c r="N257" s="110"/>
      <c r="O257" s="110"/>
    </row>
    <row r="258" spans="1:15" ht="12" customHeight="1" x14ac:dyDescent="0.15">
      <c r="A258" s="110"/>
      <c r="B258" s="110"/>
      <c r="C258" s="110"/>
      <c r="D258" s="110"/>
      <c r="E258" s="110"/>
      <c r="F258" s="110"/>
      <c r="G258" s="110"/>
      <c r="H258" s="110"/>
      <c r="I258" s="110"/>
      <c r="J258" s="110"/>
      <c r="K258" s="110"/>
      <c r="L258" s="110"/>
      <c r="M258" s="110"/>
      <c r="N258" s="110"/>
      <c r="O258" s="110"/>
    </row>
    <row r="259" spans="1:15" ht="12" customHeight="1" x14ac:dyDescent="0.15">
      <c r="A259" s="110"/>
      <c r="B259" s="110"/>
      <c r="C259" s="110"/>
      <c r="D259" s="110"/>
      <c r="E259" s="110"/>
      <c r="F259" s="110"/>
      <c r="G259" s="110"/>
      <c r="H259" s="110"/>
      <c r="I259" s="110"/>
      <c r="J259" s="110"/>
      <c r="K259" s="110"/>
      <c r="L259" s="110"/>
      <c r="M259" s="110"/>
      <c r="N259" s="110"/>
      <c r="O259" s="110"/>
    </row>
    <row r="260" spans="1:15" ht="12" customHeight="1" x14ac:dyDescent="0.15">
      <c r="A260" s="110"/>
      <c r="B260" s="110"/>
      <c r="C260" s="110"/>
      <c r="D260" s="110"/>
      <c r="E260" s="110"/>
      <c r="F260" s="110"/>
      <c r="G260" s="110"/>
      <c r="H260" s="110"/>
      <c r="I260" s="110"/>
      <c r="J260" s="110"/>
      <c r="K260" s="110"/>
      <c r="L260" s="110"/>
      <c r="M260" s="110"/>
      <c r="N260" s="110"/>
      <c r="O260" s="110"/>
    </row>
    <row r="261" spans="1:15" ht="12" customHeight="1" x14ac:dyDescent="0.15">
      <c r="A261" s="110"/>
      <c r="B261" s="110"/>
      <c r="C261" s="110"/>
      <c r="D261" s="110"/>
      <c r="E261" s="110"/>
      <c r="F261" s="110"/>
      <c r="G261" s="110"/>
      <c r="H261" s="110"/>
      <c r="I261" s="110"/>
      <c r="J261" s="110"/>
      <c r="K261" s="110"/>
      <c r="L261" s="110"/>
      <c r="M261" s="110"/>
      <c r="N261" s="110"/>
      <c r="O261" s="110"/>
    </row>
    <row r="262" spans="1:15" ht="12" customHeight="1" x14ac:dyDescent="0.15">
      <c r="A262" s="110"/>
      <c r="B262" s="110"/>
      <c r="C262" s="110"/>
      <c r="D262" s="110"/>
      <c r="E262" s="110"/>
      <c r="F262" s="110"/>
      <c r="G262" s="110"/>
      <c r="H262" s="110"/>
      <c r="I262" s="110"/>
      <c r="J262" s="110"/>
      <c r="K262" s="110"/>
      <c r="L262" s="110"/>
      <c r="M262" s="110"/>
      <c r="N262" s="110"/>
      <c r="O262" s="110"/>
    </row>
    <row r="263" spans="1:15" ht="12" customHeight="1" x14ac:dyDescent="0.15">
      <c r="A263" s="110"/>
      <c r="B263" s="110"/>
      <c r="C263" s="110"/>
      <c r="D263" s="110"/>
      <c r="E263" s="110"/>
      <c r="F263" s="110"/>
      <c r="G263" s="110"/>
      <c r="H263" s="110"/>
      <c r="I263" s="110"/>
      <c r="J263" s="110"/>
      <c r="K263" s="110"/>
      <c r="L263" s="110"/>
      <c r="M263" s="110"/>
      <c r="N263" s="110"/>
      <c r="O263" s="110"/>
    </row>
    <row r="264" spans="1:15" ht="12" customHeight="1" x14ac:dyDescent="0.15">
      <c r="A264" s="110"/>
      <c r="B264" s="110"/>
      <c r="C264" s="110"/>
      <c r="D264" s="110"/>
      <c r="E264" s="110"/>
      <c r="F264" s="110"/>
      <c r="G264" s="110"/>
      <c r="H264" s="110"/>
      <c r="I264" s="110"/>
      <c r="J264" s="110"/>
      <c r="K264" s="110"/>
      <c r="L264" s="110"/>
      <c r="M264" s="110"/>
      <c r="N264" s="110"/>
      <c r="O264" s="110"/>
    </row>
    <row r="265" spans="1:15" ht="12" customHeight="1" x14ac:dyDescent="0.15">
      <c r="A265" s="110"/>
      <c r="B265" s="110"/>
      <c r="C265" s="110"/>
      <c r="D265" s="110"/>
      <c r="E265" s="110"/>
      <c r="F265" s="110"/>
      <c r="G265" s="110"/>
      <c r="H265" s="110"/>
      <c r="I265" s="110"/>
      <c r="J265" s="110"/>
      <c r="K265" s="110"/>
      <c r="L265" s="110"/>
      <c r="M265" s="110"/>
      <c r="N265" s="110"/>
      <c r="O265" s="110"/>
    </row>
    <row r="266" spans="1:15" ht="12" customHeight="1" x14ac:dyDescent="0.15">
      <c r="A266" s="110"/>
      <c r="B266" s="110"/>
      <c r="C266" s="110"/>
      <c r="D266" s="110"/>
      <c r="E266" s="110"/>
      <c r="F266" s="110"/>
      <c r="G266" s="110"/>
      <c r="H266" s="110"/>
      <c r="I266" s="110"/>
      <c r="J266" s="110"/>
      <c r="K266" s="110"/>
      <c r="L266" s="110"/>
      <c r="M266" s="110"/>
      <c r="N266" s="110"/>
      <c r="O266" s="110"/>
    </row>
    <row r="267" spans="1:15" ht="12" customHeight="1" x14ac:dyDescent="0.15">
      <c r="A267" s="110"/>
      <c r="B267" s="110"/>
      <c r="C267" s="110"/>
      <c r="D267" s="110"/>
      <c r="E267" s="110"/>
      <c r="F267" s="110"/>
      <c r="G267" s="110"/>
      <c r="H267" s="110"/>
      <c r="I267" s="110"/>
      <c r="J267" s="110"/>
      <c r="K267" s="110"/>
      <c r="L267" s="110"/>
      <c r="M267" s="110"/>
      <c r="N267" s="110"/>
      <c r="O267" s="110"/>
    </row>
    <row r="268" spans="1:15" ht="12" customHeight="1" x14ac:dyDescent="0.15">
      <c r="A268" s="110"/>
      <c r="B268" s="110"/>
      <c r="C268" s="110"/>
      <c r="D268" s="110"/>
      <c r="E268" s="110"/>
      <c r="F268" s="110"/>
      <c r="G268" s="110"/>
      <c r="H268" s="110"/>
      <c r="I268" s="110"/>
      <c r="J268" s="110"/>
      <c r="K268" s="110"/>
      <c r="L268" s="110"/>
      <c r="M268" s="110"/>
      <c r="N268" s="110"/>
      <c r="O268" s="110"/>
    </row>
    <row r="269" spans="1:15" ht="12" customHeight="1" x14ac:dyDescent="0.15">
      <c r="A269" s="110"/>
      <c r="B269" s="110"/>
      <c r="C269" s="110"/>
      <c r="D269" s="110"/>
      <c r="E269" s="110"/>
      <c r="F269" s="110"/>
      <c r="G269" s="110"/>
      <c r="H269" s="110"/>
      <c r="I269" s="110"/>
      <c r="J269" s="110"/>
      <c r="K269" s="110"/>
      <c r="L269" s="110"/>
      <c r="M269" s="110"/>
      <c r="N269" s="110"/>
      <c r="O269" s="110"/>
    </row>
    <row r="270" spans="1:15" ht="12" customHeight="1" x14ac:dyDescent="0.15">
      <c r="A270" s="110"/>
      <c r="B270" s="110"/>
      <c r="C270" s="110"/>
      <c r="D270" s="110"/>
      <c r="E270" s="110"/>
      <c r="F270" s="110"/>
      <c r="G270" s="110"/>
      <c r="H270" s="110"/>
      <c r="I270" s="110"/>
      <c r="J270" s="110"/>
      <c r="K270" s="110"/>
      <c r="L270" s="110"/>
      <c r="M270" s="110"/>
      <c r="N270" s="110"/>
      <c r="O270" s="110"/>
    </row>
    <row r="271" spans="1:15" ht="12" customHeight="1" x14ac:dyDescent="0.15">
      <c r="A271" s="110"/>
      <c r="B271" s="110"/>
      <c r="C271" s="110"/>
      <c r="D271" s="110"/>
      <c r="E271" s="110"/>
      <c r="F271" s="110"/>
      <c r="G271" s="110"/>
      <c r="H271" s="110"/>
      <c r="I271" s="110"/>
      <c r="J271" s="110"/>
      <c r="K271" s="110"/>
      <c r="L271" s="110"/>
      <c r="M271" s="110"/>
      <c r="N271" s="110"/>
      <c r="O271" s="110"/>
    </row>
    <row r="272" spans="1:15" ht="12" customHeight="1" x14ac:dyDescent="0.15">
      <c r="A272" s="110"/>
      <c r="B272" s="110"/>
      <c r="C272" s="110"/>
      <c r="D272" s="110"/>
      <c r="E272" s="110"/>
      <c r="F272" s="110"/>
      <c r="G272" s="110"/>
      <c r="H272" s="110"/>
      <c r="I272" s="110"/>
      <c r="J272" s="110"/>
      <c r="K272" s="110"/>
      <c r="L272" s="110"/>
      <c r="M272" s="110"/>
      <c r="N272" s="110"/>
      <c r="O272" s="110"/>
    </row>
    <row r="273" spans="1:15" ht="12" customHeight="1" x14ac:dyDescent="0.15">
      <c r="A273" s="110"/>
      <c r="B273" s="110"/>
      <c r="C273" s="110"/>
      <c r="D273" s="110"/>
      <c r="E273" s="110"/>
      <c r="F273" s="110"/>
      <c r="G273" s="110"/>
      <c r="H273" s="110"/>
      <c r="I273" s="110"/>
      <c r="J273" s="110"/>
      <c r="K273" s="110"/>
      <c r="L273" s="110"/>
      <c r="M273" s="110"/>
      <c r="N273" s="110"/>
      <c r="O273" s="110"/>
    </row>
    <row r="274" spans="1:15" ht="12" customHeight="1" x14ac:dyDescent="0.15">
      <c r="A274" s="110"/>
      <c r="B274" s="110"/>
      <c r="C274" s="110"/>
      <c r="D274" s="110"/>
      <c r="E274" s="110"/>
      <c r="F274" s="110"/>
      <c r="G274" s="110"/>
      <c r="H274" s="110"/>
      <c r="I274" s="110"/>
      <c r="J274" s="110"/>
      <c r="K274" s="110"/>
      <c r="L274" s="110"/>
      <c r="M274" s="110"/>
      <c r="N274" s="110"/>
      <c r="O274" s="110"/>
    </row>
    <row r="275" spans="1:15" ht="12" customHeight="1" x14ac:dyDescent="0.15">
      <c r="A275" s="110"/>
      <c r="B275" s="110"/>
      <c r="C275" s="110"/>
      <c r="D275" s="110"/>
      <c r="E275" s="110"/>
      <c r="F275" s="110"/>
      <c r="G275" s="110"/>
      <c r="H275" s="110"/>
      <c r="I275" s="110"/>
      <c r="J275" s="110"/>
      <c r="K275" s="110"/>
      <c r="L275" s="110"/>
      <c r="M275" s="110"/>
      <c r="N275" s="110"/>
      <c r="O275" s="110"/>
    </row>
    <row r="276" spans="1:15" ht="12" customHeight="1" x14ac:dyDescent="0.15">
      <c r="A276" s="110"/>
      <c r="B276" s="110"/>
      <c r="C276" s="110"/>
      <c r="D276" s="110"/>
      <c r="E276" s="110"/>
      <c r="F276" s="110"/>
      <c r="G276" s="110"/>
      <c r="H276" s="110"/>
      <c r="I276" s="110"/>
      <c r="J276" s="110"/>
      <c r="K276" s="110"/>
      <c r="L276" s="110"/>
      <c r="M276" s="110"/>
      <c r="N276" s="110"/>
      <c r="O276" s="110"/>
    </row>
    <row r="277" spans="1:15" ht="12" customHeight="1" x14ac:dyDescent="0.15">
      <c r="A277" s="110"/>
      <c r="B277" s="110"/>
      <c r="C277" s="110"/>
      <c r="D277" s="110"/>
      <c r="E277" s="110"/>
      <c r="F277" s="110"/>
      <c r="G277" s="110"/>
      <c r="H277" s="110"/>
      <c r="I277" s="110"/>
      <c r="J277" s="110"/>
      <c r="K277" s="110"/>
      <c r="L277" s="110"/>
      <c r="M277" s="110"/>
      <c r="N277" s="110"/>
      <c r="O277" s="110"/>
    </row>
    <row r="278" spans="1:15" ht="12" customHeight="1" x14ac:dyDescent="0.15">
      <c r="A278" s="110"/>
      <c r="B278" s="110"/>
      <c r="C278" s="110"/>
      <c r="D278" s="110"/>
      <c r="E278" s="110"/>
      <c r="F278" s="110"/>
      <c r="G278" s="110"/>
      <c r="H278" s="110"/>
      <c r="I278" s="110"/>
      <c r="J278" s="110"/>
      <c r="K278" s="110"/>
      <c r="L278" s="110"/>
      <c r="M278" s="110"/>
      <c r="N278" s="110"/>
      <c r="O278" s="110"/>
    </row>
    <row r="279" spans="1:15" ht="12" customHeight="1" x14ac:dyDescent="0.15">
      <c r="A279" s="110"/>
      <c r="B279" s="110"/>
      <c r="C279" s="110"/>
      <c r="D279" s="110"/>
      <c r="E279" s="110"/>
      <c r="F279" s="110"/>
      <c r="G279" s="110"/>
      <c r="H279" s="110"/>
      <c r="I279" s="110"/>
      <c r="J279" s="110"/>
      <c r="K279" s="110"/>
      <c r="L279" s="110"/>
      <c r="M279" s="110"/>
      <c r="N279" s="110"/>
      <c r="O279" s="110"/>
    </row>
    <row r="280" spans="1:15" ht="12" customHeight="1" x14ac:dyDescent="0.15">
      <c r="A280" s="110"/>
      <c r="B280" s="110"/>
      <c r="C280" s="110"/>
      <c r="D280" s="110"/>
      <c r="E280" s="110"/>
      <c r="F280" s="110"/>
      <c r="G280" s="110"/>
      <c r="H280" s="110"/>
      <c r="I280" s="110"/>
      <c r="J280" s="110"/>
      <c r="K280" s="110"/>
      <c r="L280" s="110"/>
      <c r="M280" s="110"/>
      <c r="N280" s="110"/>
      <c r="O280" s="110"/>
    </row>
    <row r="281" spans="1:15" ht="12" customHeight="1" x14ac:dyDescent="0.15">
      <c r="A281" s="110"/>
      <c r="B281" s="110"/>
      <c r="C281" s="110"/>
      <c r="D281" s="110"/>
      <c r="E281" s="110"/>
      <c r="F281" s="110"/>
      <c r="G281" s="110"/>
      <c r="H281" s="110"/>
      <c r="I281" s="110"/>
      <c r="J281" s="110"/>
      <c r="K281" s="110"/>
      <c r="L281" s="110"/>
      <c r="M281" s="110"/>
      <c r="N281" s="110"/>
      <c r="O281" s="110"/>
    </row>
    <row r="282" spans="1:15" ht="12" customHeight="1" x14ac:dyDescent="0.15">
      <c r="A282" s="110"/>
      <c r="B282" s="110"/>
      <c r="C282" s="110"/>
      <c r="D282" s="110"/>
      <c r="E282" s="110"/>
      <c r="F282" s="110"/>
      <c r="G282" s="110"/>
      <c r="H282" s="110"/>
      <c r="I282" s="110"/>
      <c r="J282" s="110"/>
      <c r="K282" s="110"/>
      <c r="L282" s="110"/>
      <c r="M282" s="110"/>
      <c r="N282" s="110"/>
      <c r="O282" s="110"/>
    </row>
    <row r="283" spans="1:15" ht="12" customHeight="1" x14ac:dyDescent="0.15">
      <c r="A283" s="110"/>
      <c r="B283" s="110"/>
      <c r="C283" s="110"/>
      <c r="D283" s="110"/>
      <c r="E283" s="110"/>
      <c r="F283" s="110"/>
      <c r="G283" s="110"/>
      <c r="H283" s="110"/>
      <c r="I283" s="110"/>
      <c r="J283" s="110"/>
      <c r="K283" s="110"/>
      <c r="L283" s="110"/>
      <c r="M283" s="110"/>
      <c r="N283" s="110"/>
      <c r="O283" s="110"/>
    </row>
    <row r="284" spans="1:15" ht="12" customHeight="1" x14ac:dyDescent="0.15">
      <c r="A284" s="110"/>
      <c r="B284" s="110"/>
      <c r="C284" s="110"/>
      <c r="D284" s="110"/>
      <c r="E284" s="110"/>
      <c r="F284" s="110"/>
      <c r="G284" s="110"/>
      <c r="H284" s="110"/>
      <c r="I284" s="110"/>
      <c r="J284" s="110"/>
      <c r="K284" s="110"/>
      <c r="L284" s="110"/>
      <c r="M284" s="110"/>
      <c r="N284" s="110"/>
      <c r="O284" s="110"/>
    </row>
    <row r="285" spans="1:15" ht="12" customHeight="1" x14ac:dyDescent="0.15">
      <c r="A285" s="110"/>
      <c r="B285" s="110"/>
      <c r="C285" s="110"/>
      <c r="D285" s="110"/>
      <c r="E285" s="110"/>
      <c r="F285" s="110"/>
      <c r="G285" s="110"/>
      <c r="H285" s="110"/>
      <c r="I285" s="110"/>
      <c r="J285" s="110"/>
      <c r="K285" s="110"/>
      <c r="L285" s="110"/>
      <c r="M285" s="110"/>
      <c r="N285" s="110"/>
      <c r="O285" s="110"/>
    </row>
    <row r="286" spans="1:15" ht="12" customHeight="1" x14ac:dyDescent="0.15">
      <c r="A286" s="110"/>
      <c r="B286" s="110"/>
      <c r="C286" s="110"/>
      <c r="D286" s="110"/>
      <c r="E286" s="110"/>
      <c r="F286" s="110"/>
      <c r="G286" s="110"/>
      <c r="H286" s="110"/>
      <c r="I286" s="110"/>
      <c r="J286" s="110"/>
      <c r="K286" s="110"/>
      <c r="L286" s="110"/>
      <c r="M286" s="110"/>
      <c r="N286" s="110"/>
      <c r="O286" s="110"/>
    </row>
    <row r="287" spans="1:15" ht="12" customHeight="1" x14ac:dyDescent="0.15">
      <c r="A287" s="110"/>
      <c r="B287" s="110"/>
      <c r="C287" s="110"/>
      <c r="D287" s="110"/>
      <c r="E287" s="110"/>
      <c r="F287" s="110"/>
      <c r="G287" s="110"/>
      <c r="H287" s="110"/>
      <c r="I287" s="110"/>
      <c r="J287" s="110"/>
      <c r="K287" s="110"/>
      <c r="L287" s="110"/>
      <c r="M287" s="110"/>
      <c r="N287" s="110"/>
      <c r="O287" s="110"/>
    </row>
    <row r="288" spans="1:15" ht="12" customHeight="1" x14ac:dyDescent="0.15">
      <c r="A288" s="110"/>
      <c r="B288" s="110"/>
      <c r="C288" s="110"/>
      <c r="D288" s="110"/>
      <c r="E288" s="110"/>
      <c r="F288" s="110"/>
      <c r="G288" s="110"/>
      <c r="H288" s="110"/>
      <c r="I288" s="110"/>
      <c r="J288" s="110"/>
      <c r="K288" s="110"/>
      <c r="L288" s="110"/>
      <c r="M288" s="110"/>
      <c r="N288" s="110"/>
      <c r="O288" s="110"/>
    </row>
    <row r="289" spans="1:15" ht="12" customHeight="1" x14ac:dyDescent="0.15">
      <c r="A289" s="110"/>
      <c r="B289" s="110"/>
      <c r="C289" s="110"/>
      <c r="D289" s="110"/>
      <c r="E289" s="110"/>
      <c r="F289" s="110"/>
      <c r="G289" s="110"/>
      <c r="H289" s="110"/>
      <c r="I289" s="110"/>
      <c r="J289" s="110"/>
      <c r="K289" s="110"/>
      <c r="L289" s="110"/>
      <c r="M289" s="110"/>
      <c r="N289" s="110"/>
      <c r="O289" s="110"/>
    </row>
    <row r="290" spans="1:15" ht="12" customHeight="1" x14ac:dyDescent="0.15">
      <c r="A290" s="110"/>
      <c r="B290" s="110"/>
      <c r="C290" s="110"/>
      <c r="D290" s="110"/>
      <c r="E290" s="110"/>
      <c r="F290" s="110"/>
      <c r="G290" s="110"/>
      <c r="H290" s="110"/>
      <c r="I290" s="110"/>
      <c r="J290" s="110"/>
      <c r="K290" s="110"/>
      <c r="L290" s="110"/>
      <c r="M290" s="110"/>
      <c r="N290" s="110"/>
      <c r="O290" s="110"/>
    </row>
    <row r="291" spans="1:15" ht="12" customHeight="1" x14ac:dyDescent="0.15">
      <c r="A291" s="110"/>
      <c r="B291" s="110"/>
      <c r="C291" s="110"/>
      <c r="D291" s="110"/>
      <c r="E291" s="110"/>
      <c r="F291" s="110"/>
      <c r="G291" s="110"/>
      <c r="H291" s="110"/>
      <c r="I291" s="110"/>
      <c r="J291" s="110"/>
      <c r="K291" s="110"/>
      <c r="L291" s="110"/>
      <c r="M291" s="110"/>
      <c r="N291" s="110"/>
      <c r="O291" s="110"/>
    </row>
    <row r="292" spans="1:15" ht="12" customHeight="1" x14ac:dyDescent="0.15">
      <c r="A292" s="110"/>
      <c r="B292" s="110"/>
      <c r="C292" s="110"/>
      <c r="D292" s="110"/>
      <c r="E292" s="110"/>
      <c r="F292" s="110"/>
      <c r="G292" s="110"/>
      <c r="H292" s="110"/>
      <c r="I292" s="110"/>
      <c r="J292" s="110"/>
      <c r="K292" s="110"/>
      <c r="L292" s="110"/>
      <c r="M292" s="110"/>
      <c r="N292" s="110"/>
      <c r="O292" s="110"/>
    </row>
    <row r="293" spans="1:15" ht="12" customHeight="1" x14ac:dyDescent="0.15">
      <c r="A293" s="110"/>
      <c r="B293" s="110"/>
      <c r="C293" s="110"/>
      <c r="D293" s="110"/>
      <c r="E293" s="110"/>
      <c r="F293" s="110"/>
      <c r="G293" s="110"/>
      <c r="H293" s="110"/>
      <c r="I293" s="110"/>
      <c r="J293" s="110"/>
      <c r="K293" s="110"/>
      <c r="L293" s="110"/>
      <c r="M293" s="110"/>
      <c r="N293" s="110"/>
      <c r="O293" s="110"/>
    </row>
    <row r="294" spans="1:15" ht="12" customHeight="1" x14ac:dyDescent="0.15">
      <c r="A294" s="110"/>
      <c r="B294" s="110"/>
      <c r="C294" s="110"/>
      <c r="D294" s="110"/>
      <c r="E294" s="110"/>
      <c r="F294" s="110"/>
      <c r="G294" s="110"/>
      <c r="H294" s="110"/>
      <c r="I294" s="110"/>
      <c r="J294" s="110"/>
      <c r="K294" s="110"/>
      <c r="L294" s="110"/>
      <c r="M294" s="110"/>
      <c r="N294" s="110"/>
      <c r="O294" s="110"/>
    </row>
    <row r="295" spans="1:15" ht="12" customHeight="1" x14ac:dyDescent="0.15">
      <c r="A295" s="110"/>
      <c r="B295" s="110"/>
      <c r="C295" s="110"/>
      <c r="D295" s="110"/>
      <c r="E295" s="110"/>
      <c r="F295" s="110"/>
      <c r="G295" s="110"/>
      <c r="H295" s="110"/>
      <c r="I295" s="110"/>
      <c r="J295" s="110"/>
      <c r="K295" s="110"/>
      <c r="L295" s="110"/>
      <c r="M295" s="110"/>
      <c r="N295" s="110"/>
      <c r="O295" s="110"/>
    </row>
    <row r="296" spans="1:15" ht="12" customHeight="1" x14ac:dyDescent="0.15">
      <c r="A296" s="110"/>
      <c r="B296" s="110"/>
      <c r="C296" s="110"/>
      <c r="D296" s="110"/>
      <c r="E296" s="110"/>
      <c r="F296" s="110"/>
      <c r="G296" s="110"/>
      <c r="H296" s="110"/>
      <c r="I296" s="110"/>
      <c r="J296" s="110"/>
      <c r="K296" s="110"/>
      <c r="L296" s="110"/>
      <c r="M296" s="110"/>
      <c r="N296" s="110"/>
      <c r="O296" s="110"/>
    </row>
    <row r="297" spans="1:15" ht="12" customHeight="1" x14ac:dyDescent="0.15">
      <c r="A297" s="110"/>
      <c r="B297" s="110"/>
      <c r="C297" s="110"/>
      <c r="D297" s="110"/>
      <c r="E297" s="110"/>
      <c r="F297" s="110"/>
      <c r="G297" s="110"/>
      <c r="H297" s="110"/>
      <c r="I297" s="110"/>
      <c r="J297" s="110"/>
      <c r="K297" s="110"/>
      <c r="L297" s="110"/>
      <c r="M297" s="110"/>
      <c r="N297" s="110"/>
      <c r="O297" s="110"/>
    </row>
    <row r="298" spans="1:15" ht="12" customHeight="1" x14ac:dyDescent="0.15">
      <c r="A298" s="110"/>
      <c r="B298" s="110"/>
      <c r="C298" s="110"/>
      <c r="D298" s="110"/>
      <c r="E298" s="110"/>
      <c r="F298" s="110"/>
      <c r="G298" s="110"/>
      <c r="H298" s="110"/>
      <c r="I298" s="110"/>
      <c r="J298" s="110"/>
      <c r="K298" s="110"/>
      <c r="L298" s="110"/>
      <c r="M298" s="110"/>
      <c r="N298" s="110"/>
      <c r="O298" s="110"/>
    </row>
    <row r="299" spans="1:15" ht="12" customHeight="1" x14ac:dyDescent="0.15">
      <c r="A299" s="110"/>
      <c r="B299" s="110"/>
      <c r="C299" s="110"/>
      <c r="D299" s="110"/>
      <c r="E299" s="110"/>
      <c r="F299" s="110"/>
      <c r="G299" s="110"/>
      <c r="H299" s="110"/>
      <c r="I299" s="110"/>
      <c r="J299" s="110"/>
      <c r="K299" s="110"/>
      <c r="L299" s="110"/>
      <c r="M299" s="110"/>
      <c r="N299" s="110"/>
      <c r="O299" s="110"/>
    </row>
    <row r="300" spans="1:15" ht="12" customHeight="1" x14ac:dyDescent="0.15">
      <c r="A300" s="110"/>
      <c r="B300" s="110"/>
      <c r="C300" s="110"/>
      <c r="D300" s="110"/>
      <c r="E300" s="110"/>
      <c r="F300" s="110"/>
      <c r="G300" s="110"/>
      <c r="H300" s="110"/>
      <c r="I300" s="110"/>
      <c r="J300" s="110"/>
      <c r="K300" s="110"/>
      <c r="L300" s="110"/>
      <c r="M300" s="110"/>
      <c r="N300" s="110"/>
      <c r="O300" s="110"/>
    </row>
    <row r="301" spans="1:15" ht="12" customHeight="1" x14ac:dyDescent="0.15">
      <c r="A301" s="110"/>
      <c r="B301" s="110"/>
      <c r="C301" s="110"/>
      <c r="D301" s="110"/>
      <c r="E301" s="110"/>
      <c r="F301" s="110"/>
      <c r="G301" s="110"/>
      <c r="H301" s="110"/>
      <c r="I301" s="110"/>
      <c r="J301" s="110"/>
      <c r="K301" s="110"/>
      <c r="L301" s="110"/>
      <c r="M301" s="110"/>
      <c r="N301" s="110"/>
      <c r="O301" s="110"/>
    </row>
    <row r="302" spans="1:15" ht="12" customHeight="1" x14ac:dyDescent="0.15">
      <c r="A302" s="110"/>
      <c r="B302" s="110"/>
      <c r="C302" s="110"/>
      <c r="D302" s="110"/>
      <c r="E302" s="110"/>
      <c r="F302" s="110"/>
      <c r="G302" s="110"/>
      <c r="H302" s="110"/>
      <c r="I302" s="110"/>
      <c r="J302" s="110"/>
      <c r="K302" s="110"/>
      <c r="L302" s="110"/>
      <c r="M302" s="110"/>
      <c r="N302" s="110"/>
      <c r="O302" s="110"/>
    </row>
    <row r="303" spans="1:15" ht="12" customHeight="1" x14ac:dyDescent="0.15">
      <c r="A303" s="110"/>
      <c r="B303" s="110"/>
      <c r="C303" s="110"/>
      <c r="D303" s="110"/>
      <c r="E303" s="110"/>
      <c r="F303" s="110"/>
      <c r="G303" s="110"/>
      <c r="H303" s="110"/>
      <c r="I303" s="110"/>
      <c r="J303" s="110"/>
      <c r="K303" s="110"/>
      <c r="L303" s="110"/>
      <c r="M303" s="110"/>
      <c r="N303" s="110"/>
      <c r="O303" s="110"/>
    </row>
    <row r="304" spans="1:15" ht="12" customHeight="1" x14ac:dyDescent="0.15">
      <c r="A304" s="110"/>
      <c r="B304" s="110"/>
      <c r="C304" s="110"/>
      <c r="D304" s="110"/>
      <c r="E304" s="110"/>
      <c r="F304" s="110"/>
      <c r="G304" s="110"/>
      <c r="H304" s="110"/>
      <c r="I304" s="110"/>
      <c r="J304" s="110"/>
      <c r="K304" s="110"/>
      <c r="L304" s="110"/>
      <c r="M304" s="110"/>
      <c r="N304" s="110"/>
      <c r="O304" s="110"/>
    </row>
    <row r="305" spans="1:15" ht="12" customHeight="1" x14ac:dyDescent="0.15">
      <c r="A305" s="110"/>
      <c r="B305" s="110"/>
      <c r="C305" s="110"/>
      <c r="D305" s="110"/>
      <c r="E305" s="110"/>
      <c r="F305" s="110"/>
      <c r="G305" s="110"/>
      <c r="H305" s="110"/>
      <c r="I305" s="110"/>
      <c r="J305" s="110"/>
      <c r="K305" s="110"/>
      <c r="L305" s="110"/>
      <c r="M305" s="110"/>
      <c r="N305" s="110"/>
      <c r="O305" s="110"/>
    </row>
    <row r="306" spans="1:15" ht="12" customHeight="1" x14ac:dyDescent="0.15">
      <c r="A306" s="110"/>
      <c r="B306" s="110"/>
      <c r="C306" s="110"/>
      <c r="D306" s="110"/>
      <c r="E306" s="110"/>
      <c r="F306" s="110"/>
      <c r="G306" s="110"/>
      <c r="H306" s="110"/>
      <c r="I306" s="110"/>
      <c r="J306" s="110"/>
      <c r="K306" s="110"/>
      <c r="L306" s="110"/>
      <c r="M306" s="110"/>
      <c r="N306" s="110"/>
      <c r="O306" s="110"/>
    </row>
    <row r="307" spans="1:15" ht="12" customHeight="1" x14ac:dyDescent="0.15">
      <c r="A307" s="110"/>
      <c r="B307" s="110"/>
      <c r="C307" s="110"/>
      <c r="D307" s="110"/>
      <c r="E307" s="110"/>
      <c r="F307" s="110"/>
      <c r="G307" s="110"/>
      <c r="H307" s="110"/>
      <c r="I307" s="110"/>
      <c r="J307" s="110"/>
      <c r="K307" s="110"/>
      <c r="L307" s="110"/>
      <c r="M307" s="110"/>
      <c r="N307" s="110"/>
      <c r="O307" s="110"/>
    </row>
    <row r="308" spans="1:15" ht="12" customHeight="1" x14ac:dyDescent="0.15">
      <c r="A308" s="110"/>
      <c r="B308" s="110"/>
      <c r="C308" s="110"/>
      <c r="D308" s="110"/>
      <c r="E308" s="110"/>
      <c r="F308" s="110"/>
      <c r="G308" s="110"/>
      <c r="H308" s="110"/>
      <c r="I308" s="110"/>
      <c r="J308" s="110"/>
      <c r="K308" s="110"/>
      <c r="L308" s="110"/>
      <c r="M308" s="110"/>
      <c r="N308" s="110"/>
      <c r="O308" s="110"/>
    </row>
    <row r="309" spans="1:15" ht="12" customHeight="1" x14ac:dyDescent="0.15">
      <c r="A309" s="110"/>
      <c r="B309" s="110"/>
      <c r="C309" s="110"/>
      <c r="D309" s="110"/>
      <c r="E309" s="110"/>
      <c r="F309" s="110"/>
      <c r="G309" s="110"/>
      <c r="H309" s="110"/>
      <c r="I309" s="110"/>
      <c r="J309" s="110"/>
      <c r="K309" s="110"/>
      <c r="L309" s="110"/>
      <c r="M309" s="110"/>
      <c r="N309" s="110"/>
      <c r="O309" s="110"/>
    </row>
    <row r="310" spans="1:15" ht="12" customHeight="1" x14ac:dyDescent="0.15">
      <c r="A310" s="110"/>
      <c r="B310" s="110"/>
      <c r="C310" s="110"/>
      <c r="D310" s="110"/>
      <c r="E310" s="110"/>
      <c r="F310" s="110"/>
      <c r="G310" s="110"/>
      <c r="H310" s="110"/>
      <c r="I310" s="110"/>
      <c r="J310" s="110"/>
      <c r="K310" s="110"/>
      <c r="L310" s="110"/>
      <c r="M310" s="110"/>
      <c r="N310" s="110"/>
      <c r="O310" s="110"/>
    </row>
    <row r="311" spans="1:15" ht="12" customHeight="1" x14ac:dyDescent="0.15">
      <c r="A311" s="110"/>
      <c r="B311" s="110"/>
      <c r="C311" s="110"/>
      <c r="D311" s="110"/>
      <c r="E311" s="110"/>
      <c r="F311" s="110"/>
      <c r="G311" s="110"/>
      <c r="H311" s="110"/>
      <c r="I311" s="110"/>
      <c r="J311" s="110"/>
      <c r="K311" s="110"/>
      <c r="L311" s="110"/>
      <c r="M311" s="110"/>
      <c r="N311" s="110"/>
      <c r="O311" s="110"/>
    </row>
    <row r="312" spans="1:15" ht="12" customHeight="1" x14ac:dyDescent="0.15">
      <c r="A312" s="110"/>
      <c r="B312" s="110"/>
      <c r="C312" s="110"/>
      <c r="D312" s="110"/>
      <c r="E312" s="110"/>
      <c r="F312" s="110"/>
      <c r="G312" s="110"/>
      <c r="H312" s="110"/>
      <c r="I312" s="110"/>
      <c r="J312" s="110"/>
      <c r="K312" s="110"/>
      <c r="L312" s="110"/>
      <c r="M312" s="110"/>
      <c r="N312" s="110"/>
      <c r="O312" s="110"/>
    </row>
    <row r="313" spans="1:15" ht="12" customHeight="1" x14ac:dyDescent="0.15">
      <c r="A313" s="110"/>
      <c r="B313" s="110"/>
      <c r="C313" s="110"/>
      <c r="D313" s="110"/>
      <c r="E313" s="110"/>
      <c r="F313" s="110"/>
      <c r="G313" s="110"/>
      <c r="H313" s="110"/>
      <c r="I313" s="110"/>
      <c r="J313" s="110"/>
      <c r="K313" s="110"/>
      <c r="L313" s="110"/>
      <c r="M313" s="110"/>
      <c r="N313" s="110"/>
      <c r="O313" s="110"/>
    </row>
    <row r="314" spans="1:15" ht="12" customHeight="1" x14ac:dyDescent="0.15">
      <c r="A314" s="110"/>
      <c r="B314" s="110"/>
      <c r="C314" s="110"/>
      <c r="D314" s="110"/>
      <c r="E314" s="110"/>
      <c r="F314" s="110"/>
      <c r="G314" s="110"/>
      <c r="H314" s="110"/>
      <c r="I314" s="110"/>
      <c r="J314" s="110"/>
      <c r="K314" s="110"/>
      <c r="L314" s="110"/>
      <c r="M314" s="110"/>
      <c r="N314" s="110"/>
      <c r="O314" s="110"/>
    </row>
    <row r="315" spans="1:15" ht="12" customHeight="1" x14ac:dyDescent="0.15">
      <c r="A315" s="110"/>
      <c r="B315" s="110"/>
      <c r="C315" s="110"/>
      <c r="D315" s="110"/>
      <c r="E315" s="110"/>
      <c r="F315" s="110"/>
      <c r="G315" s="110"/>
      <c r="H315" s="110"/>
      <c r="I315" s="110"/>
      <c r="J315" s="110"/>
      <c r="K315" s="110"/>
      <c r="L315" s="110"/>
      <c r="M315" s="110"/>
      <c r="N315" s="110"/>
      <c r="O315" s="110"/>
    </row>
    <row r="316" spans="1:15" ht="12" customHeight="1" x14ac:dyDescent="0.15">
      <c r="A316" s="110"/>
      <c r="B316" s="110"/>
      <c r="C316" s="110"/>
      <c r="D316" s="110"/>
      <c r="E316" s="110"/>
      <c r="F316" s="110"/>
      <c r="G316" s="110"/>
      <c r="H316" s="110"/>
      <c r="I316" s="110"/>
      <c r="J316" s="110"/>
      <c r="K316" s="110"/>
      <c r="L316" s="110"/>
      <c r="M316" s="110"/>
      <c r="N316" s="110"/>
      <c r="O316" s="110"/>
    </row>
    <row r="317" spans="1:15" ht="12" customHeight="1" x14ac:dyDescent="0.15">
      <c r="A317" s="110"/>
      <c r="B317" s="110"/>
      <c r="C317" s="110"/>
      <c r="D317" s="110"/>
      <c r="E317" s="110"/>
      <c r="F317" s="110"/>
      <c r="G317" s="110"/>
      <c r="H317" s="110"/>
      <c r="I317" s="110"/>
      <c r="J317" s="110"/>
      <c r="K317" s="110"/>
      <c r="L317" s="110"/>
      <c r="M317" s="110"/>
      <c r="N317" s="110"/>
      <c r="O317" s="110"/>
    </row>
    <row r="318" spans="1:15" ht="12" customHeight="1" x14ac:dyDescent="0.15">
      <c r="A318" s="110"/>
      <c r="B318" s="110"/>
      <c r="C318" s="110"/>
      <c r="D318" s="110"/>
      <c r="E318" s="110"/>
      <c r="F318" s="110"/>
      <c r="G318" s="110"/>
      <c r="H318" s="110"/>
      <c r="I318" s="110"/>
      <c r="J318" s="110"/>
      <c r="K318" s="110"/>
      <c r="L318" s="110"/>
      <c r="M318" s="110"/>
      <c r="N318" s="110"/>
      <c r="O318" s="110"/>
    </row>
    <row r="319" spans="1:15" ht="12" customHeight="1" x14ac:dyDescent="0.15">
      <c r="A319" s="110"/>
      <c r="B319" s="110"/>
      <c r="C319" s="110"/>
      <c r="D319" s="110"/>
      <c r="E319" s="110"/>
      <c r="F319" s="110"/>
      <c r="G319" s="110"/>
      <c r="H319" s="110"/>
      <c r="I319" s="110"/>
      <c r="J319" s="110"/>
      <c r="K319" s="110"/>
      <c r="L319" s="110"/>
      <c r="M319" s="110"/>
      <c r="N319" s="110"/>
      <c r="O319" s="110"/>
    </row>
    <row r="320" spans="1:15" ht="12" customHeight="1" x14ac:dyDescent="0.15">
      <c r="A320" s="110"/>
      <c r="B320" s="110"/>
      <c r="C320" s="110"/>
      <c r="D320" s="110"/>
      <c r="E320" s="110"/>
      <c r="F320" s="110"/>
      <c r="G320" s="110"/>
      <c r="H320" s="110"/>
      <c r="I320" s="110"/>
      <c r="J320" s="110"/>
      <c r="K320" s="110"/>
      <c r="L320" s="110"/>
      <c r="M320" s="110"/>
      <c r="N320" s="110"/>
      <c r="O320" s="110"/>
    </row>
    <row r="321" spans="1:15" ht="12" customHeight="1" x14ac:dyDescent="0.15">
      <c r="A321" s="110"/>
      <c r="B321" s="110"/>
      <c r="C321" s="110"/>
      <c r="D321" s="110"/>
      <c r="E321" s="110"/>
      <c r="F321" s="110"/>
      <c r="G321" s="110"/>
      <c r="H321" s="110"/>
      <c r="I321" s="110"/>
      <c r="J321" s="110"/>
      <c r="K321" s="110"/>
      <c r="L321" s="110"/>
      <c r="M321" s="110"/>
      <c r="N321" s="110"/>
      <c r="O321" s="110"/>
    </row>
    <row r="322" spans="1:15" ht="12" customHeight="1" x14ac:dyDescent="0.15">
      <c r="A322" s="110"/>
      <c r="B322" s="110"/>
      <c r="C322" s="110"/>
      <c r="D322" s="110"/>
      <c r="E322" s="110"/>
      <c r="F322" s="110"/>
      <c r="G322" s="110"/>
      <c r="H322" s="110"/>
      <c r="I322" s="110"/>
      <c r="J322" s="110"/>
      <c r="K322" s="110"/>
      <c r="L322" s="110"/>
      <c r="M322" s="110"/>
      <c r="N322" s="110"/>
      <c r="O322" s="110"/>
    </row>
    <row r="323" spans="1:15" ht="12" customHeight="1" x14ac:dyDescent="0.15">
      <c r="A323" s="110"/>
      <c r="B323" s="110"/>
      <c r="C323" s="110"/>
      <c r="D323" s="110"/>
      <c r="E323" s="110"/>
      <c r="F323" s="110"/>
      <c r="G323" s="110"/>
      <c r="H323" s="110"/>
      <c r="I323" s="110"/>
      <c r="J323" s="110"/>
      <c r="K323" s="110"/>
      <c r="L323" s="110"/>
      <c r="M323" s="110"/>
      <c r="N323" s="110"/>
      <c r="O323" s="110"/>
    </row>
    <row r="324" spans="1:15" ht="12" customHeight="1" x14ac:dyDescent="0.15">
      <c r="A324" s="110"/>
      <c r="B324" s="110"/>
      <c r="C324" s="110"/>
      <c r="D324" s="110"/>
      <c r="E324" s="110"/>
      <c r="F324" s="110"/>
      <c r="G324" s="110"/>
      <c r="H324" s="110"/>
      <c r="I324" s="110"/>
      <c r="J324" s="110"/>
      <c r="K324" s="110"/>
      <c r="L324" s="110"/>
      <c r="M324" s="110"/>
      <c r="N324" s="110"/>
      <c r="O324" s="110"/>
    </row>
    <row r="325" spans="1:15" ht="12" customHeight="1" x14ac:dyDescent="0.15">
      <c r="A325" s="110"/>
      <c r="B325" s="110"/>
      <c r="C325" s="110"/>
      <c r="D325" s="110"/>
      <c r="E325" s="110"/>
      <c r="F325" s="110"/>
      <c r="G325" s="110"/>
      <c r="H325" s="110"/>
      <c r="I325" s="110"/>
      <c r="J325" s="110"/>
      <c r="K325" s="110"/>
      <c r="L325" s="110"/>
      <c r="M325" s="110"/>
      <c r="N325" s="110"/>
      <c r="O325" s="110"/>
    </row>
    <row r="326" spans="1:15" ht="12" customHeight="1" x14ac:dyDescent="0.15">
      <c r="A326" s="110"/>
      <c r="B326" s="110"/>
      <c r="C326" s="110"/>
      <c r="D326" s="110"/>
      <c r="E326" s="110"/>
      <c r="F326" s="110"/>
      <c r="G326" s="110"/>
      <c r="H326" s="110"/>
      <c r="I326" s="110"/>
      <c r="J326" s="110"/>
      <c r="K326" s="110"/>
      <c r="L326" s="110"/>
      <c r="M326" s="110"/>
      <c r="N326" s="110"/>
      <c r="O326" s="110"/>
    </row>
    <row r="327" spans="1:15" ht="12" customHeight="1" x14ac:dyDescent="0.15">
      <c r="A327" s="110"/>
      <c r="B327" s="110"/>
      <c r="C327" s="110"/>
      <c r="D327" s="110"/>
      <c r="E327" s="110"/>
      <c r="F327" s="110"/>
      <c r="G327" s="110"/>
      <c r="H327" s="110"/>
      <c r="I327" s="110"/>
      <c r="J327" s="110"/>
      <c r="K327" s="110"/>
      <c r="L327" s="110"/>
      <c r="M327" s="110"/>
      <c r="N327" s="110"/>
      <c r="O327" s="110"/>
    </row>
    <row r="328" spans="1:15" ht="12" customHeight="1" x14ac:dyDescent="0.15">
      <c r="A328" s="110"/>
      <c r="B328" s="110"/>
      <c r="C328" s="110"/>
      <c r="D328" s="110"/>
      <c r="E328" s="110"/>
      <c r="F328" s="110"/>
      <c r="G328" s="110"/>
      <c r="H328" s="110"/>
      <c r="I328" s="110"/>
      <c r="J328" s="110"/>
      <c r="K328" s="110"/>
      <c r="L328" s="110"/>
      <c r="M328" s="110"/>
      <c r="N328" s="110"/>
      <c r="O328" s="110"/>
    </row>
    <row r="329" spans="1:15" ht="12" customHeight="1" x14ac:dyDescent="0.15">
      <c r="A329" s="110"/>
      <c r="B329" s="110"/>
      <c r="C329" s="110"/>
      <c r="D329" s="110"/>
      <c r="E329" s="110"/>
      <c r="F329" s="110"/>
      <c r="G329" s="110"/>
      <c r="H329" s="110"/>
      <c r="I329" s="110"/>
      <c r="J329" s="110"/>
      <c r="K329" s="110"/>
      <c r="L329" s="110"/>
      <c r="M329" s="110"/>
      <c r="N329" s="110"/>
      <c r="O329" s="110"/>
    </row>
    <row r="330" spans="1:15" ht="12" customHeight="1" x14ac:dyDescent="0.15">
      <c r="A330" s="110"/>
      <c r="B330" s="110"/>
      <c r="C330" s="110"/>
      <c r="D330" s="110"/>
      <c r="E330" s="110"/>
      <c r="F330" s="110"/>
      <c r="G330" s="110"/>
      <c r="H330" s="110"/>
      <c r="I330" s="110"/>
      <c r="J330" s="110"/>
      <c r="K330" s="110"/>
      <c r="L330" s="110"/>
      <c r="M330" s="110"/>
      <c r="N330" s="110"/>
      <c r="O330" s="110"/>
    </row>
    <row r="331" spans="1:15" ht="12" customHeight="1" x14ac:dyDescent="0.15">
      <c r="A331" s="110"/>
      <c r="B331" s="110"/>
      <c r="C331" s="110"/>
      <c r="D331" s="110"/>
      <c r="E331" s="110"/>
      <c r="F331" s="110"/>
      <c r="G331" s="110"/>
      <c r="H331" s="110"/>
      <c r="I331" s="110"/>
      <c r="J331" s="110"/>
      <c r="K331" s="110"/>
      <c r="L331" s="110"/>
      <c r="M331" s="110"/>
      <c r="N331" s="110"/>
      <c r="O331" s="110"/>
    </row>
    <row r="332" spans="1:15" ht="12" customHeight="1" x14ac:dyDescent="0.15">
      <c r="A332" s="110"/>
      <c r="B332" s="110"/>
      <c r="C332" s="110"/>
      <c r="D332" s="110"/>
      <c r="E332" s="110"/>
      <c r="F332" s="110"/>
      <c r="G332" s="110"/>
      <c r="H332" s="110"/>
      <c r="I332" s="110"/>
      <c r="J332" s="110"/>
      <c r="K332" s="110"/>
      <c r="L332" s="110"/>
      <c r="M332" s="110"/>
      <c r="N332" s="110"/>
      <c r="O332" s="110"/>
    </row>
    <row r="333" spans="1:15" ht="12" customHeight="1" x14ac:dyDescent="0.15">
      <c r="A333" s="110"/>
      <c r="B333" s="110"/>
      <c r="C333" s="110"/>
      <c r="D333" s="110"/>
      <c r="E333" s="110"/>
      <c r="F333" s="110"/>
      <c r="G333" s="110"/>
      <c r="H333" s="110"/>
      <c r="I333" s="110"/>
      <c r="J333" s="110"/>
      <c r="K333" s="110"/>
      <c r="L333" s="110"/>
      <c r="M333" s="110"/>
      <c r="N333" s="110"/>
      <c r="O333" s="110"/>
    </row>
    <row r="334" spans="1:15" ht="12" customHeight="1" x14ac:dyDescent="0.15">
      <c r="A334" s="110"/>
      <c r="B334" s="110"/>
      <c r="C334" s="110"/>
      <c r="D334" s="110"/>
      <c r="E334" s="110"/>
      <c r="F334" s="110"/>
      <c r="G334" s="110"/>
      <c r="H334" s="110"/>
      <c r="I334" s="110"/>
      <c r="J334" s="110"/>
      <c r="K334" s="110"/>
      <c r="L334" s="110"/>
      <c r="M334" s="110"/>
      <c r="N334" s="110"/>
      <c r="O334" s="110"/>
    </row>
    <row r="335" spans="1:15" ht="12" customHeight="1" x14ac:dyDescent="0.15">
      <c r="A335" s="110"/>
      <c r="B335" s="110"/>
      <c r="C335" s="110"/>
      <c r="D335" s="110"/>
      <c r="E335" s="110"/>
      <c r="F335" s="110"/>
      <c r="G335" s="110"/>
      <c r="H335" s="110"/>
      <c r="I335" s="110"/>
      <c r="J335" s="110"/>
      <c r="K335" s="110"/>
      <c r="L335" s="110"/>
      <c r="M335" s="110"/>
      <c r="N335" s="110"/>
      <c r="O335" s="110"/>
    </row>
    <row r="336" spans="1:15" ht="12" customHeight="1" x14ac:dyDescent="0.15">
      <c r="A336" s="110"/>
      <c r="B336" s="110"/>
      <c r="C336" s="110"/>
      <c r="D336" s="110"/>
      <c r="E336" s="110"/>
      <c r="F336" s="110"/>
      <c r="G336" s="110"/>
      <c r="H336" s="110"/>
      <c r="I336" s="110"/>
      <c r="J336" s="110"/>
      <c r="K336" s="110"/>
      <c r="L336" s="110"/>
      <c r="M336" s="110"/>
      <c r="N336" s="110"/>
      <c r="O336" s="110"/>
    </row>
    <row r="337" spans="1:15" ht="12" customHeight="1" x14ac:dyDescent="0.15">
      <c r="A337" s="110"/>
      <c r="B337" s="110"/>
      <c r="C337" s="110"/>
      <c r="D337" s="110"/>
      <c r="E337" s="110"/>
      <c r="F337" s="110"/>
      <c r="G337" s="110"/>
      <c r="H337" s="110"/>
      <c r="I337" s="110"/>
      <c r="J337" s="110"/>
      <c r="K337" s="110"/>
      <c r="L337" s="110"/>
      <c r="M337" s="110"/>
      <c r="N337" s="110"/>
      <c r="O337" s="110"/>
    </row>
    <row r="338" spans="1:15" ht="12" customHeight="1" x14ac:dyDescent="0.15">
      <c r="A338" s="110"/>
      <c r="B338" s="110"/>
      <c r="C338" s="110"/>
      <c r="D338" s="110"/>
      <c r="E338" s="110"/>
      <c r="F338" s="110"/>
      <c r="G338" s="110"/>
      <c r="H338" s="110"/>
      <c r="I338" s="110"/>
      <c r="J338" s="110"/>
      <c r="K338" s="110"/>
      <c r="L338" s="110"/>
      <c r="M338" s="110"/>
      <c r="N338" s="110"/>
      <c r="O338" s="110"/>
    </row>
    <row r="339" spans="1:15" ht="12" customHeight="1" x14ac:dyDescent="0.15">
      <c r="A339" s="110"/>
      <c r="B339" s="110"/>
      <c r="C339" s="110"/>
      <c r="D339" s="110"/>
      <c r="E339" s="110"/>
      <c r="F339" s="110"/>
      <c r="G339" s="110"/>
      <c r="H339" s="110"/>
      <c r="I339" s="110"/>
      <c r="J339" s="110"/>
      <c r="K339" s="110"/>
      <c r="L339" s="110"/>
      <c r="M339" s="110"/>
      <c r="N339" s="110"/>
      <c r="O339" s="110"/>
    </row>
    <row r="340" spans="1:15" ht="12" customHeight="1" x14ac:dyDescent="0.15">
      <c r="A340" s="110"/>
      <c r="B340" s="110"/>
      <c r="C340" s="110"/>
      <c r="D340" s="110"/>
      <c r="E340" s="110"/>
      <c r="F340" s="110"/>
      <c r="G340" s="110"/>
      <c r="H340" s="110"/>
      <c r="I340" s="110"/>
      <c r="J340" s="110"/>
      <c r="K340" s="110"/>
      <c r="L340" s="110"/>
      <c r="M340" s="110"/>
      <c r="N340" s="110"/>
      <c r="O340" s="110"/>
    </row>
    <row r="341" spans="1:15" ht="12" customHeight="1" x14ac:dyDescent="0.15">
      <c r="A341" s="110"/>
      <c r="B341" s="110"/>
      <c r="C341" s="110"/>
      <c r="D341" s="110"/>
      <c r="E341" s="110"/>
      <c r="F341" s="110"/>
      <c r="G341" s="110"/>
      <c r="H341" s="110"/>
      <c r="I341" s="110"/>
      <c r="J341" s="110"/>
      <c r="K341" s="110"/>
      <c r="L341" s="110"/>
      <c r="M341" s="110"/>
      <c r="N341" s="110"/>
      <c r="O341" s="110"/>
    </row>
    <row r="342" spans="1:15" ht="12" customHeight="1" x14ac:dyDescent="0.15">
      <c r="A342" s="110"/>
      <c r="B342" s="110"/>
      <c r="C342" s="110"/>
      <c r="D342" s="110"/>
      <c r="E342" s="110"/>
      <c r="F342" s="110"/>
      <c r="G342" s="110"/>
      <c r="H342" s="110"/>
      <c r="I342" s="110"/>
      <c r="J342" s="110"/>
      <c r="K342" s="110"/>
      <c r="L342" s="110"/>
      <c r="M342" s="110"/>
      <c r="N342" s="110"/>
      <c r="O342" s="110"/>
    </row>
    <row r="343" spans="1:15" ht="12" customHeight="1" x14ac:dyDescent="0.15">
      <c r="A343" s="110"/>
      <c r="B343" s="110"/>
      <c r="C343" s="110"/>
      <c r="D343" s="110"/>
      <c r="E343" s="110"/>
      <c r="F343" s="110"/>
      <c r="G343" s="110"/>
      <c r="H343" s="110"/>
      <c r="I343" s="110"/>
      <c r="J343" s="110"/>
      <c r="K343" s="110"/>
      <c r="L343" s="110"/>
      <c r="M343" s="110"/>
      <c r="N343" s="110"/>
      <c r="O343" s="110"/>
    </row>
    <row r="344" spans="1:15" ht="12" customHeight="1" x14ac:dyDescent="0.15">
      <c r="A344" s="110"/>
      <c r="B344" s="110"/>
      <c r="C344" s="110"/>
      <c r="D344" s="110"/>
      <c r="E344" s="110"/>
      <c r="F344" s="110"/>
      <c r="G344" s="110"/>
      <c r="H344" s="110"/>
      <c r="I344" s="110"/>
      <c r="J344" s="110"/>
      <c r="K344" s="110"/>
      <c r="L344" s="110"/>
      <c r="M344" s="110"/>
      <c r="N344" s="110"/>
      <c r="O344" s="110"/>
    </row>
    <row r="345" spans="1:15" ht="12" customHeight="1" x14ac:dyDescent="0.15">
      <c r="A345" s="110"/>
      <c r="B345" s="110"/>
      <c r="C345" s="110"/>
      <c r="D345" s="110"/>
      <c r="E345" s="110"/>
      <c r="F345" s="110"/>
      <c r="G345" s="110"/>
      <c r="H345" s="110"/>
      <c r="I345" s="110"/>
      <c r="J345" s="110"/>
      <c r="K345" s="110"/>
      <c r="L345" s="110"/>
      <c r="M345" s="110"/>
      <c r="N345" s="110"/>
      <c r="O345" s="110"/>
    </row>
    <row r="346" spans="1:15" ht="12" customHeight="1" x14ac:dyDescent="0.15">
      <c r="A346" s="110"/>
      <c r="B346" s="110"/>
      <c r="C346" s="110"/>
      <c r="D346" s="110"/>
      <c r="E346" s="110"/>
      <c r="F346" s="110"/>
      <c r="G346" s="110"/>
      <c r="H346" s="110"/>
      <c r="I346" s="110"/>
      <c r="J346" s="110"/>
      <c r="K346" s="110"/>
      <c r="L346" s="110"/>
      <c r="M346" s="110"/>
      <c r="N346" s="110"/>
      <c r="O346" s="110"/>
    </row>
    <row r="347" spans="1:15" ht="12" customHeight="1" x14ac:dyDescent="0.15">
      <c r="A347" s="110"/>
      <c r="B347" s="110"/>
      <c r="C347" s="110"/>
      <c r="D347" s="110"/>
      <c r="E347" s="110"/>
      <c r="F347" s="110"/>
      <c r="G347" s="110"/>
      <c r="H347" s="110"/>
      <c r="I347" s="110"/>
      <c r="J347" s="110"/>
      <c r="K347" s="110"/>
      <c r="L347" s="110"/>
      <c r="M347" s="110"/>
      <c r="N347" s="110"/>
      <c r="O347" s="110"/>
    </row>
    <row r="348" spans="1:15" ht="12" customHeight="1" x14ac:dyDescent="0.15">
      <c r="A348" s="110"/>
      <c r="B348" s="110"/>
      <c r="C348" s="110"/>
      <c r="D348" s="110"/>
      <c r="E348" s="110"/>
      <c r="F348" s="110"/>
      <c r="G348" s="110"/>
      <c r="H348" s="110"/>
      <c r="I348" s="110"/>
      <c r="J348" s="110"/>
      <c r="K348" s="110"/>
      <c r="L348" s="110"/>
      <c r="M348" s="110"/>
      <c r="N348" s="110"/>
      <c r="O348" s="110"/>
    </row>
    <row r="349" spans="1:15" ht="12" customHeight="1" x14ac:dyDescent="0.15">
      <c r="A349" s="110"/>
      <c r="B349" s="110"/>
      <c r="C349" s="110"/>
      <c r="D349" s="110"/>
      <c r="E349" s="110"/>
      <c r="F349" s="110"/>
      <c r="G349" s="110"/>
      <c r="H349" s="110"/>
      <c r="I349" s="110"/>
      <c r="J349" s="110"/>
      <c r="K349" s="110"/>
      <c r="L349" s="110"/>
      <c r="M349" s="110"/>
      <c r="N349" s="110"/>
      <c r="O349" s="110"/>
    </row>
    <row r="350" spans="1:15" ht="12" customHeight="1" x14ac:dyDescent="0.15">
      <c r="A350" s="110"/>
      <c r="B350" s="110"/>
      <c r="C350" s="110"/>
      <c r="D350" s="110"/>
      <c r="E350" s="110"/>
      <c r="F350" s="110"/>
      <c r="G350" s="110"/>
      <c r="H350" s="110"/>
      <c r="I350" s="110"/>
      <c r="J350" s="110"/>
      <c r="K350" s="110"/>
      <c r="L350" s="110"/>
      <c r="M350" s="110"/>
      <c r="N350" s="110"/>
      <c r="O350" s="110"/>
    </row>
    <row r="351" spans="1:15" ht="12" customHeight="1" x14ac:dyDescent="0.15">
      <c r="A351" s="110"/>
      <c r="B351" s="110"/>
      <c r="C351" s="110"/>
      <c r="D351" s="110"/>
      <c r="E351" s="110"/>
      <c r="F351" s="110"/>
      <c r="G351" s="110"/>
      <c r="H351" s="110"/>
      <c r="I351" s="110"/>
      <c r="J351" s="110"/>
      <c r="K351" s="110"/>
      <c r="L351" s="110"/>
      <c r="M351" s="110"/>
      <c r="N351" s="110"/>
      <c r="O351" s="110"/>
    </row>
    <row r="352" spans="1:15" ht="12" customHeight="1" x14ac:dyDescent="0.15">
      <c r="A352" s="110"/>
      <c r="B352" s="110"/>
      <c r="C352" s="110"/>
      <c r="D352" s="110"/>
      <c r="E352" s="110"/>
      <c r="F352" s="110"/>
      <c r="G352" s="110"/>
      <c r="H352" s="110"/>
      <c r="I352" s="110"/>
      <c r="J352" s="110"/>
      <c r="K352" s="110"/>
      <c r="L352" s="110"/>
      <c r="M352" s="110"/>
      <c r="N352" s="110"/>
      <c r="O352" s="110"/>
    </row>
    <row r="353" spans="1:15" ht="12" customHeight="1" x14ac:dyDescent="0.15">
      <c r="A353" s="110"/>
      <c r="B353" s="110"/>
      <c r="C353" s="110"/>
      <c r="D353" s="110"/>
      <c r="E353" s="110"/>
      <c r="F353" s="110"/>
      <c r="G353" s="110"/>
      <c r="H353" s="110"/>
      <c r="I353" s="110"/>
      <c r="J353" s="110"/>
      <c r="K353" s="110"/>
      <c r="L353" s="110"/>
      <c r="M353" s="110"/>
      <c r="N353" s="110"/>
      <c r="O353" s="110"/>
    </row>
    <row r="354" spans="1:15" ht="12" customHeight="1" x14ac:dyDescent="0.15">
      <c r="A354" s="110"/>
      <c r="B354" s="110"/>
      <c r="C354" s="110"/>
      <c r="D354" s="110"/>
      <c r="E354" s="110"/>
      <c r="F354" s="110"/>
      <c r="G354" s="110"/>
      <c r="H354" s="110"/>
      <c r="I354" s="110"/>
      <c r="J354" s="110"/>
      <c r="K354" s="110"/>
      <c r="L354" s="110"/>
      <c r="M354" s="110"/>
      <c r="N354" s="110"/>
      <c r="O354" s="110"/>
    </row>
    <row r="355" spans="1:15" ht="12" customHeight="1" x14ac:dyDescent="0.15">
      <c r="A355" s="110"/>
      <c r="B355" s="110"/>
      <c r="C355" s="110"/>
      <c r="D355" s="110"/>
      <c r="E355" s="110"/>
      <c r="F355" s="110"/>
      <c r="G355" s="110"/>
      <c r="H355" s="110"/>
      <c r="I355" s="110"/>
      <c r="J355" s="110"/>
      <c r="K355" s="110"/>
      <c r="L355" s="110"/>
      <c r="M355" s="110"/>
      <c r="N355" s="110"/>
      <c r="O355" s="110"/>
    </row>
    <row r="356" spans="1:15" ht="12" customHeight="1" x14ac:dyDescent="0.15">
      <c r="A356" s="110"/>
      <c r="B356" s="110"/>
      <c r="C356" s="110"/>
      <c r="D356" s="110"/>
      <c r="E356" s="110"/>
      <c r="F356" s="110"/>
      <c r="G356" s="110"/>
      <c r="H356" s="110"/>
      <c r="I356" s="110"/>
      <c r="J356" s="110"/>
      <c r="K356" s="110"/>
      <c r="L356" s="110"/>
      <c r="M356" s="110"/>
      <c r="N356" s="110"/>
      <c r="O356" s="110"/>
    </row>
    <row r="357" spans="1:15" ht="12" customHeight="1" x14ac:dyDescent="0.15">
      <c r="A357" s="110"/>
      <c r="B357" s="110"/>
      <c r="C357" s="110"/>
      <c r="D357" s="110"/>
      <c r="E357" s="110"/>
      <c r="F357" s="110"/>
      <c r="G357" s="110"/>
      <c r="H357" s="110"/>
      <c r="I357" s="110"/>
      <c r="J357" s="110"/>
      <c r="K357" s="110"/>
      <c r="L357" s="110"/>
      <c r="M357" s="110"/>
      <c r="N357" s="110"/>
      <c r="O357" s="110"/>
    </row>
    <row r="358" spans="1:15" ht="12" customHeight="1" x14ac:dyDescent="0.15">
      <c r="A358" s="110"/>
      <c r="B358" s="110"/>
      <c r="C358" s="110"/>
      <c r="D358" s="110"/>
      <c r="E358" s="110"/>
      <c r="F358" s="110"/>
      <c r="G358" s="110"/>
      <c r="H358" s="110"/>
      <c r="I358" s="110"/>
      <c r="J358" s="110"/>
      <c r="K358" s="110"/>
      <c r="L358" s="110"/>
      <c r="M358" s="110"/>
      <c r="N358" s="110"/>
      <c r="O358" s="110"/>
    </row>
    <row r="359" spans="1:15" ht="12" customHeight="1" x14ac:dyDescent="0.15">
      <c r="A359" s="110"/>
      <c r="B359" s="110"/>
      <c r="C359" s="110"/>
      <c r="D359" s="110"/>
      <c r="E359" s="110"/>
      <c r="F359" s="110"/>
      <c r="G359" s="110"/>
      <c r="H359" s="110"/>
      <c r="I359" s="110"/>
      <c r="J359" s="110"/>
      <c r="K359" s="110"/>
      <c r="L359" s="110"/>
      <c r="M359" s="110"/>
      <c r="N359" s="110"/>
      <c r="O359" s="110"/>
    </row>
    <row r="360" spans="1:15" ht="12" customHeight="1" x14ac:dyDescent="0.15">
      <c r="A360" s="110"/>
      <c r="B360" s="110"/>
      <c r="C360" s="110"/>
      <c r="D360" s="110"/>
      <c r="E360" s="110"/>
      <c r="F360" s="110"/>
      <c r="G360" s="110"/>
      <c r="H360" s="110"/>
      <c r="I360" s="110"/>
      <c r="J360" s="110"/>
      <c r="K360" s="110"/>
      <c r="L360" s="110"/>
      <c r="M360" s="110"/>
      <c r="N360" s="110"/>
      <c r="O360" s="110"/>
    </row>
    <row r="361" spans="1:15" ht="12" customHeight="1" x14ac:dyDescent="0.15">
      <c r="A361" s="110"/>
      <c r="B361" s="110"/>
      <c r="C361" s="110"/>
      <c r="D361" s="110"/>
      <c r="E361" s="110"/>
      <c r="F361" s="110"/>
      <c r="G361" s="110"/>
      <c r="H361" s="110"/>
      <c r="I361" s="110"/>
      <c r="J361" s="110"/>
      <c r="K361" s="110"/>
      <c r="L361" s="110"/>
      <c r="M361" s="110"/>
      <c r="N361" s="110"/>
      <c r="O361" s="110"/>
    </row>
    <row r="362" spans="1:15" ht="12" customHeight="1" x14ac:dyDescent="0.15">
      <c r="A362" s="110"/>
      <c r="B362" s="110"/>
      <c r="C362" s="110"/>
      <c r="D362" s="110"/>
      <c r="E362" s="110"/>
      <c r="F362" s="110"/>
      <c r="G362" s="110"/>
      <c r="H362" s="110"/>
      <c r="I362" s="110"/>
      <c r="J362" s="110"/>
      <c r="K362" s="110"/>
      <c r="L362" s="110"/>
      <c r="M362" s="110"/>
      <c r="N362" s="110"/>
      <c r="O362" s="110"/>
    </row>
    <row r="363" spans="1:15" ht="12" customHeight="1" x14ac:dyDescent="0.15">
      <c r="A363" s="110"/>
      <c r="B363" s="110"/>
      <c r="C363" s="110"/>
      <c r="D363" s="110"/>
      <c r="E363" s="110"/>
      <c r="F363" s="110"/>
      <c r="G363" s="110"/>
      <c r="H363" s="110"/>
      <c r="I363" s="110"/>
      <c r="J363" s="110"/>
      <c r="K363" s="110"/>
      <c r="L363" s="110"/>
      <c r="M363" s="110"/>
      <c r="N363" s="110"/>
      <c r="O363" s="110"/>
    </row>
    <row r="364" spans="1:15" ht="12" customHeight="1" x14ac:dyDescent="0.15">
      <c r="A364" s="110"/>
      <c r="B364" s="110"/>
      <c r="C364" s="110"/>
      <c r="D364" s="110"/>
      <c r="E364" s="110"/>
      <c r="F364" s="110"/>
      <c r="G364" s="110"/>
      <c r="H364" s="110"/>
      <c r="I364" s="110"/>
      <c r="J364" s="110"/>
      <c r="K364" s="110"/>
      <c r="L364" s="110"/>
      <c r="M364" s="110"/>
      <c r="N364" s="110"/>
      <c r="O364" s="110"/>
    </row>
    <row r="365" spans="1:15" ht="12" customHeight="1" x14ac:dyDescent="0.15">
      <c r="A365" s="110"/>
      <c r="B365" s="110"/>
      <c r="C365" s="110"/>
      <c r="D365" s="110"/>
      <c r="E365" s="110"/>
      <c r="F365" s="110"/>
      <c r="G365" s="110"/>
      <c r="H365" s="110"/>
      <c r="I365" s="110"/>
      <c r="J365" s="110"/>
      <c r="K365" s="110"/>
      <c r="L365" s="110"/>
      <c r="M365" s="110"/>
      <c r="N365" s="110"/>
      <c r="O365" s="110"/>
    </row>
    <row r="366" spans="1:15" ht="12" customHeight="1" x14ac:dyDescent="0.15">
      <c r="A366" s="110"/>
      <c r="B366" s="110"/>
      <c r="C366" s="110"/>
      <c r="D366" s="110"/>
      <c r="E366" s="110"/>
      <c r="F366" s="110"/>
      <c r="G366" s="110"/>
      <c r="H366" s="110"/>
      <c r="I366" s="110"/>
      <c r="J366" s="110"/>
      <c r="K366" s="110"/>
      <c r="L366" s="110"/>
      <c r="M366" s="110"/>
      <c r="N366" s="110"/>
      <c r="O366" s="110"/>
    </row>
    <row r="367" spans="1:15" ht="12" customHeight="1" x14ac:dyDescent="0.15">
      <c r="A367" s="110"/>
      <c r="B367" s="110"/>
      <c r="C367" s="110"/>
      <c r="D367" s="110"/>
      <c r="E367" s="110"/>
      <c r="F367" s="110"/>
      <c r="G367" s="110"/>
      <c r="H367" s="110"/>
      <c r="I367" s="110"/>
      <c r="J367" s="110"/>
      <c r="K367" s="110"/>
      <c r="L367" s="110"/>
      <c r="M367" s="110"/>
      <c r="N367" s="110"/>
      <c r="O367" s="110"/>
    </row>
    <row r="368" spans="1:15" ht="12" customHeight="1" x14ac:dyDescent="0.15">
      <c r="A368" s="110"/>
      <c r="B368" s="110"/>
      <c r="C368" s="110"/>
      <c r="D368" s="110"/>
      <c r="E368" s="110"/>
      <c r="F368" s="110"/>
      <c r="G368" s="110"/>
      <c r="H368" s="110"/>
      <c r="I368" s="110"/>
      <c r="J368" s="110"/>
      <c r="K368" s="110"/>
      <c r="L368" s="110"/>
      <c r="M368" s="110"/>
      <c r="N368" s="110"/>
      <c r="O368" s="110"/>
    </row>
    <row r="369" spans="1:15" ht="12" customHeight="1" x14ac:dyDescent="0.15">
      <c r="A369" s="110"/>
      <c r="B369" s="110"/>
      <c r="C369" s="110"/>
      <c r="D369" s="110"/>
      <c r="E369" s="110"/>
      <c r="F369" s="110"/>
      <c r="G369" s="110"/>
      <c r="H369" s="110"/>
      <c r="I369" s="110"/>
      <c r="J369" s="110"/>
      <c r="K369" s="110"/>
      <c r="L369" s="110"/>
      <c r="M369" s="110"/>
      <c r="N369" s="110"/>
      <c r="O369" s="110"/>
    </row>
    <row r="370" spans="1:15" ht="12" customHeight="1" x14ac:dyDescent="0.15">
      <c r="A370" s="110"/>
      <c r="B370" s="110"/>
      <c r="C370" s="110"/>
      <c r="D370" s="110"/>
      <c r="E370" s="110"/>
      <c r="F370" s="110"/>
      <c r="G370" s="110"/>
      <c r="H370" s="110"/>
      <c r="I370" s="110"/>
      <c r="J370" s="110"/>
      <c r="K370" s="110"/>
      <c r="L370" s="110"/>
      <c r="M370" s="110"/>
      <c r="N370" s="110"/>
      <c r="O370" s="110"/>
    </row>
    <row r="371" spans="1:15" ht="12" customHeight="1" x14ac:dyDescent="0.15">
      <c r="A371" s="110"/>
      <c r="B371" s="110"/>
      <c r="C371" s="110"/>
      <c r="D371" s="110"/>
      <c r="E371" s="110"/>
      <c r="F371" s="110"/>
      <c r="G371" s="110"/>
      <c r="H371" s="110"/>
      <c r="I371" s="110"/>
      <c r="J371" s="110"/>
      <c r="K371" s="110"/>
      <c r="L371" s="110"/>
      <c r="M371" s="110"/>
      <c r="N371" s="110"/>
      <c r="O371" s="110"/>
    </row>
    <row r="372" spans="1:15" ht="12" customHeight="1" x14ac:dyDescent="0.15">
      <c r="A372" s="110"/>
      <c r="B372" s="110"/>
      <c r="C372" s="110"/>
      <c r="D372" s="110"/>
      <c r="E372" s="110"/>
      <c r="F372" s="110"/>
      <c r="G372" s="110"/>
      <c r="H372" s="110"/>
      <c r="I372" s="110"/>
      <c r="J372" s="110"/>
      <c r="K372" s="110"/>
      <c r="L372" s="110"/>
      <c r="M372" s="110"/>
      <c r="N372" s="110"/>
      <c r="O372" s="110"/>
    </row>
    <row r="373" spans="1:15" ht="12" customHeight="1" x14ac:dyDescent="0.15">
      <c r="A373" s="110"/>
      <c r="B373" s="110"/>
      <c r="C373" s="110"/>
      <c r="D373" s="110"/>
      <c r="E373" s="110"/>
      <c r="F373" s="110"/>
      <c r="G373" s="110"/>
      <c r="H373" s="110"/>
      <c r="I373" s="110"/>
      <c r="J373" s="110"/>
      <c r="K373" s="110"/>
      <c r="L373" s="110"/>
      <c r="M373" s="110"/>
      <c r="N373" s="110"/>
      <c r="O373" s="110"/>
    </row>
    <row r="374" spans="1:15" ht="12" customHeight="1" x14ac:dyDescent="0.15">
      <c r="A374" s="110"/>
      <c r="B374" s="110"/>
      <c r="C374" s="110"/>
      <c r="D374" s="110"/>
      <c r="E374" s="110"/>
      <c r="F374" s="110"/>
      <c r="G374" s="110"/>
      <c r="H374" s="110"/>
      <c r="I374" s="110"/>
      <c r="J374" s="110"/>
      <c r="K374" s="110"/>
      <c r="L374" s="110"/>
      <c r="M374" s="110"/>
      <c r="N374" s="110"/>
      <c r="O374" s="110"/>
    </row>
    <row r="375" spans="1:15" ht="12" customHeight="1" x14ac:dyDescent="0.15">
      <c r="A375" s="110"/>
      <c r="B375" s="110"/>
      <c r="C375" s="110"/>
      <c r="D375" s="110"/>
      <c r="E375" s="110"/>
      <c r="F375" s="110"/>
      <c r="G375" s="110"/>
      <c r="H375" s="110"/>
      <c r="I375" s="110"/>
      <c r="J375" s="110"/>
      <c r="K375" s="110"/>
      <c r="L375" s="110"/>
      <c r="M375" s="110"/>
      <c r="N375" s="110"/>
      <c r="O375" s="110"/>
    </row>
    <row r="376" spans="1:15" ht="12" customHeight="1" x14ac:dyDescent="0.15">
      <c r="A376" s="110"/>
      <c r="B376" s="110"/>
      <c r="C376" s="110"/>
      <c r="D376" s="110"/>
      <c r="E376" s="110"/>
      <c r="F376" s="110"/>
      <c r="G376" s="110"/>
      <c r="H376" s="110"/>
      <c r="I376" s="110"/>
      <c r="J376" s="110"/>
      <c r="K376" s="110"/>
      <c r="L376" s="110"/>
      <c r="M376" s="110"/>
      <c r="N376" s="110"/>
      <c r="O376" s="110"/>
    </row>
    <row r="377" spans="1:15" ht="12" customHeight="1" x14ac:dyDescent="0.15">
      <c r="A377" s="110"/>
      <c r="B377" s="110"/>
      <c r="C377" s="110"/>
      <c r="D377" s="110"/>
      <c r="E377" s="110"/>
      <c r="F377" s="110"/>
      <c r="G377" s="110"/>
      <c r="H377" s="110"/>
      <c r="I377" s="110"/>
      <c r="J377" s="110"/>
      <c r="K377" s="110"/>
      <c r="L377" s="110"/>
      <c r="M377" s="110"/>
      <c r="N377" s="110"/>
      <c r="O377" s="110"/>
    </row>
    <row r="378" spans="1:15" ht="12" customHeight="1" x14ac:dyDescent="0.15">
      <c r="A378" s="110"/>
      <c r="B378" s="110"/>
      <c r="C378" s="110"/>
      <c r="D378" s="110"/>
      <c r="E378" s="110"/>
      <c r="F378" s="110"/>
      <c r="G378" s="110"/>
      <c r="H378" s="110"/>
      <c r="I378" s="110"/>
      <c r="J378" s="110"/>
      <c r="K378" s="110"/>
      <c r="L378" s="110"/>
      <c r="M378" s="110"/>
      <c r="N378" s="110"/>
      <c r="O378" s="110"/>
    </row>
    <row r="379" spans="1:15" ht="12" customHeight="1" x14ac:dyDescent="0.15">
      <c r="A379" s="110"/>
      <c r="B379" s="110"/>
      <c r="C379" s="110"/>
      <c r="D379" s="110"/>
      <c r="E379" s="110"/>
      <c r="F379" s="110"/>
      <c r="G379" s="110"/>
      <c r="H379" s="110"/>
      <c r="I379" s="110"/>
      <c r="J379" s="110"/>
      <c r="K379" s="110"/>
      <c r="L379" s="110"/>
      <c r="M379" s="110"/>
      <c r="N379" s="110"/>
      <c r="O379" s="110"/>
    </row>
    <row r="380" spans="1:15" ht="12" customHeight="1" x14ac:dyDescent="0.15">
      <c r="A380" s="110"/>
      <c r="B380" s="110"/>
      <c r="C380" s="110"/>
      <c r="D380" s="110"/>
      <c r="E380" s="110"/>
      <c r="F380" s="110"/>
      <c r="G380" s="110"/>
      <c r="H380" s="110"/>
      <c r="I380" s="110"/>
      <c r="J380" s="110"/>
      <c r="K380" s="110"/>
      <c r="L380" s="110"/>
      <c r="M380" s="110"/>
      <c r="N380" s="110"/>
      <c r="O380" s="110"/>
    </row>
    <row r="381" spans="1:15" ht="12" customHeight="1" x14ac:dyDescent="0.15">
      <c r="A381" s="110"/>
      <c r="B381" s="110"/>
      <c r="C381" s="110"/>
      <c r="D381" s="110"/>
      <c r="E381" s="110"/>
      <c r="F381" s="110"/>
      <c r="G381" s="110"/>
      <c r="H381" s="110"/>
      <c r="I381" s="110"/>
      <c r="J381" s="110"/>
      <c r="K381" s="110"/>
      <c r="L381" s="110"/>
      <c r="M381" s="110"/>
      <c r="N381" s="110"/>
      <c r="O381" s="110"/>
    </row>
    <row r="382" spans="1:15" ht="12" customHeight="1" x14ac:dyDescent="0.15">
      <c r="A382" s="110"/>
      <c r="B382" s="110"/>
      <c r="C382" s="110"/>
      <c r="D382" s="110"/>
      <c r="E382" s="110"/>
      <c r="F382" s="110"/>
      <c r="G382" s="110"/>
      <c r="H382" s="110"/>
      <c r="I382" s="110"/>
      <c r="J382" s="110"/>
      <c r="K382" s="110"/>
      <c r="L382" s="110"/>
      <c r="M382" s="110"/>
      <c r="N382" s="110"/>
      <c r="O382" s="110"/>
    </row>
    <row r="383" spans="1:15" ht="12" customHeight="1" x14ac:dyDescent="0.15">
      <c r="A383" s="110"/>
      <c r="B383" s="110"/>
      <c r="C383" s="110"/>
      <c r="D383" s="110"/>
      <c r="E383" s="110"/>
      <c r="F383" s="110"/>
      <c r="G383" s="110"/>
      <c r="H383" s="110"/>
      <c r="I383" s="110"/>
      <c r="J383" s="110"/>
      <c r="K383" s="110"/>
      <c r="L383" s="110"/>
      <c r="M383" s="110"/>
      <c r="N383" s="110"/>
      <c r="O383" s="110"/>
    </row>
    <row r="384" spans="1:15" ht="12" customHeight="1" x14ac:dyDescent="0.15">
      <c r="A384" s="110"/>
      <c r="B384" s="110"/>
      <c r="C384" s="110"/>
      <c r="D384" s="110"/>
      <c r="E384" s="110"/>
      <c r="F384" s="110"/>
      <c r="G384" s="110"/>
      <c r="H384" s="110"/>
      <c r="I384" s="110"/>
      <c r="J384" s="110"/>
      <c r="K384" s="110"/>
      <c r="L384" s="110"/>
      <c r="M384" s="110"/>
      <c r="N384" s="110"/>
      <c r="O384" s="110"/>
    </row>
    <row r="385" spans="1:15" ht="12" customHeight="1" x14ac:dyDescent="0.15">
      <c r="A385" s="110"/>
      <c r="B385" s="110"/>
      <c r="C385" s="110"/>
      <c r="D385" s="110"/>
      <c r="E385" s="110"/>
      <c r="F385" s="110"/>
      <c r="G385" s="110"/>
      <c r="H385" s="110"/>
      <c r="I385" s="110"/>
      <c r="J385" s="110"/>
      <c r="K385" s="110"/>
      <c r="L385" s="110"/>
      <c r="M385" s="110"/>
      <c r="N385" s="110"/>
      <c r="O385" s="110"/>
    </row>
    <row r="386" spans="1:15" ht="12" customHeight="1" x14ac:dyDescent="0.15">
      <c r="A386" s="110"/>
      <c r="B386" s="110"/>
      <c r="C386" s="110"/>
      <c r="D386" s="110"/>
      <c r="E386" s="110"/>
      <c r="F386" s="110"/>
      <c r="G386" s="110"/>
      <c r="H386" s="110"/>
      <c r="I386" s="110"/>
      <c r="J386" s="110"/>
      <c r="K386" s="110"/>
      <c r="L386" s="110"/>
      <c r="M386" s="110"/>
      <c r="N386" s="110"/>
      <c r="O386" s="110"/>
    </row>
    <row r="387" spans="1:15" ht="12" customHeight="1" x14ac:dyDescent="0.15">
      <c r="A387" s="110"/>
      <c r="B387" s="110"/>
      <c r="C387" s="110"/>
      <c r="D387" s="110"/>
      <c r="E387" s="110"/>
      <c r="F387" s="110"/>
      <c r="G387" s="110"/>
      <c r="H387" s="110"/>
      <c r="I387" s="110"/>
      <c r="J387" s="110"/>
      <c r="K387" s="110"/>
      <c r="L387" s="110"/>
      <c r="M387" s="110"/>
      <c r="N387" s="110"/>
      <c r="O387" s="110"/>
    </row>
    <row r="388" spans="1:15" ht="12" customHeight="1" x14ac:dyDescent="0.15">
      <c r="A388" s="110"/>
      <c r="B388" s="110"/>
      <c r="C388" s="110"/>
      <c r="D388" s="110"/>
      <c r="E388" s="110"/>
      <c r="F388" s="110"/>
      <c r="G388" s="110"/>
      <c r="H388" s="110"/>
      <c r="I388" s="110"/>
      <c r="J388" s="110"/>
      <c r="K388" s="110"/>
      <c r="L388" s="110"/>
      <c r="M388" s="110"/>
      <c r="N388" s="110"/>
      <c r="O388" s="110"/>
    </row>
    <row r="389" spans="1:15" ht="12" customHeight="1" x14ac:dyDescent="0.15">
      <c r="A389" s="110"/>
      <c r="B389" s="110"/>
      <c r="C389" s="110"/>
      <c r="D389" s="110"/>
      <c r="E389" s="110"/>
      <c r="F389" s="110"/>
      <c r="G389" s="110"/>
      <c r="H389" s="110"/>
      <c r="I389" s="110"/>
      <c r="J389" s="110"/>
      <c r="K389" s="110"/>
      <c r="L389" s="110"/>
      <c r="M389" s="110"/>
      <c r="N389" s="110"/>
      <c r="O389" s="110"/>
    </row>
    <row r="390" spans="1:15" ht="12" customHeight="1" x14ac:dyDescent="0.15">
      <c r="A390" s="110"/>
      <c r="B390" s="110"/>
      <c r="C390" s="110"/>
      <c r="D390" s="110"/>
      <c r="E390" s="110"/>
      <c r="F390" s="110"/>
      <c r="G390" s="110"/>
      <c r="H390" s="110"/>
      <c r="I390" s="110"/>
      <c r="J390" s="110"/>
      <c r="K390" s="110"/>
      <c r="L390" s="110"/>
      <c r="M390" s="110"/>
      <c r="N390" s="110"/>
      <c r="O390" s="110"/>
    </row>
    <row r="391" spans="1:15" ht="12" customHeight="1" x14ac:dyDescent="0.15">
      <c r="A391" s="110"/>
      <c r="B391" s="110"/>
      <c r="C391" s="110"/>
      <c r="D391" s="110"/>
      <c r="E391" s="110"/>
      <c r="F391" s="110"/>
      <c r="G391" s="110"/>
      <c r="H391" s="110"/>
      <c r="I391" s="110"/>
      <c r="J391" s="110"/>
      <c r="K391" s="110"/>
      <c r="L391" s="110"/>
      <c r="M391" s="110"/>
      <c r="N391" s="110"/>
      <c r="O391" s="110"/>
    </row>
    <row r="392" spans="1:15" ht="12" customHeight="1" x14ac:dyDescent="0.15">
      <c r="A392" s="110"/>
      <c r="B392" s="110"/>
      <c r="C392" s="110"/>
      <c r="D392" s="110"/>
      <c r="E392" s="110"/>
      <c r="F392" s="110"/>
      <c r="G392" s="110"/>
      <c r="H392" s="110"/>
      <c r="I392" s="110"/>
      <c r="J392" s="110"/>
      <c r="K392" s="110"/>
      <c r="L392" s="110"/>
      <c r="M392" s="110"/>
      <c r="N392" s="110"/>
      <c r="O392" s="110"/>
    </row>
    <row r="393" spans="1:15" ht="12" customHeight="1" x14ac:dyDescent="0.15">
      <c r="A393" s="110"/>
      <c r="B393" s="110"/>
      <c r="C393" s="110"/>
      <c r="D393" s="110"/>
      <c r="E393" s="110"/>
      <c r="F393" s="110"/>
      <c r="G393" s="110"/>
      <c r="H393" s="110"/>
      <c r="I393" s="110"/>
      <c r="J393" s="110"/>
      <c r="K393" s="110"/>
      <c r="L393" s="110"/>
      <c r="M393" s="110"/>
      <c r="N393" s="110"/>
      <c r="O393" s="110"/>
    </row>
    <row r="394" spans="1:15" ht="12" customHeight="1" x14ac:dyDescent="0.15">
      <c r="A394" s="110"/>
      <c r="B394" s="110"/>
      <c r="C394" s="110"/>
      <c r="D394" s="110"/>
      <c r="E394" s="110"/>
      <c r="F394" s="110"/>
      <c r="G394" s="110"/>
      <c r="H394" s="110"/>
      <c r="I394" s="110"/>
      <c r="J394" s="110"/>
      <c r="K394" s="110"/>
      <c r="L394" s="110"/>
      <c r="M394" s="110"/>
      <c r="N394" s="110"/>
      <c r="O394" s="110"/>
    </row>
    <row r="395" spans="1:15" ht="12" customHeight="1" x14ac:dyDescent="0.15">
      <c r="A395" s="110"/>
      <c r="B395" s="110"/>
      <c r="C395" s="110"/>
      <c r="D395" s="110"/>
      <c r="E395" s="110"/>
      <c r="F395" s="110"/>
      <c r="G395" s="110"/>
      <c r="H395" s="110"/>
      <c r="I395" s="110"/>
      <c r="J395" s="110"/>
      <c r="K395" s="110"/>
      <c r="L395" s="110"/>
      <c r="M395" s="110"/>
      <c r="N395" s="110"/>
      <c r="O395" s="110"/>
    </row>
    <row r="396" spans="1:15" ht="12" customHeight="1" x14ac:dyDescent="0.15">
      <c r="A396" s="110"/>
      <c r="B396" s="110"/>
      <c r="C396" s="110"/>
      <c r="D396" s="110"/>
      <c r="E396" s="110"/>
      <c r="F396" s="110"/>
      <c r="G396" s="110"/>
      <c r="H396" s="110"/>
      <c r="I396" s="110"/>
      <c r="J396" s="110"/>
      <c r="K396" s="110"/>
      <c r="L396" s="110"/>
      <c r="M396" s="110"/>
      <c r="N396" s="110"/>
      <c r="O396" s="110"/>
    </row>
    <row r="397" spans="1:15" ht="12" customHeight="1" x14ac:dyDescent="0.15">
      <c r="A397" s="110"/>
      <c r="B397" s="110"/>
      <c r="C397" s="110"/>
      <c r="D397" s="110"/>
      <c r="E397" s="110"/>
      <c r="F397" s="110"/>
      <c r="G397" s="110"/>
      <c r="H397" s="110"/>
      <c r="I397" s="110"/>
      <c r="J397" s="110"/>
      <c r="K397" s="110"/>
      <c r="L397" s="110"/>
      <c r="M397" s="110"/>
      <c r="N397" s="110"/>
      <c r="O397" s="110"/>
    </row>
    <row r="398" spans="1:15" ht="12" customHeight="1" x14ac:dyDescent="0.15">
      <c r="A398" s="110"/>
      <c r="B398" s="110"/>
      <c r="C398" s="110"/>
      <c r="D398" s="110"/>
      <c r="E398" s="110"/>
      <c r="F398" s="110"/>
      <c r="G398" s="110"/>
      <c r="H398" s="110"/>
      <c r="I398" s="110"/>
      <c r="J398" s="110"/>
      <c r="K398" s="110"/>
      <c r="L398" s="110"/>
      <c r="M398" s="110"/>
      <c r="N398" s="110"/>
      <c r="O398" s="110"/>
    </row>
    <row r="399" spans="1:15" ht="12" customHeight="1" x14ac:dyDescent="0.15">
      <c r="A399" s="110"/>
      <c r="B399" s="110"/>
      <c r="C399" s="110"/>
      <c r="D399" s="110"/>
      <c r="E399" s="110"/>
      <c r="F399" s="110"/>
      <c r="G399" s="110"/>
      <c r="H399" s="110"/>
      <c r="I399" s="110"/>
      <c r="J399" s="110"/>
      <c r="K399" s="110"/>
      <c r="L399" s="110"/>
      <c r="M399" s="110"/>
      <c r="N399" s="110"/>
      <c r="O399" s="110"/>
    </row>
    <row r="400" spans="1:15" ht="12" customHeight="1" x14ac:dyDescent="0.15">
      <c r="A400" s="110"/>
      <c r="B400" s="110"/>
      <c r="C400" s="110"/>
      <c r="D400" s="110"/>
      <c r="E400" s="110"/>
      <c r="F400" s="110"/>
      <c r="G400" s="110"/>
      <c r="H400" s="110"/>
      <c r="I400" s="110"/>
      <c r="J400" s="110"/>
      <c r="K400" s="110"/>
      <c r="L400" s="110"/>
      <c r="M400" s="110"/>
      <c r="N400" s="110"/>
      <c r="O400" s="110"/>
    </row>
    <row r="401" spans="1:15" ht="12" customHeight="1" x14ac:dyDescent="0.15">
      <c r="A401" s="110"/>
      <c r="B401" s="110"/>
      <c r="C401" s="110"/>
      <c r="D401" s="110"/>
      <c r="E401" s="110"/>
      <c r="F401" s="110"/>
      <c r="G401" s="110"/>
      <c r="H401" s="110"/>
      <c r="I401" s="110"/>
      <c r="J401" s="110"/>
      <c r="K401" s="110"/>
      <c r="L401" s="110"/>
      <c r="M401" s="110"/>
      <c r="N401" s="110"/>
      <c r="O401" s="110"/>
    </row>
    <row r="402" spans="1:15" ht="12" customHeight="1" x14ac:dyDescent="0.15">
      <c r="A402" s="110"/>
      <c r="B402" s="110"/>
      <c r="C402" s="110"/>
      <c r="D402" s="110"/>
      <c r="E402" s="110"/>
      <c r="F402" s="110"/>
      <c r="G402" s="110"/>
      <c r="H402" s="110"/>
      <c r="I402" s="110"/>
      <c r="J402" s="110"/>
      <c r="K402" s="110"/>
      <c r="L402" s="110"/>
      <c r="M402" s="110"/>
      <c r="N402" s="110"/>
      <c r="O402" s="110"/>
    </row>
    <row r="403" spans="1:15" ht="12" customHeight="1" x14ac:dyDescent="0.15">
      <c r="A403" s="110"/>
      <c r="B403" s="110"/>
      <c r="C403" s="110"/>
      <c r="D403" s="110"/>
      <c r="E403" s="110"/>
      <c r="F403" s="110"/>
      <c r="G403" s="110"/>
      <c r="H403" s="110"/>
      <c r="I403" s="110"/>
      <c r="J403" s="110"/>
      <c r="K403" s="110"/>
      <c r="L403" s="110"/>
      <c r="M403" s="110"/>
      <c r="N403" s="110"/>
      <c r="O403" s="110"/>
    </row>
    <row r="404" spans="1:15" ht="12" customHeight="1" x14ac:dyDescent="0.15">
      <c r="A404" s="110"/>
      <c r="B404" s="110"/>
      <c r="C404" s="110"/>
      <c r="D404" s="110"/>
      <c r="E404" s="110"/>
      <c r="F404" s="110"/>
      <c r="G404" s="110"/>
      <c r="H404" s="110"/>
      <c r="I404" s="110"/>
      <c r="J404" s="110"/>
      <c r="K404" s="110"/>
      <c r="L404" s="110"/>
      <c r="M404" s="110"/>
      <c r="N404" s="110"/>
      <c r="O404" s="110"/>
    </row>
    <row r="405" spans="1:15" ht="12" customHeight="1" x14ac:dyDescent="0.15">
      <c r="A405" s="110"/>
      <c r="B405" s="110"/>
      <c r="C405" s="110"/>
      <c r="D405" s="110"/>
      <c r="E405" s="110"/>
      <c r="F405" s="110"/>
      <c r="G405" s="110"/>
      <c r="H405" s="110"/>
      <c r="I405" s="110"/>
      <c r="J405" s="110"/>
      <c r="K405" s="110"/>
      <c r="L405" s="110"/>
      <c r="M405" s="110"/>
      <c r="N405" s="110"/>
      <c r="O405" s="110"/>
    </row>
    <row r="406" spans="1:15" ht="12" customHeight="1" x14ac:dyDescent="0.15">
      <c r="A406" s="110"/>
      <c r="B406" s="110"/>
      <c r="C406" s="110"/>
      <c r="D406" s="110"/>
      <c r="E406" s="110"/>
      <c r="F406" s="110"/>
      <c r="G406" s="110"/>
      <c r="H406" s="110"/>
      <c r="I406" s="110"/>
      <c r="J406" s="110"/>
      <c r="K406" s="110"/>
      <c r="L406" s="110"/>
      <c r="M406" s="110"/>
      <c r="N406" s="110"/>
      <c r="O406" s="110"/>
    </row>
    <row r="407" spans="1:15" ht="12" customHeight="1" x14ac:dyDescent="0.15">
      <c r="A407" s="110"/>
      <c r="B407" s="110"/>
      <c r="C407" s="110"/>
      <c r="D407" s="110"/>
      <c r="E407" s="110"/>
      <c r="F407" s="110"/>
      <c r="G407" s="110"/>
      <c r="H407" s="110"/>
      <c r="I407" s="110"/>
      <c r="J407" s="110"/>
      <c r="K407" s="110"/>
      <c r="L407" s="110"/>
      <c r="M407" s="110"/>
      <c r="N407" s="110"/>
      <c r="O407" s="110"/>
    </row>
    <row r="408" spans="1:15" ht="12" customHeight="1" x14ac:dyDescent="0.15">
      <c r="A408" s="110"/>
      <c r="B408" s="110"/>
      <c r="C408" s="110"/>
      <c r="D408" s="110"/>
      <c r="E408" s="110"/>
      <c r="F408" s="110"/>
      <c r="G408" s="110"/>
      <c r="H408" s="110"/>
      <c r="I408" s="110"/>
      <c r="J408" s="110"/>
      <c r="K408" s="110"/>
      <c r="L408" s="110"/>
      <c r="M408" s="110"/>
      <c r="N408" s="110"/>
      <c r="O408" s="110"/>
    </row>
    <row r="409" spans="1:15" ht="12" customHeight="1" x14ac:dyDescent="0.15">
      <c r="A409" s="110"/>
      <c r="B409" s="110"/>
      <c r="C409" s="110"/>
      <c r="D409" s="110"/>
      <c r="E409" s="110"/>
      <c r="F409" s="110"/>
      <c r="G409" s="110"/>
      <c r="H409" s="110"/>
      <c r="I409" s="110"/>
      <c r="J409" s="110"/>
      <c r="K409" s="110"/>
      <c r="L409" s="110"/>
      <c r="M409" s="110"/>
      <c r="N409" s="110"/>
      <c r="O409" s="110"/>
    </row>
    <row r="410" spans="1:15" ht="12" customHeight="1" x14ac:dyDescent="0.15">
      <c r="A410" s="110"/>
      <c r="B410" s="110"/>
      <c r="C410" s="110"/>
      <c r="D410" s="110"/>
      <c r="E410" s="110"/>
      <c r="F410" s="110"/>
      <c r="G410" s="110"/>
      <c r="H410" s="110"/>
      <c r="I410" s="110"/>
      <c r="J410" s="110"/>
      <c r="K410" s="110"/>
      <c r="L410" s="110"/>
      <c r="M410" s="110"/>
      <c r="N410" s="110"/>
      <c r="O410" s="110"/>
    </row>
    <row r="411" spans="1:15" ht="12" customHeight="1" x14ac:dyDescent="0.15">
      <c r="A411" s="110"/>
      <c r="B411" s="110"/>
      <c r="C411" s="110"/>
      <c r="D411" s="110"/>
      <c r="E411" s="110"/>
      <c r="F411" s="110"/>
      <c r="G411" s="110"/>
      <c r="H411" s="110"/>
      <c r="I411" s="110"/>
      <c r="J411" s="110"/>
      <c r="K411" s="110"/>
      <c r="L411" s="110"/>
      <c r="M411" s="110"/>
      <c r="N411" s="110"/>
      <c r="O411" s="110"/>
    </row>
    <row r="412" spans="1:15" ht="12" customHeight="1" x14ac:dyDescent="0.15">
      <c r="A412" s="110"/>
      <c r="B412" s="110"/>
      <c r="C412" s="110"/>
      <c r="D412" s="110"/>
      <c r="E412" s="110"/>
      <c r="F412" s="110"/>
      <c r="G412" s="110"/>
      <c r="H412" s="110"/>
      <c r="I412" s="110"/>
      <c r="J412" s="110"/>
      <c r="K412" s="110"/>
      <c r="L412" s="110"/>
      <c r="M412" s="110"/>
      <c r="N412" s="110"/>
      <c r="O412" s="110"/>
    </row>
    <row r="413" spans="1:15" ht="12" customHeight="1" x14ac:dyDescent="0.15">
      <c r="A413" s="110"/>
      <c r="B413" s="110"/>
      <c r="C413" s="110"/>
      <c r="D413" s="110"/>
      <c r="E413" s="110"/>
      <c r="F413" s="110"/>
      <c r="G413" s="110"/>
      <c r="H413" s="110"/>
      <c r="I413" s="110"/>
      <c r="J413" s="110"/>
      <c r="K413" s="110"/>
      <c r="L413" s="110"/>
      <c r="M413" s="110"/>
      <c r="N413" s="110"/>
      <c r="O413" s="110"/>
    </row>
    <row r="414" spans="1:15" ht="12" customHeight="1" x14ac:dyDescent="0.15">
      <c r="A414" s="110"/>
      <c r="B414" s="110"/>
      <c r="C414" s="110"/>
      <c r="D414" s="110"/>
      <c r="E414" s="110"/>
      <c r="F414" s="110"/>
      <c r="G414" s="110"/>
      <c r="H414" s="110"/>
      <c r="I414" s="110"/>
      <c r="J414" s="110"/>
      <c r="K414" s="110"/>
      <c r="L414" s="110"/>
      <c r="M414" s="110"/>
      <c r="N414" s="110"/>
      <c r="O414" s="110"/>
    </row>
    <row r="415" spans="1:15" ht="12" customHeight="1" x14ac:dyDescent="0.15">
      <c r="A415" s="110"/>
      <c r="B415" s="110"/>
      <c r="C415" s="110"/>
      <c r="D415" s="110"/>
      <c r="E415" s="110"/>
      <c r="F415" s="110"/>
      <c r="G415" s="110"/>
      <c r="H415" s="110"/>
      <c r="I415" s="110"/>
      <c r="J415" s="110"/>
      <c r="K415" s="110"/>
      <c r="L415" s="110"/>
      <c r="M415" s="110"/>
      <c r="N415" s="110"/>
      <c r="O415" s="110"/>
    </row>
    <row r="416" spans="1:15" ht="12" customHeight="1" x14ac:dyDescent="0.15">
      <c r="A416" s="110"/>
      <c r="B416" s="110"/>
      <c r="C416" s="110"/>
      <c r="D416" s="110"/>
      <c r="E416" s="110"/>
      <c r="F416" s="110"/>
      <c r="G416" s="110"/>
      <c r="H416" s="110"/>
      <c r="I416" s="110"/>
      <c r="J416" s="110"/>
      <c r="K416" s="110"/>
      <c r="L416" s="110"/>
      <c r="M416" s="110"/>
      <c r="N416" s="110"/>
      <c r="O416" s="110"/>
    </row>
    <row r="417" spans="1:15" ht="12" customHeight="1" x14ac:dyDescent="0.15">
      <c r="A417" s="110"/>
      <c r="B417" s="110"/>
      <c r="C417" s="110"/>
      <c r="D417" s="110"/>
      <c r="E417" s="110"/>
      <c r="F417" s="110"/>
      <c r="G417" s="110"/>
      <c r="H417" s="110"/>
      <c r="I417" s="110"/>
      <c r="J417" s="110"/>
      <c r="K417" s="110"/>
      <c r="L417" s="110"/>
      <c r="M417" s="110"/>
      <c r="N417" s="110"/>
      <c r="O417" s="110"/>
    </row>
    <row r="418" spans="1:15" ht="12" customHeight="1" x14ac:dyDescent="0.15">
      <c r="A418" s="110"/>
      <c r="B418" s="110"/>
      <c r="C418" s="110"/>
      <c r="D418" s="110"/>
      <c r="E418" s="110"/>
      <c r="F418" s="110"/>
      <c r="G418" s="110"/>
      <c r="H418" s="110"/>
      <c r="I418" s="110"/>
      <c r="J418" s="110"/>
      <c r="K418" s="110"/>
      <c r="L418" s="110"/>
      <c r="M418" s="110"/>
      <c r="N418" s="110"/>
      <c r="O418" s="110"/>
    </row>
    <row r="419" spans="1:15" ht="12" customHeight="1" x14ac:dyDescent="0.15">
      <c r="A419" s="110"/>
      <c r="B419" s="110"/>
      <c r="C419" s="110"/>
      <c r="D419" s="110"/>
      <c r="E419" s="110"/>
      <c r="F419" s="110"/>
      <c r="G419" s="110"/>
      <c r="H419" s="110"/>
      <c r="I419" s="110"/>
      <c r="J419" s="110"/>
      <c r="K419" s="110"/>
      <c r="L419" s="110"/>
      <c r="M419" s="110"/>
      <c r="N419" s="110"/>
      <c r="O419" s="110"/>
    </row>
    <row r="420" spans="1:15" ht="12" customHeight="1" x14ac:dyDescent="0.15">
      <c r="A420" s="110"/>
      <c r="B420" s="110"/>
      <c r="C420" s="110"/>
      <c r="D420" s="110"/>
      <c r="E420" s="110"/>
      <c r="F420" s="110"/>
      <c r="G420" s="110"/>
      <c r="H420" s="110"/>
      <c r="I420" s="110"/>
      <c r="J420" s="110"/>
      <c r="K420" s="110"/>
      <c r="L420" s="110"/>
      <c r="M420" s="110"/>
      <c r="N420" s="110"/>
      <c r="O420" s="110"/>
    </row>
    <row r="421" spans="1:15" ht="12" customHeight="1" x14ac:dyDescent="0.15">
      <c r="A421" s="110"/>
      <c r="B421" s="110"/>
      <c r="C421" s="110"/>
      <c r="D421" s="110"/>
      <c r="E421" s="110"/>
      <c r="F421" s="110"/>
      <c r="G421" s="110"/>
      <c r="H421" s="110"/>
      <c r="I421" s="110"/>
      <c r="J421" s="110"/>
      <c r="K421" s="110"/>
      <c r="L421" s="110"/>
      <c r="M421" s="110"/>
      <c r="N421" s="110"/>
      <c r="O421" s="110"/>
    </row>
    <row r="422" spans="1:15" ht="12" customHeight="1" x14ac:dyDescent="0.15">
      <c r="A422" s="110"/>
      <c r="B422" s="110"/>
      <c r="C422" s="110"/>
      <c r="D422" s="110"/>
      <c r="E422" s="110"/>
      <c r="F422" s="110"/>
      <c r="G422" s="110"/>
      <c r="H422" s="110"/>
      <c r="I422" s="110"/>
      <c r="J422" s="110"/>
      <c r="K422" s="110"/>
      <c r="L422" s="110"/>
      <c r="M422" s="110"/>
      <c r="N422" s="110"/>
      <c r="O422" s="110"/>
    </row>
    <row r="423" spans="1:15" ht="12" customHeight="1" x14ac:dyDescent="0.15">
      <c r="A423" s="110"/>
      <c r="B423" s="110"/>
      <c r="C423" s="110"/>
      <c r="D423" s="110"/>
      <c r="E423" s="110"/>
      <c r="F423" s="110"/>
      <c r="G423" s="110"/>
      <c r="H423" s="110"/>
      <c r="I423" s="110"/>
      <c r="J423" s="110"/>
      <c r="K423" s="110"/>
      <c r="L423" s="110"/>
      <c r="M423" s="110"/>
      <c r="N423" s="110"/>
      <c r="O423" s="110"/>
    </row>
    <row r="424" spans="1:15" ht="12" customHeight="1" x14ac:dyDescent="0.15">
      <c r="A424" s="110"/>
      <c r="B424" s="110"/>
      <c r="C424" s="110"/>
      <c r="D424" s="110"/>
      <c r="E424" s="110"/>
      <c r="F424" s="110"/>
      <c r="G424" s="110"/>
      <c r="H424" s="110"/>
      <c r="I424" s="110"/>
      <c r="J424" s="110"/>
      <c r="K424" s="110"/>
      <c r="L424" s="110"/>
      <c r="M424" s="110"/>
      <c r="N424" s="110"/>
      <c r="O424" s="110"/>
    </row>
    <row r="425" spans="1:15" ht="12" customHeight="1" x14ac:dyDescent="0.15">
      <c r="A425" s="110"/>
      <c r="B425" s="110"/>
      <c r="C425" s="110"/>
      <c r="D425" s="110"/>
      <c r="E425" s="110"/>
      <c r="F425" s="110"/>
      <c r="G425" s="110"/>
      <c r="H425" s="110"/>
      <c r="I425" s="110"/>
      <c r="J425" s="110"/>
      <c r="K425" s="110"/>
      <c r="L425" s="110"/>
      <c r="M425" s="110"/>
      <c r="N425" s="110"/>
      <c r="O425" s="110"/>
    </row>
    <row r="426" spans="1:15" ht="12" customHeight="1" x14ac:dyDescent="0.15">
      <c r="A426" s="110"/>
      <c r="B426" s="110"/>
      <c r="C426" s="110"/>
      <c r="D426" s="110"/>
      <c r="E426" s="110"/>
      <c r="F426" s="110"/>
      <c r="G426" s="110"/>
      <c r="H426" s="110"/>
      <c r="I426" s="110"/>
      <c r="J426" s="110"/>
      <c r="K426" s="110"/>
      <c r="L426" s="110"/>
      <c r="M426" s="110"/>
      <c r="N426" s="110"/>
      <c r="O426" s="110"/>
    </row>
    <row r="427" spans="1:15" ht="12" customHeight="1" x14ac:dyDescent="0.15">
      <c r="A427" s="110"/>
      <c r="B427" s="110"/>
      <c r="C427" s="110"/>
      <c r="D427" s="110"/>
      <c r="E427" s="110"/>
      <c r="F427" s="110"/>
      <c r="G427" s="110"/>
      <c r="H427" s="110"/>
      <c r="I427" s="110"/>
      <c r="J427" s="110"/>
      <c r="K427" s="110"/>
      <c r="L427" s="110"/>
      <c r="M427" s="110"/>
      <c r="N427" s="110"/>
      <c r="O427" s="110"/>
    </row>
    <row r="428" spans="1:15" ht="12" customHeight="1" x14ac:dyDescent="0.15">
      <c r="A428" s="110"/>
      <c r="B428" s="110"/>
      <c r="C428" s="110"/>
      <c r="D428" s="110"/>
      <c r="E428" s="110"/>
      <c r="F428" s="110"/>
      <c r="G428" s="110"/>
      <c r="H428" s="110"/>
      <c r="I428" s="110"/>
      <c r="J428" s="110"/>
      <c r="K428" s="110"/>
      <c r="L428" s="110"/>
      <c r="M428" s="110"/>
      <c r="N428" s="110"/>
      <c r="O428" s="110"/>
    </row>
    <row r="429" spans="1:15" ht="12" customHeight="1" x14ac:dyDescent="0.15">
      <c r="A429" s="110"/>
      <c r="B429" s="110"/>
      <c r="C429" s="110"/>
      <c r="D429" s="110"/>
      <c r="E429" s="110"/>
      <c r="F429" s="110"/>
      <c r="G429" s="110"/>
      <c r="H429" s="110"/>
      <c r="I429" s="110"/>
      <c r="J429" s="110"/>
      <c r="K429" s="110"/>
      <c r="L429" s="110"/>
      <c r="M429" s="110"/>
      <c r="N429" s="110"/>
      <c r="O429" s="110"/>
    </row>
    <row r="430" spans="1:15" ht="12" customHeight="1" x14ac:dyDescent="0.15">
      <c r="A430" s="110"/>
      <c r="B430" s="110"/>
      <c r="C430" s="110"/>
      <c r="D430" s="110"/>
      <c r="E430" s="110"/>
      <c r="F430" s="110"/>
      <c r="G430" s="110"/>
      <c r="H430" s="110"/>
      <c r="I430" s="110"/>
      <c r="J430" s="110"/>
      <c r="K430" s="110"/>
      <c r="L430" s="110"/>
      <c r="M430" s="110"/>
      <c r="N430" s="110"/>
      <c r="O430" s="110"/>
    </row>
    <row r="431" spans="1:15" ht="12" customHeight="1" x14ac:dyDescent="0.15">
      <c r="A431" s="110"/>
      <c r="B431" s="110"/>
      <c r="C431" s="110"/>
      <c r="D431" s="110"/>
      <c r="E431" s="110"/>
      <c r="F431" s="110"/>
      <c r="G431" s="110"/>
      <c r="H431" s="110"/>
      <c r="I431" s="110"/>
      <c r="J431" s="110"/>
      <c r="K431" s="110"/>
      <c r="L431" s="110"/>
      <c r="M431" s="110"/>
      <c r="N431" s="110"/>
      <c r="O431" s="110"/>
    </row>
    <row r="432" spans="1:15" ht="12" customHeight="1" x14ac:dyDescent="0.15">
      <c r="A432" s="110"/>
      <c r="B432" s="110"/>
      <c r="C432" s="110"/>
      <c r="D432" s="110"/>
      <c r="E432" s="110"/>
      <c r="F432" s="110"/>
      <c r="G432" s="110"/>
      <c r="H432" s="110"/>
      <c r="I432" s="110"/>
      <c r="J432" s="110"/>
      <c r="K432" s="110"/>
      <c r="L432" s="110"/>
      <c r="M432" s="110"/>
      <c r="N432" s="110"/>
      <c r="O432" s="110"/>
    </row>
    <row r="433" spans="1:15" ht="12" customHeight="1" x14ac:dyDescent="0.15">
      <c r="A433" s="110"/>
      <c r="B433" s="110"/>
      <c r="C433" s="110"/>
      <c r="D433" s="110"/>
      <c r="E433" s="110"/>
      <c r="F433" s="110"/>
      <c r="G433" s="110"/>
      <c r="H433" s="110"/>
      <c r="I433" s="110"/>
      <c r="J433" s="110"/>
      <c r="K433" s="110"/>
      <c r="L433" s="110"/>
      <c r="M433" s="110"/>
      <c r="N433" s="110"/>
      <c r="O433" s="110"/>
    </row>
    <row r="434" spans="1:15" ht="12" customHeight="1" x14ac:dyDescent="0.15">
      <c r="A434" s="110"/>
      <c r="B434" s="110"/>
      <c r="C434" s="110"/>
      <c r="D434" s="110"/>
      <c r="E434" s="110"/>
      <c r="F434" s="110"/>
      <c r="G434" s="110"/>
      <c r="H434" s="110"/>
      <c r="I434" s="110"/>
      <c r="J434" s="110"/>
      <c r="K434" s="110"/>
      <c r="L434" s="110"/>
      <c r="M434" s="110"/>
      <c r="N434" s="110"/>
      <c r="O434" s="110"/>
    </row>
    <row r="435" spans="1:15" ht="12" customHeight="1" x14ac:dyDescent="0.15">
      <c r="A435" s="110"/>
      <c r="B435" s="110"/>
      <c r="C435" s="110"/>
      <c r="D435" s="110"/>
      <c r="E435" s="110"/>
      <c r="F435" s="110"/>
      <c r="G435" s="110"/>
      <c r="H435" s="110"/>
      <c r="I435" s="110"/>
      <c r="J435" s="110"/>
      <c r="K435" s="110"/>
      <c r="L435" s="110"/>
      <c r="M435" s="110"/>
      <c r="N435" s="110"/>
      <c r="O435" s="110"/>
    </row>
    <row r="436" spans="1:15" ht="12" customHeight="1" x14ac:dyDescent="0.15">
      <c r="A436" s="110"/>
      <c r="B436" s="110"/>
      <c r="C436" s="110"/>
      <c r="D436" s="110"/>
      <c r="E436" s="110"/>
      <c r="F436" s="110"/>
      <c r="G436" s="110"/>
      <c r="H436" s="110"/>
      <c r="I436" s="110"/>
      <c r="J436" s="110"/>
      <c r="K436" s="110"/>
      <c r="L436" s="110"/>
      <c r="M436" s="110"/>
      <c r="N436" s="110"/>
      <c r="O436" s="110"/>
    </row>
    <row r="437" spans="1:15" ht="12" customHeight="1" x14ac:dyDescent="0.15">
      <c r="A437" s="110"/>
      <c r="B437" s="110"/>
      <c r="C437" s="110"/>
      <c r="D437" s="110"/>
      <c r="E437" s="110"/>
      <c r="F437" s="110"/>
      <c r="G437" s="110"/>
      <c r="H437" s="110"/>
      <c r="I437" s="110"/>
      <c r="J437" s="110"/>
      <c r="K437" s="110"/>
      <c r="L437" s="110"/>
      <c r="M437" s="110"/>
      <c r="N437" s="110"/>
      <c r="O437" s="110"/>
    </row>
    <row r="438" spans="1:15" ht="12" customHeight="1" x14ac:dyDescent="0.15">
      <c r="A438" s="110"/>
      <c r="B438" s="110"/>
      <c r="C438" s="110"/>
      <c r="D438" s="110"/>
      <c r="E438" s="110"/>
      <c r="F438" s="110"/>
      <c r="G438" s="110"/>
      <c r="H438" s="110"/>
      <c r="I438" s="110"/>
      <c r="J438" s="110"/>
      <c r="K438" s="110"/>
      <c r="L438" s="110"/>
      <c r="M438" s="110"/>
      <c r="N438" s="110"/>
      <c r="O438" s="110"/>
    </row>
    <row r="439" spans="1:15" ht="12" customHeight="1" x14ac:dyDescent="0.15">
      <c r="A439" s="110"/>
      <c r="B439" s="110"/>
      <c r="C439" s="110"/>
      <c r="D439" s="110"/>
      <c r="E439" s="110"/>
      <c r="F439" s="110"/>
      <c r="G439" s="110"/>
      <c r="H439" s="110"/>
      <c r="I439" s="110"/>
      <c r="J439" s="110"/>
      <c r="K439" s="110"/>
      <c r="L439" s="110"/>
      <c r="M439" s="110"/>
      <c r="N439" s="110"/>
      <c r="O439" s="110"/>
    </row>
    <row r="440" spans="1:15" ht="12" customHeight="1" x14ac:dyDescent="0.15">
      <c r="A440" s="110"/>
      <c r="B440" s="110"/>
      <c r="C440" s="110"/>
      <c r="D440" s="110"/>
      <c r="E440" s="110"/>
      <c r="F440" s="110"/>
      <c r="G440" s="110"/>
      <c r="H440" s="110"/>
      <c r="I440" s="110"/>
      <c r="J440" s="110"/>
      <c r="K440" s="110"/>
      <c r="L440" s="110"/>
      <c r="M440" s="110"/>
      <c r="N440" s="110"/>
      <c r="O440" s="110"/>
    </row>
    <row r="441" spans="1:15" ht="12" customHeight="1" x14ac:dyDescent="0.15">
      <c r="A441" s="110"/>
      <c r="B441" s="110"/>
      <c r="C441" s="110"/>
      <c r="D441" s="110"/>
      <c r="E441" s="110"/>
      <c r="F441" s="110"/>
      <c r="G441" s="110"/>
      <c r="H441" s="110"/>
      <c r="I441" s="110"/>
      <c r="J441" s="110"/>
      <c r="K441" s="110"/>
      <c r="L441" s="110"/>
      <c r="M441" s="110"/>
      <c r="N441" s="110"/>
      <c r="O441" s="110"/>
    </row>
    <row r="442" spans="1:15" ht="12" customHeight="1" x14ac:dyDescent="0.15">
      <c r="A442" s="110"/>
      <c r="B442" s="110"/>
      <c r="C442" s="110"/>
      <c r="D442" s="110"/>
      <c r="E442" s="110"/>
      <c r="F442" s="110"/>
      <c r="G442" s="110"/>
      <c r="H442" s="110"/>
      <c r="I442" s="110"/>
      <c r="J442" s="110"/>
      <c r="K442" s="110"/>
      <c r="L442" s="110"/>
      <c r="M442" s="110"/>
      <c r="N442" s="110"/>
      <c r="O442" s="110"/>
    </row>
    <row r="443" spans="1:15" ht="12" customHeight="1" x14ac:dyDescent="0.15">
      <c r="A443" s="110"/>
      <c r="B443" s="110"/>
      <c r="C443" s="110"/>
      <c r="D443" s="110"/>
      <c r="E443" s="110"/>
      <c r="F443" s="110"/>
      <c r="G443" s="110"/>
      <c r="H443" s="110"/>
      <c r="I443" s="110"/>
      <c r="J443" s="110"/>
      <c r="K443" s="110"/>
      <c r="L443" s="110"/>
      <c r="M443" s="110"/>
      <c r="N443" s="110"/>
      <c r="O443" s="110"/>
    </row>
    <row r="444" spans="1:15" ht="12" customHeight="1" x14ac:dyDescent="0.15">
      <c r="A444" s="110"/>
      <c r="B444" s="110"/>
      <c r="C444" s="110"/>
      <c r="D444" s="110"/>
      <c r="E444" s="110"/>
      <c r="F444" s="110"/>
      <c r="G444" s="110"/>
      <c r="H444" s="110"/>
      <c r="I444" s="110"/>
      <c r="J444" s="110"/>
      <c r="K444" s="110"/>
      <c r="L444" s="110"/>
      <c r="M444" s="110"/>
      <c r="N444" s="110"/>
      <c r="O444" s="110"/>
    </row>
    <row r="445" spans="1:15" ht="12" customHeight="1" x14ac:dyDescent="0.15">
      <c r="A445" s="110"/>
      <c r="B445" s="110"/>
      <c r="C445" s="110"/>
      <c r="D445" s="110"/>
      <c r="E445" s="110"/>
      <c r="F445" s="110"/>
      <c r="G445" s="110"/>
      <c r="H445" s="110"/>
      <c r="I445" s="110"/>
      <c r="J445" s="110"/>
      <c r="K445" s="110"/>
      <c r="L445" s="110"/>
      <c r="M445" s="110"/>
      <c r="N445" s="110"/>
      <c r="O445" s="110"/>
    </row>
    <row r="446" spans="1:15" ht="12" customHeight="1" x14ac:dyDescent="0.15">
      <c r="A446" s="110"/>
      <c r="B446" s="110"/>
      <c r="C446" s="110"/>
      <c r="D446" s="110"/>
      <c r="E446" s="110"/>
      <c r="F446" s="110"/>
      <c r="G446" s="110"/>
      <c r="H446" s="110"/>
      <c r="I446" s="110"/>
      <c r="J446" s="110"/>
      <c r="K446" s="110"/>
      <c r="L446" s="110"/>
      <c r="M446" s="110"/>
      <c r="N446" s="110"/>
      <c r="O446" s="110"/>
    </row>
    <row r="447" spans="1:15" ht="12" customHeight="1" x14ac:dyDescent="0.15">
      <c r="A447" s="110"/>
      <c r="B447" s="110"/>
      <c r="C447" s="110"/>
      <c r="D447" s="110"/>
      <c r="E447" s="110"/>
      <c r="F447" s="110"/>
      <c r="G447" s="110"/>
      <c r="H447" s="110"/>
      <c r="I447" s="110"/>
      <c r="J447" s="110"/>
      <c r="K447" s="110"/>
      <c r="L447" s="110"/>
      <c r="M447" s="110"/>
      <c r="N447" s="110"/>
      <c r="O447" s="110"/>
    </row>
    <row r="448" spans="1:15" ht="12" customHeight="1" x14ac:dyDescent="0.15">
      <c r="A448" s="110"/>
      <c r="B448" s="110"/>
      <c r="C448" s="110"/>
      <c r="D448" s="110"/>
      <c r="E448" s="110"/>
      <c r="F448" s="110"/>
      <c r="G448" s="110"/>
      <c r="H448" s="110"/>
      <c r="I448" s="110"/>
      <c r="J448" s="110"/>
      <c r="K448" s="110"/>
      <c r="L448" s="110"/>
      <c r="M448" s="110"/>
      <c r="N448" s="110"/>
      <c r="O448" s="110"/>
    </row>
    <row r="449" spans="1:15" ht="12" customHeight="1" x14ac:dyDescent="0.15">
      <c r="A449" s="110"/>
      <c r="B449" s="110"/>
      <c r="C449" s="110"/>
      <c r="D449" s="110"/>
      <c r="E449" s="110"/>
      <c r="F449" s="110"/>
      <c r="G449" s="110"/>
      <c r="H449" s="110"/>
      <c r="I449" s="110"/>
      <c r="J449" s="110"/>
      <c r="K449" s="110"/>
      <c r="L449" s="110"/>
      <c r="M449" s="110"/>
      <c r="N449" s="110"/>
      <c r="O449" s="110"/>
    </row>
    <row r="450" spans="1:15" ht="12" customHeight="1" x14ac:dyDescent="0.15">
      <c r="A450" s="110"/>
      <c r="B450" s="110"/>
      <c r="C450" s="110"/>
      <c r="D450" s="110"/>
      <c r="E450" s="110"/>
      <c r="F450" s="110"/>
      <c r="G450" s="110"/>
      <c r="H450" s="110"/>
      <c r="I450" s="110"/>
      <c r="J450" s="110"/>
      <c r="K450" s="110"/>
      <c r="L450" s="110"/>
      <c r="M450" s="110"/>
      <c r="N450" s="110"/>
      <c r="O450" s="110"/>
    </row>
    <row r="451" spans="1:15" ht="12" customHeight="1" x14ac:dyDescent="0.15">
      <c r="A451" s="110"/>
      <c r="B451" s="110"/>
      <c r="C451" s="110"/>
      <c r="D451" s="110"/>
      <c r="E451" s="110"/>
      <c r="F451" s="110"/>
      <c r="G451" s="110"/>
      <c r="H451" s="110"/>
      <c r="I451" s="110"/>
      <c r="J451" s="110"/>
      <c r="K451" s="110"/>
      <c r="L451" s="110"/>
      <c r="M451" s="110"/>
      <c r="N451" s="110"/>
      <c r="O451" s="110"/>
    </row>
    <row r="452" spans="1:15" ht="12" customHeight="1" x14ac:dyDescent="0.15">
      <c r="A452" s="110"/>
      <c r="B452" s="110"/>
      <c r="C452" s="110"/>
      <c r="D452" s="110"/>
      <c r="E452" s="110"/>
      <c r="F452" s="110"/>
      <c r="G452" s="110"/>
      <c r="H452" s="110"/>
      <c r="I452" s="110"/>
      <c r="J452" s="110"/>
      <c r="K452" s="110"/>
      <c r="L452" s="110"/>
      <c r="M452" s="110"/>
      <c r="N452" s="110"/>
      <c r="O452" s="110"/>
    </row>
    <row r="453" spans="1:15" ht="12" customHeight="1" x14ac:dyDescent="0.15">
      <c r="A453" s="110"/>
      <c r="B453" s="110"/>
      <c r="C453" s="110"/>
      <c r="D453" s="110"/>
      <c r="E453" s="110"/>
      <c r="F453" s="110"/>
      <c r="G453" s="110"/>
      <c r="H453" s="110"/>
      <c r="I453" s="110"/>
      <c r="J453" s="110"/>
      <c r="K453" s="110"/>
      <c r="L453" s="110"/>
      <c r="M453" s="110"/>
      <c r="N453" s="110"/>
      <c r="O453" s="110"/>
    </row>
    <row r="454" spans="1:15" ht="12" customHeight="1" x14ac:dyDescent="0.15">
      <c r="A454" s="110"/>
      <c r="B454" s="110"/>
      <c r="C454" s="110"/>
      <c r="D454" s="110"/>
      <c r="E454" s="110"/>
      <c r="F454" s="110"/>
      <c r="G454" s="110"/>
      <c r="H454" s="110"/>
      <c r="I454" s="110"/>
      <c r="J454" s="110"/>
      <c r="K454" s="110"/>
      <c r="L454" s="110"/>
      <c r="M454" s="110"/>
      <c r="N454" s="110"/>
      <c r="O454" s="110"/>
    </row>
    <row r="455" spans="1:15" ht="12" customHeight="1" x14ac:dyDescent="0.15">
      <c r="A455" s="110"/>
      <c r="B455" s="110"/>
      <c r="C455" s="110"/>
      <c r="D455" s="110"/>
      <c r="E455" s="110"/>
      <c r="F455" s="110"/>
      <c r="G455" s="110"/>
      <c r="H455" s="110"/>
      <c r="I455" s="110"/>
      <c r="J455" s="110"/>
      <c r="K455" s="110"/>
      <c r="L455" s="110"/>
      <c r="M455" s="110"/>
      <c r="N455" s="110"/>
      <c r="O455" s="110"/>
    </row>
    <row r="456" spans="1:15" ht="12" customHeight="1" x14ac:dyDescent="0.15">
      <c r="A456" s="110"/>
      <c r="B456" s="110"/>
      <c r="C456" s="110"/>
      <c r="D456" s="110"/>
      <c r="E456" s="110"/>
      <c r="F456" s="110"/>
      <c r="G456" s="110"/>
      <c r="H456" s="110"/>
      <c r="I456" s="110"/>
      <c r="J456" s="110"/>
      <c r="K456" s="110"/>
      <c r="L456" s="110"/>
      <c r="M456" s="110"/>
      <c r="N456" s="110"/>
      <c r="O456" s="110"/>
    </row>
    <row r="457" spans="1:15" ht="12" customHeight="1" x14ac:dyDescent="0.15">
      <c r="A457" s="110"/>
      <c r="B457" s="110"/>
      <c r="C457" s="110"/>
      <c r="D457" s="110"/>
      <c r="E457" s="110"/>
      <c r="F457" s="110"/>
      <c r="G457" s="110"/>
      <c r="H457" s="110"/>
      <c r="I457" s="110"/>
      <c r="J457" s="110"/>
      <c r="K457" s="110"/>
      <c r="L457" s="110"/>
      <c r="M457" s="110"/>
      <c r="N457" s="110"/>
      <c r="O457" s="110"/>
    </row>
    <row r="458" spans="1:15" ht="12" customHeight="1" x14ac:dyDescent="0.15">
      <c r="A458" s="110"/>
      <c r="B458" s="110"/>
      <c r="C458" s="110"/>
      <c r="D458" s="110"/>
      <c r="E458" s="110"/>
      <c r="F458" s="110"/>
      <c r="G458" s="110"/>
      <c r="H458" s="110"/>
      <c r="I458" s="110"/>
      <c r="J458" s="110"/>
      <c r="K458" s="110"/>
      <c r="L458" s="110"/>
      <c r="M458" s="110"/>
      <c r="N458" s="110"/>
      <c r="O458" s="110"/>
    </row>
    <row r="459" spans="1:15" ht="12" customHeight="1" x14ac:dyDescent="0.15">
      <c r="A459" s="110"/>
      <c r="B459" s="110"/>
      <c r="C459" s="110"/>
      <c r="D459" s="110"/>
      <c r="E459" s="110"/>
      <c r="F459" s="110"/>
      <c r="G459" s="110"/>
      <c r="H459" s="110"/>
      <c r="I459" s="110"/>
      <c r="J459" s="110"/>
      <c r="K459" s="110"/>
      <c r="L459" s="110"/>
      <c r="M459" s="110"/>
      <c r="N459" s="110"/>
      <c r="O459" s="110"/>
    </row>
    <row r="460" spans="1:15" ht="12" customHeight="1" x14ac:dyDescent="0.15">
      <c r="A460" s="110"/>
      <c r="B460" s="110"/>
      <c r="C460" s="110"/>
      <c r="D460" s="110"/>
      <c r="E460" s="110"/>
      <c r="F460" s="110"/>
      <c r="G460" s="110"/>
      <c r="H460" s="110"/>
      <c r="I460" s="110"/>
      <c r="J460" s="110"/>
      <c r="K460" s="110"/>
      <c r="L460" s="110"/>
      <c r="M460" s="110"/>
      <c r="N460" s="110"/>
      <c r="O460" s="110"/>
    </row>
    <row r="461" spans="1:15" ht="12" customHeight="1" x14ac:dyDescent="0.15">
      <c r="A461" s="110"/>
      <c r="B461" s="110"/>
      <c r="C461" s="110"/>
      <c r="D461" s="110"/>
      <c r="E461" s="110"/>
      <c r="F461" s="110"/>
      <c r="G461" s="110"/>
      <c r="H461" s="110"/>
      <c r="I461" s="110"/>
      <c r="J461" s="110"/>
      <c r="K461" s="110"/>
      <c r="L461" s="110"/>
      <c r="M461" s="110"/>
      <c r="N461" s="110"/>
      <c r="O461" s="110"/>
    </row>
    <row r="462" spans="1:15" ht="12" customHeight="1" x14ac:dyDescent="0.15">
      <c r="A462" s="110"/>
      <c r="B462" s="110"/>
      <c r="C462" s="110"/>
      <c r="D462" s="110"/>
      <c r="E462" s="110"/>
      <c r="F462" s="110"/>
      <c r="G462" s="110"/>
      <c r="H462" s="110"/>
      <c r="I462" s="110"/>
      <c r="J462" s="110"/>
      <c r="K462" s="110"/>
      <c r="L462" s="110"/>
      <c r="M462" s="110"/>
      <c r="N462" s="110"/>
      <c r="O462" s="110"/>
    </row>
    <row r="463" spans="1:15" ht="12" customHeight="1" x14ac:dyDescent="0.15">
      <c r="A463" s="110"/>
      <c r="B463" s="110"/>
      <c r="C463" s="110"/>
      <c r="D463" s="110"/>
      <c r="E463" s="110"/>
      <c r="F463" s="110"/>
      <c r="G463" s="110"/>
      <c r="H463" s="110"/>
      <c r="I463" s="110"/>
      <c r="J463" s="110"/>
      <c r="K463" s="110"/>
      <c r="L463" s="110"/>
      <c r="M463" s="110"/>
      <c r="N463" s="110"/>
      <c r="O463" s="110"/>
    </row>
    <row r="464" spans="1:15" ht="12" customHeight="1" x14ac:dyDescent="0.15">
      <c r="A464" s="110"/>
      <c r="B464" s="110"/>
      <c r="C464" s="110"/>
      <c r="D464" s="110"/>
      <c r="E464" s="110"/>
      <c r="F464" s="110"/>
      <c r="G464" s="110"/>
      <c r="H464" s="110"/>
      <c r="I464" s="110"/>
      <c r="J464" s="110"/>
      <c r="K464" s="110"/>
      <c r="L464" s="110"/>
      <c r="M464" s="110"/>
      <c r="N464" s="110"/>
      <c r="O464" s="110"/>
    </row>
    <row r="465" spans="1:15" ht="12" customHeight="1" x14ac:dyDescent="0.15">
      <c r="A465" s="110"/>
      <c r="B465" s="110"/>
      <c r="C465" s="110"/>
      <c r="D465" s="110"/>
      <c r="E465" s="110"/>
      <c r="F465" s="110"/>
      <c r="G465" s="110"/>
      <c r="H465" s="110"/>
      <c r="I465" s="110"/>
      <c r="J465" s="110"/>
      <c r="K465" s="110"/>
      <c r="L465" s="110"/>
      <c r="M465" s="110"/>
      <c r="N465" s="110"/>
      <c r="O465" s="110"/>
    </row>
    <row r="466" spans="1:15" ht="12" customHeight="1" x14ac:dyDescent="0.15">
      <c r="A466" s="110"/>
      <c r="B466" s="110"/>
      <c r="C466" s="110"/>
      <c r="D466" s="110"/>
      <c r="E466" s="110"/>
      <c r="F466" s="110"/>
      <c r="G466" s="110"/>
      <c r="H466" s="110"/>
      <c r="I466" s="110"/>
      <c r="J466" s="110"/>
      <c r="K466" s="110"/>
      <c r="L466" s="110"/>
      <c r="M466" s="110"/>
      <c r="N466" s="110"/>
      <c r="O466" s="110"/>
    </row>
    <row r="467" spans="1:15" ht="12" customHeight="1" x14ac:dyDescent="0.15">
      <c r="A467" s="110"/>
      <c r="B467" s="110"/>
      <c r="C467" s="110"/>
      <c r="D467" s="110"/>
      <c r="E467" s="110"/>
      <c r="F467" s="110"/>
      <c r="G467" s="110"/>
      <c r="H467" s="110"/>
      <c r="I467" s="110"/>
      <c r="J467" s="110"/>
      <c r="K467" s="110"/>
      <c r="L467" s="110"/>
      <c r="M467" s="110"/>
      <c r="N467" s="110"/>
      <c r="O467" s="110"/>
    </row>
    <row r="468" spans="1:15" ht="12" customHeight="1" x14ac:dyDescent="0.15">
      <c r="A468" s="110"/>
      <c r="B468" s="110"/>
      <c r="C468" s="110"/>
      <c r="D468" s="110"/>
      <c r="E468" s="110"/>
      <c r="F468" s="110"/>
      <c r="G468" s="110"/>
      <c r="H468" s="110"/>
      <c r="I468" s="110"/>
      <c r="J468" s="110"/>
      <c r="K468" s="110"/>
      <c r="L468" s="110"/>
      <c r="M468" s="110"/>
      <c r="N468" s="110"/>
      <c r="O468" s="110"/>
    </row>
    <row r="469" spans="1:15" ht="12" customHeight="1" x14ac:dyDescent="0.15">
      <c r="A469" s="110"/>
      <c r="B469" s="110"/>
      <c r="C469" s="110"/>
      <c r="D469" s="110"/>
      <c r="E469" s="110"/>
      <c r="F469" s="110"/>
      <c r="G469" s="110"/>
      <c r="H469" s="110"/>
      <c r="I469" s="110"/>
      <c r="J469" s="110"/>
      <c r="K469" s="110"/>
      <c r="L469" s="110"/>
      <c r="M469" s="110"/>
      <c r="N469" s="110"/>
      <c r="O469" s="110"/>
    </row>
    <row r="470" spans="1:15" ht="12" customHeight="1" x14ac:dyDescent="0.15">
      <c r="A470" s="110"/>
      <c r="B470" s="110"/>
      <c r="C470" s="110"/>
      <c r="D470" s="110"/>
      <c r="E470" s="110"/>
      <c r="F470" s="110"/>
      <c r="G470" s="110"/>
      <c r="H470" s="110"/>
      <c r="I470" s="110"/>
      <c r="J470" s="110"/>
      <c r="K470" s="110"/>
      <c r="L470" s="110"/>
      <c r="M470" s="110"/>
      <c r="N470" s="110"/>
      <c r="O470" s="110"/>
    </row>
    <row r="471" spans="1:15" ht="12" customHeight="1" x14ac:dyDescent="0.15">
      <c r="A471" s="110"/>
      <c r="B471" s="110"/>
      <c r="C471" s="110"/>
      <c r="D471" s="110"/>
      <c r="E471" s="110"/>
      <c r="F471" s="110"/>
      <c r="G471" s="110"/>
      <c r="H471" s="110"/>
      <c r="I471" s="110"/>
      <c r="J471" s="110"/>
      <c r="K471" s="110"/>
      <c r="L471" s="110"/>
      <c r="M471" s="110"/>
      <c r="N471" s="110"/>
      <c r="O471" s="110"/>
    </row>
    <row r="472" spans="1:15" ht="12" customHeight="1" x14ac:dyDescent="0.15">
      <c r="A472" s="110"/>
      <c r="B472" s="110"/>
      <c r="C472" s="110"/>
      <c r="D472" s="110"/>
      <c r="E472" s="110"/>
      <c r="F472" s="110"/>
      <c r="G472" s="110"/>
      <c r="H472" s="110"/>
      <c r="I472" s="110"/>
      <c r="J472" s="110"/>
      <c r="K472" s="110"/>
      <c r="L472" s="110"/>
      <c r="M472" s="110"/>
      <c r="N472" s="110"/>
      <c r="O472" s="110"/>
    </row>
    <row r="473" spans="1:15" ht="12" customHeight="1" x14ac:dyDescent="0.15">
      <c r="A473" s="110"/>
      <c r="B473" s="110"/>
      <c r="C473" s="110"/>
      <c r="D473" s="110"/>
      <c r="E473" s="110"/>
      <c r="F473" s="110"/>
      <c r="G473" s="110"/>
      <c r="H473" s="110"/>
      <c r="I473" s="110"/>
      <c r="J473" s="110"/>
      <c r="K473" s="110"/>
      <c r="L473" s="110"/>
      <c r="M473" s="110"/>
      <c r="N473" s="110"/>
      <c r="O473" s="110"/>
    </row>
    <row r="474" spans="1:15" ht="12" customHeight="1" x14ac:dyDescent="0.15">
      <c r="A474" s="110"/>
      <c r="B474" s="110"/>
      <c r="C474" s="110"/>
      <c r="D474" s="110"/>
      <c r="E474" s="110"/>
      <c r="F474" s="110"/>
      <c r="G474" s="110"/>
      <c r="H474" s="110"/>
      <c r="I474" s="110"/>
      <c r="J474" s="110"/>
      <c r="K474" s="110"/>
      <c r="L474" s="110"/>
      <c r="M474" s="110"/>
      <c r="N474" s="110"/>
      <c r="O474" s="110"/>
    </row>
    <row r="475" spans="1:15" ht="12" customHeight="1" x14ac:dyDescent="0.15">
      <c r="A475" s="110"/>
      <c r="B475" s="110"/>
      <c r="C475" s="110"/>
      <c r="D475" s="110"/>
      <c r="E475" s="110"/>
      <c r="F475" s="110"/>
      <c r="G475" s="110"/>
      <c r="H475" s="110"/>
      <c r="I475" s="110"/>
      <c r="J475" s="110"/>
      <c r="K475" s="110"/>
      <c r="L475" s="110"/>
      <c r="M475" s="110"/>
      <c r="N475" s="110"/>
      <c r="O475" s="110"/>
    </row>
    <row r="476" spans="1:15" ht="12" customHeight="1" x14ac:dyDescent="0.15">
      <c r="A476" s="110"/>
      <c r="B476" s="110"/>
      <c r="C476" s="110"/>
      <c r="D476" s="110"/>
      <c r="E476" s="110"/>
      <c r="F476" s="110"/>
      <c r="G476" s="110"/>
      <c r="H476" s="110"/>
      <c r="I476" s="110"/>
      <c r="J476" s="110"/>
      <c r="K476" s="110"/>
      <c r="L476" s="110"/>
      <c r="M476" s="110"/>
      <c r="N476" s="110"/>
      <c r="O476" s="110"/>
    </row>
    <row r="477" spans="1:15" ht="12" customHeight="1" x14ac:dyDescent="0.15">
      <c r="A477" s="110"/>
      <c r="B477" s="110"/>
      <c r="C477" s="110"/>
      <c r="D477" s="110"/>
      <c r="E477" s="110"/>
      <c r="F477" s="110"/>
      <c r="G477" s="110"/>
      <c r="H477" s="110"/>
      <c r="I477" s="110"/>
      <c r="J477" s="110"/>
      <c r="K477" s="110"/>
      <c r="L477" s="110"/>
      <c r="M477" s="110"/>
      <c r="N477" s="110"/>
      <c r="O477" s="110"/>
    </row>
    <row r="478" spans="1:15" ht="12" customHeight="1" x14ac:dyDescent="0.15">
      <c r="A478" s="110"/>
      <c r="B478" s="110"/>
      <c r="C478" s="110"/>
      <c r="D478" s="110"/>
      <c r="E478" s="110"/>
      <c r="F478" s="110"/>
      <c r="G478" s="110"/>
      <c r="H478" s="110"/>
      <c r="I478" s="110"/>
      <c r="J478" s="110"/>
      <c r="K478" s="110"/>
      <c r="L478" s="110"/>
      <c r="M478" s="110"/>
      <c r="N478" s="110"/>
      <c r="O478" s="110"/>
    </row>
    <row r="479" spans="1:15" ht="12" customHeight="1" x14ac:dyDescent="0.15">
      <c r="A479" s="110"/>
      <c r="B479" s="110"/>
      <c r="C479" s="110"/>
      <c r="D479" s="110"/>
      <c r="E479" s="110"/>
      <c r="F479" s="110"/>
      <c r="G479" s="110"/>
      <c r="H479" s="110"/>
      <c r="I479" s="110"/>
      <c r="J479" s="110"/>
      <c r="K479" s="110"/>
      <c r="L479" s="110"/>
      <c r="M479" s="110"/>
      <c r="N479" s="110"/>
      <c r="O479" s="110"/>
    </row>
    <row r="480" spans="1:15" ht="12" customHeight="1" x14ac:dyDescent="0.15">
      <c r="A480" s="110"/>
      <c r="B480" s="110"/>
      <c r="C480" s="110"/>
      <c r="D480" s="110"/>
      <c r="E480" s="110"/>
      <c r="F480" s="110"/>
      <c r="G480" s="110"/>
      <c r="H480" s="110"/>
      <c r="I480" s="110"/>
      <c r="J480" s="110"/>
      <c r="K480" s="110"/>
      <c r="L480" s="110"/>
      <c r="M480" s="110"/>
      <c r="N480" s="110"/>
      <c r="O480" s="110"/>
    </row>
    <row r="481" spans="1:15" ht="12" customHeight="1" x14ac:dyDescent="0.15">
      <c r="A481" s="110"/>
      <c r="B481" s="110"/>
      <c r="C481" s="110"/>
      <c r="D481" s="110"/>
      <c r="E481" s="110"/>
      <c r="F481" s="110"/>
      <c r="G481" s="110"/>
      <c r="H481" s="110"/>
      <c r="I481" s="110"/>
      <c r="J481" s="110"/>
      <c r="K481" s="110"/>
      <c r="L481" s="110"/>
      <c r="M481" s="110"/>
      <c r="N481" s="110"/>
      <c r="O481" s="110"/>
    </row>
    <row r="482" spans="1:15" ht="12" customHeight="1" x14ac:dyDescent="0.15">
      <c r="A482" s="110"/>
      <c r="B482" s="110"/>
      <c r="C482" s="110"/>
      <c r="D482" s="110"/>
      <c r="E482" s="110"/>
      <c r="F482" s="110"/>
      <c r="G482" s="110"/>
      <c r="H482" s="110"/>
      <c r="I482" s="110"/>
      <c r="J482" s="110"/>
      <c r="K482" s="110"/>
      <c r="L482" s="110"/>
      <c r="M482" s="110"/>
      <c r="N482" s="110"/>
      <c r="O482" s="110"/>
    </row>
    <row r="483" spans="1:15" ht="12" customHeight="1" x14ac:dyDescent="0.15">
      <c r="A483" s="110"/>
      <c r="B483" s="110"/>
      <c r="C483" s="110"/>
      <c r="D483" s="110"/>
      <c r="E483" s="110"/>
      <c r="F483" s="110"/>
      <c r="G483" s="110"/>
      <c r="H483" s="110"/>
      <c r="I483" s="110"/>
      <c r="J483" s="110"/>
      <c r="K483" s="110"/>
      <c r="L483" s="110"/>
      <c r="M483" s="110"/>
      <c r="N483" s="110"/>
      <c r="O483" s="110"/>
    </row>
    <row r="484" spans="1:15" ht="12" customHeight="1" x14ac:dyDescent="0.15">
      <c r="A484" s="110"/>
      <c r="B484" s="110"/>
      <c r="C484" s="110"/>
      <c r="D484" s="110"/>
      <c r="E484" s="110"/>
      <c r="F484" s="110"/>
      <c r="G484" s="110"/>
      <c r="H484" s="110"/>
      <c r="I484" s="110"/>
      <c r="J484" s="110"/>
      <c r="K484" s="110"/>
      <c r="L484" s="110"/>
      <c r="M484" s="110"/>
      <c r="N484" s="110"/>
      <c r="O484" s="110"/>
    </row>
    <row r="485" spans="1:15" ht="12" customHeight="1" x14ac:dyDescent="0.15">
      <c r="A485" s="110"/>
      <c r="B485" s="110"/>
      <c r="C485" s="110"/>
      <c r="D485" s="110"/>
      <c r="E485" s="110"/>
      <c r="F485" s="110"/>
      <c r="G485" s="110"/>
      <c r="H485" s="110"/>
      <c r="I485" s="110"/>
      <c r="J485" s="110"/>
      <c r="K485" s="110"/>
      <c r="L485" s="110"/>
      <c r="M485" s="110"/>
      <c r="N485" s="110"/>
      <c r="O485" s="110"/>
    </row>
    <row r="486" spans="1:15" ht="12" customHeight="1" x14ac:dyDescent="0.15">
      <c r="A486" s="110"/>
      <c r="B486" s="110"/>
      <c r="C486" s="110"/>
      <c r="D486" s="110"/>
      <c r="E486" s="110"/>
      <c r="F486" s="110"/>
      <c r="G486" s="110"/>
      <c r="H486" s="110"/>
      <c r="I486" s="110"/>
      <c r="J486" s="110"/>
      <c r="K486" s="110"/>
      <c r="L486" s="110"/>
      <c r="M486" s="110"/>
      <c r="N486" s="110"/>
      <c r="O486" s="110"/>
    </row>
    <row r="487" spans="1:15" ht="12" customHeight="1" x14ac:dyDescent="0.15">
      <c r="A487" s="110"/>
      <c r="B487" s="110"/>
      <c r="C487" s="110"/>
      <c r="D487" s="110"/>
      <c r="E487" s="110"/>
      <c r="F487" s="110"/>
      <c r="G487" s="110"/>
      <c r="H487" s="110"/>
      <c r="I487" s="110"/>
      <c r="J487" s="110"/>
      <c r="K487" s="110"/>
      <c r="L487" s="110"/>
      <c r="M487" s="110"/>
      <c r="N487" s="110"/>
      <c r="O487" s="110"/>
    </row>
    <row r="488" spans="1:15" ht="12" customHeight="1" x14ac:dyDescent="0.15">
      <c r="A488" s="110"/>
      <c r="B488" s="110"/>
      <c r="C488" s="110"/>
      <c r="D488" s="110"/>
      <c r="E488" s="110"/>
      <c r="F488" s="110"/>
      <c r="G488" s="110"/>
      <c r="H488" s="110"/>
      <c r="I488" s="110"/>
      <c r="J488" s="110"/>
      <c r="K488" s="110"/>
      <c r="L488" s="110"/>
      <c r="M488" s="110"/>
      <c r="N488" s="110"/>
      <c r="O488" s="110"/>
    </row>
    <row r="489" spans="1:15" ht="12" customHeight="1" x14ac:dyDescent="0.15">
      <c r="A489" s="110"/>
      <c r="B489" s="110"/>
      <c r="C489" s="110"/>
      <c r="D489" s="110"/>
      <c r="E489" s="110"/>
      <c r="F489" s="110"/>
      <c r="G489" s="110"/>
      <c r="H489" s="110"/>
      <c r="I489" s="110"/>
      <c r="J489" s="110"/>
      <c r="K489" s="110"/>
      <c r="L489" s="110"/>
      <c r="M489" s="110"/>
      <c r="N489" s="110"/>
      <c r="O489" s="110"/>
    </row>
    <row r="490" spans="1:15" ht="12" customHeight="1" x14ac:dyDescent="0.15">
      <c r="A490" s="110"/>
      <c r="B490" s="110"/>
      <c r="C490" s="110"/>
      <c r="D490" s="110"/>
      <c r="E490" s="110"/>
      <c r="F490" s="110"/>
      <c r="G490" s="110"/>
      <c r="H490" s="110"/>
      <c r="I490" s="110"/>
      <c r="J490" s="110"/>
      <c r="K490" s="110"/>
      <c r="L490" s="110"/>
      <c r="M490" s="110"/>
      <c r="N490" s="110"/>
      <c r="O490" s="110"/>
    </row>
    <row r="491" spans="1:15" ht="12" customHeight="1" x14ac:dyDescent="0.15">
      <c r="A491" s="110"/>
      <c r="B491" s="110"/>
      <c r="C491" s="110"/>
      <c r="D491" s="110"/>
      <c r="E491" s="110"/>
      <c r="F491" s="110"/>
      <c r="G491" s="110"/>
      <c r="H491" s="110"/>
      <c r="I491" s="110"/>
      <c r="J491" s="110"/>
      <c r="K491" s="110"/>
      <c r="L491" s="110"/>
      <c r="M491" s="110"/>
      <c r="N491" s="110"/>
      <c r="O491" s="110"/>
    </row>
    <row r="492" spans="1:15" ht="12" customHeight="1" x14ac:dyDescent="0.15">
      <c r="A492" s="110"/>
      <c r="B492" s="110"/>
      <c r="C492" s="110"/>
      <c r="D492" s="110"/>
      <c r="E492" s="110"/>
      <c r="F492" s="110"/>
      <c r="G492" s="110"/>
      <c r="H492" s="110"/>
      <c r="I492" s="110"/>
      <c r="J492" s="110"/>
      <c r="K492" s="110"/>
      <c r="L492" s="110"/>
      <c r="M492" s="110"/>
      <c r="N492" s="110"/>
      <c r="O492" s="110"/>
    </row>
    <row r="493" spans="1:15" ht="12" customHeight="1" x14ac:dyDescent="0.15">
      <c r="A493" s="110"/>
      <c r="B493" s="110"/>
      <c r="C493" s="110"/>
      <c r="D493" s="110"/>
      <c r="E493" s="110"/>
      <c r="F493" s="110"/>
      <c r="G493" s="110"/>
      <c r="H493" s="110"/>
      <c r="I493" s="110"/>
      <c r="J493" s="110"/>
      <c r="K493" s="110"/>
      <c r="L493" s="110"/>
      <c r="M493" s="110"/>
      <c r="N493" s="110"/>
      <c r="O493" s="110"/>
    </row>
    <row r="494" spans="1:15" ht="12" customHeight="1" x14ac:dyDescent="0.15">
      <c r="A494" s="110"/>
      <c r="B494" s="110"/>
      <c r="C494" s="110"/>
      <c r="D494" s="110"/>
      <c r="E494" s="110"/>
      <c r="F494" s="110"/>
      <c r="G494" s="110"/>
      <c r="H494" s="110"/>
      <c r="I494" s="110"/>
      <c r="J494" s="110"/>
      <c r="K494" s="110"/>
      <c r="L494" s="110"/>
      <c r="M494" s="110"/>
      <c r="N494" s="110"/>
      <c r="O494" s="110"/>
    </row>
    <row r="495" spans="1:15" ht="12" customHeight="1" x14ac:dyDescent="0.15">
      <c r="A495" s="110"/>
      <c r="B495" s="110"/>
      <c r="C495" s="110"/>
      <c r="D495" s="110"/>
      <c r="E495" s="110"/>
      <c r="F495" s="110"/>
      <c r="G495" s="110"/>
      <c r="H495" s="110"/>
      <c r="I495" s="110"/>
      <c r="J495" s="110"/>
      <c r="K495" s="110"/>
      <c r="L495" s="110"/>
      <c r="M495" s="110"/>
      <c r="N495" s="110"/>
      <c r="O495" s="110"/>
    </row>
    <row r="496" spans="1:15" ht="12" customHeight="1" x14ac:dyDescent="0.15">
      <c r="A496" s="110"/>
      <c r="B496" s="110"/>
      <c r="C496" s="110"/>
      <c r="D496" s="110"/>
      <c r="E496" s="110"/>
      <c r="F496" s="110"/>
      <c r="G496" s="110"/>
      <c r="H496" s="110"/>
      <c r="I496" s="110"/>
      <c r="J496" s="110"/>
      <c r="K496" s="110"/>
      <c r="L496" s="110"/>
      <c r="M496" s="110"/>
      <c r="N496" s="110"/>
      <c r="O496" s="110"/>
    </row>
    <row r="497" spans="1:15" ht="12" customHeight="1" x14ac:dyDescent="0.15">
      <c r="A497" s="110"/>
      <c r="B497" s="110"/>
      <c r="C497" s="110"/>
      <c r="D497" s="110"/>
      <c r="E497" s="110"/>
      <c r="F497" s="110"/>
      <c r="G497" s="110"/>
      <c r="H497" s="110"/>
      <c r="I497" s="110"/>
      <c r="J497" s="110"/>
      <c r="K497" s="110"/>
      <c r="L497" s="110"/>
      <c r="M497" s="110"/>
      <c r="N497" s="110"/>
      <c r="O497" s="110"/>
    </row>
    <row r="498" spans="1:15" ht="12" customHeight="1" x14ac:dyDescent="0.15">
      <c r="A498" s="110"/>
      <c r="B498" s="110"/>
      <c r="C498" s="110"/>
      <c r="D498" s="110"/>
      <c r="E498" s="110"/>
      <c r="F498" s="110"/>
      <c r="G498" s="110"/>
      <c r="H498" s="110"/>
      <c r="I498" s="110"/>
      <c r="J498" s="110"/>
      <c r="K498" s="110"/>
      <c r="L498" s="110"/>
      <c r="M498" s="110"/>
      <c r="N498" s="110"/>
      <c r="O498" s="110"/>
    </row>
    <row r="499" spans="1:15" ht="12" customHeight="1" x14ac:dyDescent="0.15">
      <c r="A499" s="110"/>
      <c r="B499" s="110"/>
      <c r="C499" s="110"/>
      <c r="D499" s="110"/>
      <c r="E499" s="110"/>
      <c r="F499" s="110"/>
      <c r="G499" s="110"/>
      <c r="H499" s="110"/>
      <c r="I499" s="110"/>
      <c r="J499" s="110"/>
      <c r="K499" s="110"/>
      <c r="L499" s="110"/>
      <c r="M499" s="110"/>
      <c r="N499" s="110"/>
      <c r="O499" s="110"/>
    </row>
    <row r="500" spans="1:15" ht="12" customHeight="1" x14ac:dyDescent="0.15">
      <c r="A500" s="110"/>
      <c r="B500" s="110"/>
      <c r="C500" s="110"/>
      <c r="D500" s="110"/>
      <c r="E500" s="110"/>
      <c r="F500" s="110"/>
      <c r="G500" s="110"/>
      <c r="H500" s="110"/>
      <c r="I500" s="110"/>
      <c r="J500" s="110"/>
      <c r="K500" s="110"/>
      <c r="L500" s="110"/>
      <c r="M500" s="110"/>
      <c r="N500" s="110"/>
      <c r="O500" s="110"/>
    </row>
    <row r="501" spans="1:15" ht="12" customHeight="1" x14ac:dyDescent="0.15">
      <c r="A501" s="110"/>
      <c r="B501" s="110"/>
      <c r="C501" s="110"/>
      <c r="D501" s="110"/>
      <c r="E501" s="110"/>
      <c r="F501" s="110"/>
      <c r="G501" s="110"/>
      <c r="H501" s="110"/>
      <c r="I501" s="110"/>
      <c r="J501" s="110"/>
      <c r="K501" s="110"/>
      <c r="L501" s="110"/>
      <c r="M501" s="110"/>
      <c r="N501" s="110"/>
      <c r="O501" s="110"/>
    </row>
    <row r="502" spans="1:15" ht="12" customHeight="1" x14ac:dyDescent="0.15">
      <c r="A502" s="110"/>
      <c r="B502" s="110"/>
      <c r="C502" s="110"/>
      <c r="D502" s="110"/>
      <c r="E502" s="110"/>
      <c r="F502" s="110"/>
      <c r="G502" s="110"/>
      <c r="H502" s="110"/>
      <c r="I502" s="110"/>
      <c r="J502" s="110"/>
      <c r="K502" s="110"/>
      <c r="L502" s="110"/>
      <c r="M502" s="110"/>
      <c r="N502" s="110"/>
      <c r="O502" s="110"/>
    </row>
    <row r="503" spans="1:15" ht="12" customHeight="1" x14ac:dyDescent="0.15">
      <c r="A503" s="110"/>
      <c r="B503" s="110"/>
      <c r="C503" s="110"/>
      <c r="D503" s="110"/>
      <c r="E503" s="110"/>
      <c r="F503" s="110"/>
      <c r="G503" s="110"/>
      <c r="H503" s="110"/>
      <c r="I503" s="110"/>
      <c r="J503" s="110"/>
      <c r="K503" s="110"/>
      <c r="L503" s="110"/>
      <c r="M503" s="110"/>
      <c r="N503" s="110"/>
      <c r="O503" s="110"/>
    </row>
    <row r="504" spans="1:15" ht="12" customHeight="1" x14ac:dyDescent="0.15">
      <c r="A504" s="110"/>
      <c r="B504" s="110"/>
      <c r="C504" s="110"/>
      <c r="D504" s="110"/>
      <c r="E504" s="110"/>
      <c r="F504" s="110"/>
      <c r="G504" s="110"/>
      <c r="H504" s="110"/>
      <c r="I504" s="110"/>
      <c r="J504" s="110"/>
      <c r="K504" s="110"/>
      <c r="L504" s="110"/>
      <c r="M504" s="110"/>
      <c r="N504" s="110"/>
      <c r="O504" s="110"/>
    </row>
    <row r="505" spans="1:15" ht="12" customHeight="1" x14ac:dyDescent="0.15">
      <c r="A505" s="110"/>
      <c r="B505" s="110"/>
      <c r="C505" s="110"/>
      <c r="D505" s="110"/>
      <c r="E505" s="110"/>
      <c r="F505" s="110"/>
      <c r="G505" s="110"/>
      <c r="H505" s="110"/>
      <c r="I505" s="110"/>
      <c r="J505" s="110"/>
      <c r="K505" s="110"/>
      <c r="L505" s="110"/>
      <c r="M505" s="110"/>
      <c r="N505" s="110"/>
      <c r="O505" s="110"/>
    </row>
    <row r="506" spans="1:15" ht="12" customHeight="1" x14ac:dyDescent="0.15">
      <c r="A506" s="110"/>
      <c r="B506" s="110"/>
      <c r="C506" s="110"/>
      <c r="D506" s="110"/>
      <c r="E506" s="110"/>
      <c r="F506" s="110"/>
      <c r="G506" s="110"/>
      <c r="H506" s="110"/>
      <c r="I506" s="110"/>
      <c r="J506" s="110"/>
      <c r="K506" s="110"/>
      <c r="L506" s="110"/>
      <c r="M506" s="110"/>
      <c r="N506" s="110"/>
      <c r="O506" s="110"/>
    </row>
    <row r="507" spans="1:15" ht="12" customHeight="1" x14ac:dyDescent="0.15">
      <c r="A507" s="110"/>
      <c r="B507" s="110"/>
      <c r="C507" s="110"/>
      <c r="D507" s="110"/>
      <c r="E507" s="110"/>
      <c r="F507" s="110"/>
      <c r="G507" s="110"/>
      <c r="H507" s="110"/>
      <c r="I507" s="110"/>
      <c r="J507" s="110"/>
      <c r="K507" s="110"/>
      <c r="L507" s="110"/>
      <c r="M507" s="110"/>
      <c r="N507" s="110"/>
      <c r="O507" s="110"/>
    </row>
    <row r="508" spans="1:15" ht="12" customHeight="1" x14ac:dyDescent="0.15">
      <c r="A508" s="110"/>
      <c r="B508" s="110"/>
      <c r="C508" s="110"/>
      <c r="D508" s="110"/>
      <c r="E508" s="110"/>
      <c r="F508" s="110"/>
      <c r="G508" s="110"/>
      <c r="H508" s="110"/>
      <c r="I508" s="110"/>
      <c r="J508" s="110"/>
      <c r="K508" s="110"/>
      <c r="L508" s="110"/>
      <c r="M508" s="110"/>
      <c r="N508" s="110"/>
      <c r="O508" s="110"/>
    </row>
    <row r="509" spans="1:15" ht="12" customHeight="1" x14ac:dyDescent="0.15">
      <c r="A509" s="110"/>
      <c r="B509" s="110"/>
      <c r="C509" s="110"/>
      <c r="D509" s="110"/>
      <c r="E509" s="110"/>
      <c r="F509" s="110"/>
      <c r="G509" s="110"/>
      <c r="H509" s="110"/>
      <c r="I509" s="110"/>
      <c r="J509" s="110"/>
      <c r="K509" s="110"/>
      <c r="L509" s="110"/>
      <c r="M509" s="110"/>
      <c r="N509" s="110"/>
      <c r="O509" s="110"/>
    </row>
    <row r="510" spans="1:15" ht="12" customHeight="1" x14ac:dyDescent="0.15">
      <c r="A510" s="110"/>
      <c r="B510" s="110"/>
      <c r="C510" s="110"/>
      <c r="D510" s="110"/>
      <c r="E510" s="110"/>
      <c r="F510" s="110"/>
      <c r="G510" s="110"/>
      <c r="H510" s="110"/>
      <c r="I510" s="110"/>
      <c r="J510" s="110"/>
      <c r="K510" s="110"/>
      <c r="L510" s="110"/>
      <c r="M510" s="110"/>
      <c r="N510" s="110"/>
      <c r="O510" s="110"/>
    </row>
    <row r="511" spans="1:15" ht="12" customHeight="1" x14ac:dyDescent="0.15">
      <c r="A511" s="110"/>
      <c r="B511" s="110"/>
      <c r="C511" s="110"/>
      <c r="D511" s="110"/>
      <c r="E511" s="110"/>
      <c r="F511" s="110"/>
      <c r="G511" s="110"/>
      <c r="H511" s="110"/>
      <c r="I511" s="110"/>
      <c r="J511" s="110"/>
      <c r="K511" s="110"/>
      <c r="L511" s="110"/>
      <c r="M511" s="110"/>
      <c r="N511" s="110"/>
      <c r="O511" s="110"/>
    </row>
    <row r="512" spans="1:15" ht="12" customHeight="1" x14ac:dyDescent="0.15">
      <c r="A512" s="110"/>
      <c r="B512" s="110"/>
      <c r="C512" s="110"/>
      <c r="D512" s="110"/>
      <c r="E512" s="110"/>
      <c r="F512" s="110"/>
      <c r="G512" s="110"/>
      <c r="H512" s="110"/>
      <c r="I512" s="110"/>
      <c r="J512" s="110"/>
      <c r="K512" s="110"/>
      <c r="L512" s="110"/>
      <c r="M512" s="110"/>
      <c r="N512" s="110"/>
      <c r="O512" s="110"/>
    </row>
    <row r="513" spans="1:15" ht="12" customHeight="1" x14ac:dyDescent="0.15">
      <c r="A513" s="110"/>
      <c r="B513" s="110"/>
      <c r="C513" s="110"/>
      <c r="D513" s="110"/>
      <c r="E513" s="110"/>
      <c r="F513" s="110"/>
      <c r="G513" s="110"/>
      <c r="H513" s="110"/>
      <c r="I513" s="110"/>
      <c r="J513" s="110"/>
      <c r="K513" s="110"/>
      <c r="L513" s="110"/>
      <c r="M513" s="110"/>
      <c r="N513" s="110"/>
      <c r="O513" s="110"/>
    </row>
    <row r="514" spans="1:15" ht="12" customHeight="1" x14ac:dyDescent="0.15">
      <c r="A514" s="110"/>
      <c r="B514" s="110"/>
      <c r="C514" s="110"/>
      <c r="D514" s="110"/>
      <c r="E514" s="110"/>
      <c r="F514" s="110"/>
      <c r="G514" s="110"/>
      <c r="H514" s="110"/>
      <c r="I514" s="110"/>
      <c r="J514" s="110"/>
      <c r="K514" s="110"/>
      <c r="L514" s="110"/>
      <c r="M514" s="110"/>
      <c r="N514" s="110"/>
      <c r="O514" s="110"/>
    </row>
    <row r="515" spans="1:15" ht="12" customHeight="1" x14ac:dyDescent="0.15">
      <c r="A515" s="110"/>
      <c r="B515" s="110"/>
      <c r="C515" s="110"/>
      <c r="D515" s="110"/>
      <c r="E515" s="110"/>
      <c r="F515" s="110"/>
      <c r="G515" s="110"/>
      <c r="H515" s="110"/>
      <c r="I515" s="110"/>
      <c r="J515" s="110"/>
      <c r="K515" s="110"/>
      <c r="L515" s="110"/>
      <c r="M515" s="110"/>
      <c r="N515" s="110"/>
      <c r="O515" s="110"/>
    </row>
    <row r="516" spans="1:15" ht="12" customHeight="1" x14ac:dyDescent="0.15">
      <c r="A516" s="110"/>
      <c r="B516" s="110"/>
      <c r="C516" s="110"/>
      <c r="D516" s="110"/>
      <c r="E516" s="110"/>
      <c r="F516" s="110"/>
      <c r="G516" s="110"/>
      <c r="H516" s="110"/>
      <c r="I516" s="110"/>
      <c r="J516" s="110"/>
      <c r="K516" s="110"/>
      <c r="L516" s="110"/>
      <c r="M516" s="110"/>
      <c r="N516" s="110"/>
      <c r="O516" s="110"/>
    </row>
    <row r="517" spans="1:15" ht="12" customHeight="1" x14ac:dyDescent="0.15">
      <c r="A517" s="110"/>
      <c r="B517" s="110"/>
      <c r="C517" s="110"/>
      <c r="D517" s="110"/>
      <c r="E517" s="110"/>
      <c r="F517" s="110"/>
      <c r="G517" s="110"/>
      <c r="H517" s="110"/>
      <c r="I517" s="110"/>
      <c r="J517" s="110"/>
      <c r="K517" s="110"/>
      <c r="L517" s="110"/>
      <c r="M517" s="110"/>
      <c r="N517" s="110"/>
      <c r="O517" s="110"/>
    </row>
    <row r="518" spans="1:15" ht="12" customHeight="1" x14ac:dyDescent="0.15">
      <c r="A518" s="110"/>
      <c r="B518" s="110"/>
      <c r="C518" s="110"/>
      <c r="D518" s="110"/>
      <c r="E518" s="110"/>
      <c r="F518" s="110"/>
      <c r="G518" s="110"/>
      <c r="H518" s="110"/>
      <c r="I518" s="110"/>
      <c r="J518" s="110"/>
      <c r="K518" s="110"/>
      <c r="L518" s="110"/>
      <c r="M518" s="110"/>
      <c r="N518" s="110"/>
      <c r="O518" s="110"/>
    </row>
    <row r="519" spans="1:15" ht="12" customHeight="1" x14ac:dyDescent="0.15">
      <c r="A519" s="110"/>
      <c r="B519" s="110"/>
      <c r="C519" s="110"/>
      <c r="D519" s="110"/>
      <c r="E519" s="110"/>
      <c r="F519" s="110"/>
      <c r="G519" s="110"/>
      <c r="H519" s="110"/>
      <c r="I519" s="110"/>
      <c r="J519" s="110"/>
      <c r="K519" s="110"/>
      <c r="L519" s="110"/>
      <c r="M519" s="110"/>
      <c r="N519" s="110"/>
      <c r="O519" s="110"/>
    </row>
    <row r="520" spans="1:15" ht="12" customHeight="1" x14ac:dyDescent="0.15">
      <c r="A520" s="110"/>
      <c r="B520" s="110"/>
      <c r="C520" s="110"/>
      <c r="D520" s="110"/>
      <c r="E520" s="110"/>
      <c r="F520" s="110"/>
      <c r="G520" s="110"/>
      <c r="H520" s="110"/>
      <c r="I520" s="110"/>
      <c r="J520" s="110"/>
      <c r="K520" s="110"/>
      <c r="L520" s="110"/>
      <c r="M520" s="110"/>
      <c r="N520" s="110"/>
      <c r="O520" s="110"/>
    </row>
    <row r="521" spans="1:15" ht="12" customHeight="1" x14ac:dyDescent="0.15">
      <c r="A521" s="110"/>
      <c r="B521" s="110"/>
      <c r="C521" s="110"/>
      <c r="D521" s="110"/>
      <c r="E521" s="110"/>
      <c r="F521" s="110"/>
      <c r="G521" s="110"/>
      <c r="H521" s="110"/>
      <c r="I521" s="110"/>
      <c r="J521" s="110"/>
      <c r="K521" s="110"/>
      <c r="L521" s="110"/>
      <c r="M521" s="110"/>
      <c r="N521" s="110"/>
      <c r="O521" s="110"/>
    </row>
    <row r="522" spans="1:15" ht="12" customHeight="1" x14ac:dyDescent="0.15">
      <c r="A522" s="110"/>
      <c r="B522" s="110"/>
      <c r="C522" s="110"/>
      <c r="D522" s="110"/>
      <c r="E522" s="110"/>
      <c r="F522" s="110"/>
      <c r="G522" s="110"/>
      <c r="H522" s="110"/>
      <c r="I522" s="110"/>
      <c r="J522" s="110"/>
      <c r="K522" s="110"/>
      <c r="L522" s="110"/>
      <c r="M522" s="110"/>
      <c r="N522" s="110"/>
      <c r="O522" s="110"/>
    </row>
    <row r="523" spans="1:15" ht="12" customHeight="1" x14ac:dyDescent="0.15">
      <c r="A523" s="110"/>
      <c r="B523" s="110"/>
      <c r="C523" s="110"/>
      <c r="D523" s="110"/>
      <c r="E523" s="110"/>
      <c r="F523" s="110"/>
      <c r="G523" s="110"/>
      <c r="H523" s="110"/>
      <c r="I523" s="110"/>
      <c r="J523" s="110"/>
      <c r="K523" s="110"/>
      <c r="L523" s="110"/>
      <c r="M523" s="110"/>
      <c r="N523" s="110"/>
      <c r="O523" s="110"/>
    </row>
    <row r="524" spans="1:15" ht="12" customHeight="1" x14ac:dyDescent="0.15">
      <c r="A524" s="110"/>
      <c r="B524" s="110"/>
      <c r="C524" s="110"/>
      <c r="D524" s="110"/>
      <c r="E524" s="110"/>
      <c r="F524" s="110"/>
      <c r="G524" s="110"/>
      <c r="H524" s="110"/>
      <c r="I524" s="110"/>
      <c r="J524" s="110"/>
      <c r="K524" s="110"/>
      <c r="L524" s="110"/>
      <c r="M524" s="110"/>
      <c r="N524" s="110"/>
      <c r="O524" s="110"/>
    </row>
    <row r="525" spans="1:15" ht="12" customHeight="1" x14ac:dyDescent="0.15">
      <c r="A525" s="110"/>
      <c r="B525" s="110"/>
      <c r="C525" s="110"/>
      <c r="D525" s="110"/>
      <c r="E525" s="110"/>
      <c r="F525" s="110"/>
      <c r="G525" s="110"/>
      <c r="H525" s="110"/>
      <c r="I525" s="110"/>
      <c r="J525" s="110"/>
      <c r="K525" s="110"/>
      <c r="L525" s="110"/>
      <c r="M525" s="110"/>
      <c r="N525" s="110"/>
      <c r="O525" s="110"/>
    </row>
    <row r="526" spans="1:15" ht="12" customHeight="1" x14ac:dyDescent="0.15">
      <c r="A526" s="110"/>
      <c r="B526" s="110"/>
      <c r="C526" s="110"/>
      <c r="D526" s="110"/>
      <c r="E526" s="110"/>
      <c r="F526" s="110"/>
      <c r="G526" s="110"/>
      <c r="H526" s="110"/>
      <c r="I526" s="110"/>
      <c r="J526" s="110"/>
      <c r="K526" s="110"/>
      <c r="L526" s="110"/>
      <c r="M526" s="110"/>
      <c r="N526" s="110"/>
      <c r="O526" s="110"/>
    </row>
    <row r="527" spans="1:15" ht="12" customHeight="1" x14ac:dyDescent="0.15">
      <c r="A527" s="110"/>
      <c r="B527" s="110"/>
      <c r="C527" s="110"/>
      <c r="D527" s="110"/>
      <c r="E527" s="110"/>
      <c r="F527" s="110"/>
      <c r="G527" s="110"/>
      <c r="H527" s="110"/>
      <c r="I527" s="110"/>
      <c r="J527" s="110"/>
      <c r="K527" s="110"/>
      <c r="L527" s="110"/>
      <c r="M527" s="110"/>
      <c r="N527" s="110"/>
      <c r="O527" s="110"/>
    </row>
    <row r="528" spans="1:15" ht="12" customHeight="1" x14ac:dyDescent="0.15">
      <c r="A528" s="110"/>
      <c r="B528" s="110"/>
      <c r="C528" s="110"/>
      <c r="D528" s="110"/>
      <c r="E528" s="110"/>
      <c r="F528" s="110"/>
      <c r="G528" s="110"/>
      <c r="H528" s="110"/>
      <c r="I528" s="110"/>
      <c r="J528" s="110"/>
      <c r="K528" s="110"/>
      <c r="L528" s="110"/>
      <c r="M528" s="110"/>
      <c r="N528" s="110"/>
      <c r="O528" s="110"/>
    </row>
    <row r="529" spans="1:15" ht="12" customHeight="1" x14ac:dyDescent="0.15">
      <c r="A529" s="110"/>
      <c r="B529" s="110"/>
      <c r="C529" s="110"/>
      <c r="D529" s="110"/>
      <c r="E529" s="110"/>
      <c r="F529" s="110"/>
      <c r="G529" s="110"/>
      <c r="H529" s="110"/>
      <c r="I529" s="110"/>
      <c r="J529" s="110"/>
      <c r="K529" s="110"/>
      <c r="L529" s="110"/>
      <c r="M529" s="110"/>
      <c r="N529" s="110"/>
      <c r="O529" s="110"/>
    </row>
    <row r="530" spans="1:15" ht="12" customHeight="1" x14ac:dyDescent="0.15">
      <c r="A530" s="110"/>
      <c r="B530" s="110"/>
      <c r="C530" s="110"/>
      <c r="D530" s="110"/>
      <c r="E530" s="110"/>
      <c r="F530" s="110"/>
      <c r="G530" s="110"/>
      <c r="H530" s="110"/>
      <c r="I530" s="110"/>
      <c r="J530" s="110"/>
      <c r="K530" s="110"/>
      <c r="L530" s="110"/>
      <c r="M530" s="110"/>
      <c r="N530" s="110"/>
      <c r="O530" s="110"/>
    </row>
    <row r="531" spans="1:15" ht="12" customHeight="1" x14ac:dyDescent="0.15">
      <c r="A531" s="110"/>
      <c r="B531" s="110"/>
      <c r="C531" s="110"/>
      <c r="D531" s="110"/>
      <c r="E531" s="110"/>
      <c r="F531" s="110"/>
      <c r="G531" s="110"/>
      <c r="H531" s="110"/>
      <c r="I531" s="110"/>
      <c r="J531" s="110"/>
      <c r="K531" s="110"/>
      <c r="L531" s="110"/>
      <c r="M531" s="110"/>
      <c r="N531" s="110"/>
      <c r="O531" s="110"/>
    </row>
    <row r="532" spans="1:15" ht="12" customHeight="1" x14ac:dyDescent="0.15">
      <c r="A532" s="110"/>
      <c r="B532" s="110"/>
      <c r="C532" s="110"/>
      <c r="D532" s="110"/>
      <c r="E532" s="110"/>
      <c r="F532" s="110"/>
      <c r="G532" s="110"/>
      <c r="H532" s="110"/>
      <c r="I532" s="110"/>
      <c r="J532" s="110"/>
      <c r="K532" s="110"/>
      <c r="L532" s="110"/>
      <c r="M532" s="110"/>
      <c r="N532" s="110"/>
      <c r="O532" s="110"/>
    </row>
    <row r="533" spans="1:15" ht="12" customHeight="1" x14ac:dyDescent="0.15">
      <c r="A533" s="110"/>
      <c r="B533" s="110"/>
      <c r="C533" s="110"/>
      <c r="D533" s="110"/>
      <c r="E533" s="110"/>
      <c r="F533" s="110"/>
      <c r="G533" s="110"/>
      <c r="H533" s="110"/>
      <c r="I533" s="110"/>
      <c r="J533" s="110"/>
      <c r="K533" s="110"/>
      <c r="L533" s="110"/>
      <c r="M533" s="110"/>
      <c r="N533" s="110"/>
      <c r="O533" s="110"/>
    </row>
    <row r="534" spans="1:15" ht="12" customHeight="1" x14ac:dyDescent="0.15">
      <c r="A534" s="110"/>
      <c r="B534" s="110"/>
      <c r="C534" s="110"/>
      <c r="D534" s="110"/>
      <c r="E534" s="110"/>
      <c r="F534" s="110"/>
      <c r="G534" s="110"/>
      <c r="H534" s="110"/>
      <c r="I534" s="110"/>
      <c r="J534" s="110"/>
      <c r="K534" s="110"/>
      <c r="L534" s="110"/>
      <c r="M534" s="110"/>
      <c r="N534" s="110"/>
      <c r="O534" s="110"/>
    </row>
    <row r="535" spans="1:15" ht="12" customHeight="1" x14ac:dyDescent="0.15">
      <c r="A535" s="110"/>
      <c r="B535" s="110"/>
      <c r="C535" s="110"/>
      <c r="D535" s="110"/>
      <c r="E535" s="110"/>
      <c r="F535" s="110"/>
      <c r="G535" s="110"/>
      <c r="H535" s="110"/>
      <c r="I535" s="110"/>
      <c r="J535" s="110"/>
      <c r="K535" s="110"/>
      <c r="L535" s="110"/>
      <c r="M535" s="110"/>
      <c r="N535" s="110"/>
      <c r="O535" s="110"/>
    </row>
    <row r="536" spans="1:15" ht="12" customHeight="1" x14ac:dyDescent="0.15">
      <c r="A536" s="110"/>
      <c r="B536" s="110"/>
      <c r="C536" s="110"/>
      <c r="D536" s="110"/>
      <c r="E536" s="110"/>
      <c r="F536" s="110"/>
      <c r="G536" s="110"/>
      <c r="H536" s="110"/>
      <c r="I536" s="110"/>
      <c r="J536" s="110"/>
      <c r="K536" s="110"/>
      <c r="L536" s="110"/>
      <c r="M536" s="110"/>
      <c r="N536" s="110"/>
      <c r="O536" s="110"/>
    </row>
    <row r="537" spans="1:15" ht="12" customHeight="1" x14ac:dyDescent="0.15">
      <c r="A537" s="110"/>
      <c r="B537" s="110"/>
      <c r="C537" s="110"/>
      <c r="D537" s="110"/>
      <c r="E537" s="110"/>
      <c r="F537" s="110"/>
      <c r="G537" s="110"/>
      <c r="H537" s="110"/>
      <c r="I537" s="110"/>
      <c r="J537" s="110"/>
      <c r="K537" s="110"/>
      <c r="L537" s="110"/>
      <c r="M537" s="110"/>
      <c r="N537" s="110"/>
      <c r="O537" s="110"/>
    </row>
    <row r="538" spans="1:15" ht="12" customHeight="1" x14ac:dyDescent="0.15">
      <c r="A538" s="110"/>
      <c r="B538" s="110"/>
      <c r="C538" s="110"/>
      <c r="D538" s="110"/>
      <c r="E538" s="110"/>
      <c r="F538" s="110"/>
      <c r="G538" s="110"/>
      <c r="H538" s="110"/>
      <c r="I538" s="110"/>
      <c r="J538" s="110"/>
      <c r="K538" s="110"/>
      <c r="L538" s="110"/>
      <c r="M538" s="110"/>
      <c r="N538" s="110"/>
      <c r="O538" s="110"/>
    </row>
    <row r="539" spans="1:15" ht="12" customHeight="1" x14ac:dyDescent="0.15">
      <c r="A539" s="110"/>
      <c r="B539" s="110"/>
      <c r="C539" s="110"/>
      <c r="D539" s="110"/>
      <c r="E539" s="110"/>
      <c r="F539" s="110"/>
      <c r="G539" s="110"/>
      <c r="H539" s="110"/>
      <c r="I539" s="110"/>
      <c r="J539" s="110"/>
      <c r="K539" s="110"/>
      <c r="L539" s="110"/>
      <c r="M539" s="110"/>
      <c r="N539" s="110"/>
      <c r="O539" s="110"/>
    </row>
    <row r="540" spans="1:15" ht="12" customHeight="1" x14ac:dyDescent="0.15">
      <c r="A540" s="110"/>
      <c r="B540" s="110"/>
      <c r="C540" s="110"/>
      <c r="D540" s="110"/>
      <c r="E540" s="110"/>
      <c r="F540" s="110"/>
      <c r="G540" s="110"/>
      <c r="H540" s="110"/>
      <c r="I540" s="110"/>
      <c r="J540" s="110"/>
      <c r="K540" s="110"/>
      <c r="L540" s="110"/>
      <c r="M540" s="110"/>
      <c r="N540" s="110"/>
      <c r="O540" s="110"/>
    </row>
    <row r="541" spans="1:15" ht="12" customHeight="1" x14ac:dyDescent="0.15">
      <c r="A541" s="110"/>
      <c r="B541" s="110"/>
      <c r="C541" s="110"/>
      <c r="D541" s="110"/>
      <c r="E541" s="110"/>
      <c r="F541" s="110"/>
      <c r="G541" s="110"/>
      <c r="H541" s="110"/>
      <c r="I541" s="110"/>
      <c r="J541" s="110"/>
      <c r="K541" s="110"/>
      <c r="L541" s="110"/>
      <c r="M541" s="110"/>
      <c r="N541" s="110"/>
      <c r="O541" s="110"/>
    </row>
    <row r="542" spans="1:15" ht="12" customHeight="1" x14ac:dyDescent="0.15">
      <c r="A542" s="110"/>
      <c r="B542" s="110"/>
      <c r="C542" s="110"/>
      <c r="D542" s="110"/>
      <c r="E542" s="110"/>
      <c r="F542" s="110"/>
      <c r="G542" s="110"/>
      <c r="H542" s="110"/>
      <c r="I542" s="110"/>
      <c r="J542" s="110"/>
      <c r="K542" s="110"/>
      <c r="L542" s="110"/>
      <c r="M542" s="110"/>
      <c r="N542" s="110"/>
      <c r="O542" s="110"/>
    </row>
    <row r="543" spans="1:15" ht="12" customHeight="1" x14ac:dyDescent="0.15">
      <c r="A543" s="110"/>
      <c r="B543" s="110"/>
      <c r="C543" s="110"/>
      <c r="D543" s="110"/>
      <c r="E543" s="110"/>
      <c r="F543" s="110"/>
      <c r="G543" s="110"/>
      <c r="H543" s="110"/>
      <c r="I543" s="110"/>
      <c r="J543" s="110"/>
      <c r="K543" s="110"/>
      <c r="L543" s="110"/>
      <c r="M543" s="110"/>
      <c r="N543" s="110"/>
      <c r="O543" s="110"/>
    </row>
    <row r="544" spans="1:15" ht="12" customHeight="1" x14ac:dyDescent="0.15">
      <c r="A544" s="110"/>
      <c r="B544" s="110"/>
      <c r="C544" s="110"/>
      <c r="D544" s="110"/>
      <c r="E544" s="110"/>
      <c r="F544" s="110"/>
      <c r="G544" s="110"/>
      <c r="H544" s="110"/>
      <c r="I544" s="110"/>
      <c r="J544" s="110"/>
      <c r="K544" s="110"/>
      <c r="L544" s="110"/>
      <c r="M544" s="110"/>
      <c r="N544" s="110"/>
      <c r="O544" s="110"/>
    </row>
    <row r="545" spans="1:15" ht="12" customHeight="1" x14ac:dyDescent="0.15">
      <c r="A545" s="110"/>
      <c r="B545" s="110"/>
      <c r="C545" s="110"/>
      <c r="D545" s="110"/>
      <c r="E545" s="110"/>
      <c r="F545" s="110"/>
      <c r="G545" s="110"/>
      <c r="H545" s="110"/>
      <c r="I545" s="110"/>
      <c r="J545" s="110"/>
      <c r="K545" s="110"/>
      <c r="L545" s="110"/>
      <c r="M545" s="110"/>
      <c r="N545" s="110"/>
      <c r="O545" s="110"/>
    </row>
    <row r="546" spans="1:15" ht="12" customHeight="1" x14ac:dyDescent="0.15">
      <c r="A546" s="110"/>
      <c r="B546" s="110"/>
      <c r="C546" s="110"/>
      <c r="D546" s="110"/>
      <c r="E546" s="110"/>
      <c r="F546" s="110"/>
      <c r="G546" s="110"/>
      <c r="H546" s="110"/>
      <c r="I546" s="110"/>
      <c r="J546" s="110"/>
      <c r="K546" s="110"/>
      <c r="L546" s="110"/>
      <c r="M546" s="110"/>
      <c r="N546" s="110"/>
      <c r="O546" s="110"/>
    </row>
    <row r="547" spans="1:15" ht="12" customHeight="1" x14ac:dyDescent="0.15">
      <c r="A547" s="110"/>
      <c r="B547" s="110"/>
      <c r="C547" s="110"/>
      <c r="D547" s="110"/>
      <c r="E547" s="110"/>
      <c r="F547" s="110"/>
      <c r="G547" s="110"/>
      <c r="H547" s="110"/>
      <c r="I547" s="110"/>
      <c r="J547" s="110"/>
      <c r="K547" s="110"/>
      <c r="L547" s="110"/>
      <c r="M547" s="110"/>
      <c r="N547" s="110"/>
      <c r="O547" s="110"/>
    </row>
    <row r="548" spans="1:15" ht="12" customHeight="1" x14ac:dyDescent="0.15">
      <c r="A548" s="110"/>
      <c r="B548" s="110"/>
      <c r="C548" s="110"/>
      <c r="D548" s="110"/>
      <c r="E548" s="110"/>
      <c r="F548" s="110"/>
      <c r="G548" s="110"/>
      <c r="H548" s="110"/>
      <c r="I548" s="110"/>
      <c r="J548" s="110"/>
      <c r="K548" s="110"/>
      <c r="L548" s="110"/>
      <c r="M548" s="110"/>
      <c r="N548" s="110"/>
      <c r="O548" s="110"/>
    </row>
    <row r="549" spans="1:15" ht="12" customHeight="1" x14ac:dyDescent="0.15">
      <c r="A549" s="110"/>
      <c r="B549" s="110"/>
      <c r="C549" s="110"/>
      <c r="D549" s="110"/>
      <c r="E549" s="110"/>
      <c r="F549" s="110"/>
      <c r="G549" s="110"/>
      <c r="H549" s="110"/>
      <c r="I549" s="110"/>
      <c r="J549" s="110"/>
      <c r="K549" s="110"/>
      <c r="L549" s="110"/>
      <c r="M549" s="110"/>
      <c r="N549" s="110"/>
      <c r="O549" s="110"/>
    </row>
    <row r="550" spans="1:15" ht="12" customHeight="1" x14ac:dyDescent="0.15">
      <c r="A550" s="110"/>
      <c r="B550" s="110"/>
      <c r="C550" s="110"/>
      <c r="D550" s="110"/>
      <c r="E550" s="110"/>
      <c r="F550" s="110"/>
      <c r="G550" s="110"/>
      <c r="H550" s="110"/>
      <c r="I550" s="110"/>
      <c r="J550" s="110"/>
      <c r="K550" s="110"/>
      <c r="L550" s="110"/>
      <c r="M550" s="110"/>
      <c r="N550" s="110"/>
      <c r="O550" s="110"/>
    </row>
    <row r="551" spans="1:15" ht="12" customHeight="1" x14ac:dyDescent="0.15">
      <c r="A551" s="110"/>
      <c r="B551" s="110"/>
      <c r="C551" s="110"/>
      <c r="D551" s="110"/>
      <c r="E551" s="110"/>
      <c r="F551" s="110"/>
      <c r="G551" s="110"/>
      <c r="H551" s="110"/>
      <c r="I551" s="110"/>
      <c r="J551" s="110"/>
      <c r="K551" s="110"/>
      <c r="L551" s="110"/>
      <c r="M551" s="110"/>
      <c r="N551" s="110"/>
      <c r="O551" s="110"/>
    </row>
    <row r="552" spans="1:15" ht="12" customHeight="1" x14ac:dyDescent="0.15">
      <c r="A552" s="110"/>
      <c r="B552" s="110"/>
      <c r="C552" s="110"/>
      <c r="D552" s="110"/>
      <c r="E552" s="110"/>
      <c r="F552" s="110"/>
      <c r="G552" s="110"/>
      <c r="H552" s="110"/>
      <c r="I552" s="110"/>
      <c r="J552" s="110"/>
      <c r="K552" s="110"/>
      <c r="L552" s="110"/>
      <c r="M552" s="110"/>
      <c r="N552" s="110"/>
      <c r="O552" s="110"/>
    </row>
    <row r="553" spans="1:15" ht="12" customHeight="1" x14ac:dyDescent="0.15">
      <c r="A553" s="110"/>
      <c r="B553" s="110"/>
      <c r="C553" s="110"/>
      <c r="D553" s="110"/>
      <c r="E553" s="110"/>
      <c r="F553" s="110"/>
      <c r="G553" s="110"/>
      <c r="H553" s="110"/>
      <c r="I553" s="110"/>
      <c r="J553" s="110"/>
      <c r="K553" s="110"/>
      <c r="L553" s="110"/>
      <c r="M553" s="110"/>
      <c r="N553" s="110"/>
      <c r="O553" s="110"/>
    </row>
    <row r="554" spans="1:15" ht="12" customHeight="1" x14ac:dyDescent="0.15">
      <c r="A554" s="110"/>
      <c r="B554" s="110"/>
      <c r="C554" s="110"/>
      <c r="D554" s="110"/>
      <c r="E554" s="110"/>
      <c r="F554" s="110"/>
      <c r="G554" s="110"/>
      <c r="H554" s="110"/>
      <c r="I554" s="110"/>
      <c r="J554" s="110"/>
      <c r="K554" s="110"/>
      <c r="L554" s="110"/>
      <c r="M554" s="110"/>
      <c r="N554" s="110"/>
      <c r="O554" s="110"/>
    </row>
    <row r="555" spans="1:15" ht="12" customHeight="1" x14ac:dyDescent="0.15">
      <c r="A555" s="110"/>
      <c r="B555" s="110"/>
      <c r="C555" s="110"/>
      <c r="D555" s="110"/>
      <c r="E555" s="110"/>
      <c r="F555" s="110"/>
      <c r="G555" s="110"/>
      <c r="H555" s="110"/>
      <c r="I555" s="110"/>
      <c r="J555" s="110"/>
      <c r="K555" s="110"/>
      <c r="L555" s="110"/>
      <c r="M555" s="110"/>
      <c r="N555" s="110"/>
      <c r="O555" s="110"/>
    </row>
    <row r="556" spans="1:15" ht="12" customHeight="1" x14ac:dyDescent="0.15">
      <c r="A556" s="110"/>
      <c r="B556" s="110"/>
      <c r="C556" s="110"/>
      <c r="D556" s="110"/>
      <c r="E556" s="110"/>
      <c r="F556" s="110"/>
      <c r="G556" s="110"/>
      <c r="H556" s="110"/>
      <c r="I556" s="110"/>
      <c r="J556" s="110"/>
      <c r="K556" s="110"/>
      <c r="L556" s="110"/>
      <c r="M556" s="110"/>
      <c r="N556" s="110"/>
      <c r="O556" s="110"/>
    </row>
    <row r="557" spans="1:15" ht="12" customHeight="1" x14ac:dyDescent="0.15">
      <c r="A557" s="110"/>
      <c r="B557" s="110"/>
      <c r="C557" s="110"/>
      <c r="D557" s="110"/>
      <c r="E557" s="110"/>
      <c r="F557" s="110"/>
      <c r="G557" s="110"/>
      <c r="H557" s="110"/>
      <c r="I557" s="110"/>
      <c r="J557" s="110"/>
      <c r="K557" s="110"/>
      <c r="L557" s="110"/>
      <c r="M557" s="110"/>
      <c r="N557" s="110"/>
      <c r="O557" s="110"/>
    </row>
    <row r="558" spans="1:15" ht="12" customHeight="1" x14ac:dyDescent="0.15">
      <c r="A558" s="110"/>
      <c r="B558" s="110"/>
      <c r="C558" s="110"/>
      <c r="D558" s="110"/>
      <c r="E558" s="110"/>
      <c r="F558" s="110"/>
      <c r="G558" s="110"/>
      <c r="H558" s="110"/>
      <c r="I558" s="110"/>
      <c r="J558" s="110"/>
      <c r="K558" s="110"/>
      <c r="L558" s="110"/>
      <c r="M558" s="110"/>
      <c r="N558" s="110"/>
      <c r="O558" s="110"/>
    </row>
    <row r="559" spans="1:15" ht="12" customHeight="1" x14ac:dyDescent="0.15">
      <c r="A559" s="110"/>
      <c r="B559" s="110"/>
      <c r="C559" s="110"/>
      <c r="D559" s="110"/>
      <c r="E559" s="110"/>
      <c r="F559" s="110"/>
      <c r="G559" s="110"/>
      <c r="H559" s="110"/>
      <c r="I559" s="110"/>
      <c r="J559" s="110"/>
      <c r="K559" s="110"/>
      <c r="L559" s="110"/>
      <c r="M559" s="110"/>
      <c r="N559" s="110"/>
      <c r="O559" s="110"/>
    </row>
    <row r="560" spans="1:15" ht="12" customHeight="1" x14ac:dyDescent="0.15">
      <c r="A560" s="110"/>
      <c r="B560" s="110"/>
      <c r="C560" s="110"/>
      <c r="D560" s="110"/>
      <c r="E560" s="110"/>
      <c r="F560" s="110"/>
      <c r="G560" s="110"/>
      <c r="H560" s="110"/>
      <c r="I560" s="110"/>
      <c r="J560" s="110"/>
      <c r="K560" s="110"/>
      <c r="L560" s="110"/>
      <c r="M560" s="110"/>
      <c r="N560" s="110"/>
      <c r="O560" s="110"/>
    </row>
    <row r="561" spans="1:15" ht="12" customHeight="1" x14ac:dyDescent="0.15">
      <c r="A561" s="110"/>
      <c r="B561" s="110"/>
      <c r="C561" s="110"/>
      <c r="D561" s="110"/>
      <c r="E561" s="110"/>
      <c r="F561" s="110"/>
      <c r="G561" s="110"/>
      <c r="H561" s="110"/>
      <c r="I561" s="110"/>
      <c r="J561" s="110"/>
      <c r="K561" s="110"/>
      <c r="L561" s="110"/>
      <c r="M561" s="110"/>
      <c r="N561" s="110"/>
      <c r="O561" s="110"/>
    </row>
    <row r="562" spans="1:15" ht="12" customHeight="1" x14ac:dyDescent="0.15">
      <c r="A562" s="110"/>
      <c r="B562" s="110"/>
      <c r="C562" s="110"/>
      <c r="D562" s="110"/>
      <c r="E562" s="110"/>
      <c r="F562" s="110"/>
      <c r="G562" s="110"/>
      <c r="H562" s="110"/>
      <c r="I562" s="110"/>
      <c r="J562" s="110"/>
      <c r="K562" s="110"/>
      <c r="L562" s="110"/>
      <c r="M562" s="110"/>
      <c r="N562" s="110"/>
      <c r="O562" s="110"/>
    </row>
    <row r="563" spans="1:15" ht="12" customHeight="1" x14ac:dyDescent="0.15">
      <c r="A563" s="110"/>
      <c r="B563" s="110"/>
      <c r="C563" s="110"/>
      <c r="D563" s="110"/>
      <c r="E563" s="110"/>
      <c r="F563" s="110"/>
      <c r="G563" s="110"/>
      <c r="H563" s="110"/>
      <c r="I563" s="110"/>
      <c r="J563" s="110"/>
      <c r="K563" s="110"/>
      <c r="L563" s="110"/>
      <c r="M563" s="110"/>
      <c r="N563" s="110"/>
      <c r="O563" s="110"/>
    </row>
    <row r="564" spans="1:15" ht="12" customHeight="1" x14ac:dyDescent="0.15">
      <c r="A564" s="110"/>
      <c r="B564" s="110"/>
      <c r="C564" s="110"/>
      <c r="D564" s="110"/>
      <c r="E564" s="110"/>
      <c r="F564" s="110"/>
      <c r="G564" s="110"/>
      <c r="H564" s="110"/>
      <c r="I564" s="110"/>
      <c r="J564" s="110"/>
      <c r="K564" s="110"/>
      <c r="L564" s="110"/>
      <c r="M564" s="110"/>
      <c r="N564" s="110"/>
      <c r="O564" s="110"/>
    </row>
    <row r="565" spans="1:15" ht="12" customHeight="1" x14ac:dyDescent="0.15">
      <c r="A565" s="110"/>
      <c r="B565" s="110"/>
      <c r="C565" s="110"/>
      <c r="D565" s="110"/>
      <c r="E565" s="110"/>
      <c r="F565" s="110"/>
      <c r="G565" s="110"/>
      <c r="H565" s="110"/>
      <c r="I565" s="110"/>
      <c r="J565" s="110"/>
      <c r="K565" s="110"/>
      <c r="L565" s="110"/>
      <c r="M565" s="110"/>
      <c r="N565" s="110"/>
      <c r="O565" s="110"/>
    </row>
    <row r="566" spans="1:15" ht="12" customHeight="1" x14ac:dyDescent="0.15">
      <c r="A566" s="110"/>
      <c r="B566" s="110"/>
      <c r="C566" s="110"/>
      <c r="D566" s="110"/>
      <c r="E566" s="110"/>
      <c r="F566" s="110"/>
      <c r="G566" s="110"/>
      <c r="H566" s="110"/>
      <c r="I566" s="110"/>
      <c r="J566" s="110"/>
      <c r="K566" s="110"/>
      <c r="L566" s="110"/>
      <c r="M566" s="110"/>
      <c r="N566" s="110"/>
      <c r="O566" s="110"/>
    </row>
    <row r="567" spans="1:15" ht="12" customHeight="1" x14ac:dyDescent="0.15">
      <c r="A567" s="110"/>
      <c r="B567" s="110"/>
      <c r="C567" s="110"/>
      <c r="D567" s="110"/>
      <c r="E567" s="110"/>
      <c r="F567" s="110"/>
      <c r="G567" s="110"/>
      <c r="H567" s="110"/>
      <c r="I567" s="110"/>
      <c r="J567" s="110"/>
      <c r="K567" s="110"/>
      <c r="L567" s="110"/>
      <c r="M567" s="110"/>
      <c r="N567" s="110"/>
      <c r="O567" s="110"/>
    </row>
    <row r="568" spans="1:15" ht="12" customHeight="1" x14ac:dyDescent="0.15">
      <c r="A568" s="110"/>
      <c r="B568" s="110"/>
      <c r="C568" s="110"/>
      <c r="D568" s="110"/>
      <c r="E568" s="110"/>
      <c r="F568" s="110"/>
      <c r="G568" s="110"/>
      <c r="H568" s="110"/>
      <c r="I568" s="110"/>
      <c r="J568" s="110"/>
      <c r="K568" s="110"/>
      <c r="L568" s="110"/>
      <c r="M568" s="110"/>
      <c r="N568" s="110"/>
      <c r="O568" s="110"/>
    </row>
    <row r="569" spans="1:15" ht="12" customHeight="1" x14ac:dyDescent="0.15">
      <c r="A569" s="110"/>
      <c r="B569" s="110"/>
      <c r="C569" s="110"/>
      <c r="D569" s="110"/>
      <c r="E569" s="110"/>
      <c r="F569" s="110"/>
      <c r="G569" s="110"/>
      <c r="H569" s="110"/>
      <c r="I569" s="110"/>
      <c r="J569" s="110"/>
      <c r="K569" s="110"/>
      <c r="L569" s="110"/>
      <c r="M569" s="110"/>
      <c r="N569" s="110"/>
      <c r="O569" s="110"/>
    </row>
    <row r="570" spans="1:15" ht="12" customHeight="1" x14ac:dyDescent="0.15">
      <c r="A570" s="110"/>
      <c r="B570" s="110"/>
      <c r="C570" s="110"/>
      <c r="D570" s="110"/>
      <c r="E570" s="110"/>
      <c r="F570" s="110"/>
      <c r="G570" s="110"/>
      <c r="H570" s="110"/>
      <c r="I570" s="110"/>
      <c r="J570" s="110"/>
      <c r="K570" s="110"/>
      <c r="L570" s="110"/>
      <c r="M570" s="110"/>
      <c r="N570" s="110"/>
      <c r="O570" s="110"/>
    </row>
    <row r="571" spans="1:15" ht="12" customHeight="1" x14ac:dyDescent="0.15">
      <c r="A571" s="110"/>
      <c r="B571" s="110"/>
      <c r="C571" s="110"/>
      <c r="D571" s="110"/>
      <c r="E571" s="110"/>
      <c r="F571" s="110"/>
      <c r="G571" s="110"/>
      <c r="H571" s="110"/>
      <c r="I571" s="110"/>
      <c r="J571" s="110"/>
      <c r="K571" s="110"/>
      <c r="L571" s="110"/>
      <c r="M571" s="110"/>
      <c r="N571" s="110"/>
      <c r="O571" s="110"/>
    </row>
    <row r="572" spans="1:15" ht="12" customHeight="1" x14ac:dyDescent="0.15">
      <c r="A572" s="110"/>
      <c r="B572" s="110"/>
      <c r="C572" s="110"/>
      <c r="D572" s="110"/>
      <c r="E572" s="110"/>
      <c r="F572" s="110"/>
      <c r="G572" s="110"/>
      <c r="H572" s="110"/>
      <c r="I572" s="110"/>
      <c r="J572" s="110"/>
      <c r="K572" s="110"/>
      <c r="L572" s="110"/>
      <c r="M572" s="110"/>
      <c r="N572" s="110"/>
      <c r="O572" s="110"/>
    </row>
    <row r="573" spans="1:15" ht="12" customHeight="1" x14ac:dyDescent="0.15">
      <c r="A573" s="110"/>
      <c r="B573" s="110"/>
      <c r="C573" s="110"/>
      <c r="D573" s="110"/>
      <c r="E573" s="110"/>
      <c r="F573" s="110"/>
      <c r="G573" s="110"/>
      <c r="H573" s="110"/>
      <c r="I573" s="110"/>
      <c r="J573" s="110"/>
      <c r="K573" s="110"/>
      <c r="L573" s="110"/>
      <c r="M573" s="110"/>
      <c r="N573" s="110"/>
      <c r="O573" s="110"/>
    </row>
    <row r="574" spans="1:15" ht="12" customHeight="1" x14ac:dyDescent="0.15">
      <c r="A574" s="110"/>
      <c r="B574" s="110"/>
      <c r="C574" s="110"/>
      <c r="D574" s="110"/>
      <c r="E574" s="110"/>
      <c r="F574" s="110"/>
      <c r="G574" s="110"/>
      <c r="H574" s="110"/>
      <c r="I574" s="110"/>
      <c r="J574" s="110"/>
      <c r="K574" s="110"/>
      <c r="L574" s="110"/>
      <c r="M574" s="110"/>
      <c r="N574" s="110"/>
      <c r="O574" s="110"/>
    </row>
    <row r="575" spans="1:15" ht="12" customHeight="1" x14ac:dyDescent="0.15">
      <c r="A575" s="110"/>
      <c r="B575" s="110"/>
      <c r="C575" s="110"/>
      <c r="D575" s="110"/>
      <c r="E575" s="110"/>
      <c r="F575" s="110"/>
      <c r="G575" s="110"/>
      <c r="H575" s="110"/>
      <c r="I575" s="110"/>
      <c r="J575" s="110"/>
      <c r="K575" s="110"/>
      <c r="L575" s="110"/>
      <c r="M575" s="110"/>
      <c r="N575" s="110"/>
      <c r="O575" s="110"/>
    </row>
    <row r="576" spans="1:15" ht="12" customHeight="1" x14ac:dyDescent="0.15">
      <c r="A576" s="110"/>
      <c r="B576" s="110"/>
      <c r="C576" s="110"/>
      <c r="D576" s="110"/>
      <c r="E576" s="110"/>
      <c r="F576" s="110"/>
      <c r="G576" s="110"/>
      <c r="H576" s="110"/>
      <c r="I576" s="110"/>
      <c r="J576" s="110"/>
      <c r="K576" s="110"/>
      <c r="L576" s="110"/>
      <c r="M576" s="110"/>
      <c r="N576" s="110"/>
      <c r="O576" s="110"/>
    </row>
    <row r="577" spans="1:15" ht="12" customHeight="1" x14ac:dyDescent="0.15">
      <c r="A577" s="110"/>
      <c r="B577" s="110"/>
      <c r="C577" s="110"/>
      <c r="D577" s="110"/>
      <c r="E577" s="110"/>
      <c r="F577" s="110"/>
      <c r="G577" s="110"/>
      <c r="H577" s="110"/>
      <c r="I577" s="110"/>
      <c r="J577" s="110"/>
      <c r="K577" s="110"/>
      <c r="L577" s="110"/>
      <c r="M577" s="110"/>
      <c r="N577" s="110"/>
      <c r="O577" s="110"/>
    </row>
    <row r="578" spans="1:15" ht="12" customHeight="1" x14ac:dyDescent="0.15">
      <c r="A578" s="110"/>
      <c r="B578" s="110"/>
      <c r="C578" s="110"/>
      <c r="D578" s="110"/>
      <c r="E578" s="110"/>
      <c r="F578" s="110"/>
      <c r="G578" s="110"/>
      <c r="H578" s="110"/>
      <c r="I578" s="110"/>
      <c r="J578" s="110"/>
      <c r="K578" s="110"/>
      <c r="L578" s="110"/>
      <c r="M578" s="110"/>
      <c r="N578" s="110"/>
      <c r="O578" s="110"/>
    </row>
    <row r="579" spans="1:15" ht="12" customHeight="1" x14ac:dyDescent="0.15">
      <c r="A579" s="110"/>
      <c r="B579" s="110"/>
      <c r="C579" s="110"/>
      <c r="D579" s="110"/>
      <c r="E579" s="110"/>
      <c r="F579" s="110"/>
      <c r="G579" s="110"/>
      <c r="H579" s="110"/>
      <c r="I579" s="110"/>
      <c r="J579" s="110"/>
      <c r="K579" s="110"/>
      <c r="L579" s="110"/>
      <c r="M579" s="110"/>
      <c r="N579" s="110"/>
      <c r="O579" s="110"/>
    </row>
    <row r="580" spans="1:15" ht="12" customHeight="1" x14ac:dyDescent="0.15">
      <c r="A580" s="110"/>
      <c r="B580" s="110"/>
      <c r="C580" s="110"/>
      <c r="D580" s="110"/>
      <c r="E580" s="110"/>
      <c r="F580" s="110"/>
      <c r="G580" s="110"/>
      <c r="H580" s="110"/>
      <c r="I580" s="110"/>
      <c r="J580" s="110"/>
      <c r="K580" s="110"/>
      <c r="L580" s="110"/>
      <c r="M580" s="110"/>
      <c r="N580" s="110"/>
      <c r="O580" s="110"/>
    </row>
    <row r="581" spans="1:15" ht="12" customHeight="1" x14ac:dyDescent="0.15">
      <c r="A581" s="110"/>
      <c r="B581" s="110"/>
      <c r="C581" s="110"/>
      <c r="D581" s="110"/>
      <c r="E581" s="110"/>
      <c r="F581" s="110"/>
      <c r="G581" s="110"/>
      <c r="H581" s="110"/>
      <c r="I581" s="110"/>
      <c r="J581" s="110"/>
      <c r="K581" s="110"/>
      <c r="L581" s="110"/>
      <c r="M581" s="110"/>
      <c r="N581" s="110"/>
      <c r="O581" s="110"/>
    </row>
    <row r="582" spans="1:15" ht="12" customHeight="1" x14ac:dyDescent="0.15">
      <c r="A582" s="110"/>
      <c r="B582" s="110"/>
      <c r="C582" s="110"/>
      <c r="D582" s="110"/>
      <c r="E582" s="110"/>
      <c r="F582" s="110"/>
      <c r="G582" s="110"/>
      <c r="H582" s="110"/>
      <c r="I582" s="110"/>
      <c r="J582" s="110"/>
      <c r="K582" s="110"/>
      <c r="L582" s="110"/>
      <c r="M582" s="110"/>
      <c r="N582" s="110"/>
      <c r="O582" s="110"/>
    </row>
    <row r="583" spans="1:15" ht="12" customHeight="1" x14ac:dyDescent="0.15">
      <c r="A583" s="110"/>
      <c r="B583" s="110"/>
      <c r="C583" s="110"/>
      <c r="D583" s="110"/>
      <c r="E583" s="110"/>
      <c r="F583" s="110"/>
      <c r="G583" s="110"/>
      <c r="H583" s="110"/>
      <c r="I583" s="110"/>
      <c r="J583" s="110"/>
      <c r="K583" s="110"/>
      <c r="L583" s="110"/>
      <c r="M583" s="110"/>
      <c r="N583" s="110"/>
      <c r="O583" s="110"/>
    </row>
    <row r="584" spans="1:15" ht="12" customHeight="1" x14ac:dyDescent="0.15">
      <c r="A584" s="110"/>
      <c r="B584" s="110"/>
      <c r="C584" s="110"/>
      <c r="D584" s="110"/>
      <c r="E584" s="110"/>
      <c r="F584" s="110"/>
      <c r="G584" s="110"/>
      <c r="H584" s="110"/>
      <c r="I584" s="110"/>
      <c r="J584" s="110"/>
      <c r="K584" s="110"/>
      <c r="L584" s="110"/>
      <c r="M584" s="110"/>
      <c r="N584" s="110"/>
      <c r="O584" s="110"/>
    </row>
    <row r="585" spans="1:15" ht="12" customHeight="1" x14ac:dyDescent="0.15">
      <c r="A585" s="110"/>
      <c r="B585" s="110"/>
      <c r="C585" s="110"/>
      <c r="D585" s="110"/>
      <c r="E585" s="110"/>
      <c r="F585" s="110"/>
      <c r="G585" s="110"/>
      <c r="H585" s="110"/>
      <c r="I585" s="110"/>
      <c r="J585" s="110"/>
      <c r="K585" s="110"/>
      <c r="L585" s="110"/>
      <c r="M585" s="110"/>
      <c r="N585" s="110"/>
      <c r="O585" s="110"/>
    </row>
    <row r="586" spans="1:15" ht="12" customHeight="1" x14ac:dyDescent="0.15">
      <c r="A586" s="110"/>
      <c r="B586" s="110"/>
      <c r="C586" s="110"/>
      <c r="D586" s="110"/>
      <c r="E586" s="110"/>
      <c r="F586" s="110"/>
      <c r="G586" s="110"/>
      <c r="H586" s="110"/>
      <c r="I586" s="110"/>
      <c r="J586" s="110"/>
      <c r="K586" s="110"/>
      <c r="L586" s="110"/>
      <c r="M586" s="110"/>
      <c r="N586" s="110"/>
      <c r="O586" s="110"/>
    </row>
    <row r="587" spans="1:15" ht="12" customHeight="1" x14ac:dyDescent="0.15">
      <c r="A587" s="110"/>
      <c r="B587" s="110"/>
      <c r="C587" s="110"/>
      <c r="D587" s="110"/>
      <c r="E587" s="110"/>
      <c r="F587" s="110"/>
      <c r="G587" s="110"/>
      <c r="H587" s="110"/>
      <c r="I587" s="110"/>
      <c r="J587" s="110"/>
      <c r="K587" s="110"/>
      <c r="L587" s="110"/>
      <c r="M587" s="110"/>
      <c r="N587" s="110"/>
      <c r="O587" s="110"/>
    </row>
    <row r="588" spans="1:15" ht="12" customHeight="1" x14ac:dyDescent="0.15">
      <c r="A588" s="110"/>
      <c r="B588" s="110"/>
      <c r="C588" s="110"/>
      <c r="D588" s="110"/>
      <c r="E588" s="110"/>
      <c r="F588" s="110"/>
      <c r="G588" s="110"/>
      <c r="H588" s="110"/>
      <c r="I588" s="110"/>
      <c r="J588" s="110"/>
      <c r="K588" s="110"/>
      <c r="L588" s="110"/>
      <c r="M588" s="110"/>
      <c r="N588" s="110"/>
      <c r="O588" s="110"/>
    </row>
    <row r="589" spans="1:15" ht="12" customHeight="1" x14ac:dyDescent="0.15">
      <c r="A589" s="110"/>
      <c r="B589" s="110"/>
      <c r="C589" s="110"/>
      <c r="D589" s="110"/>
      <c r="E589" s="110"/>
      <c r="F589" s="110"/>
      <c r="G589" s="110"/>
      <c r="H589" s="110"/>
      <c r="I589" s="110"/>
      <c r="J589" s="110"/>
      <c r="K589" s="110"/>
      <c r="L589" s="110"/>
      <c r="M589" s="110"/>
      <c r="N589" s="110"/>
      <c r="O589" s="110"/>
    </row>
    <row r="590" spans="1:15" ht="12" customHeight="1" x14ac:dyDescent="0.15">
      <c r="A590" s="110"/>
      <c r="B590" s="110"/>
      <c r="C590" s="110"/>
      <c r="D590" s="110"/>
      <c r="E590" s="110"/>
      <c r="F590" s="110"/>
      <c r="G590" s="110"/>
      <c r="H590" s="110"/>
      <c r="I590" s="110"/>
      <c r="J590" s="110"/>
      <c r="K590" s="110"/>
      <c r="L590" s="110"/>
      <c r="M590" s="110"/>
      <c r="N590" s="110"/>
      <c r="O590" s="110"/>
    </row>
    <row r="591" spans="1:15" ht="12" customHeight="1" x14ac:dyDescent="0.15">
      <c r="A591" s="110"/>
      <c r="B591" s="110"/>
      <c r="C591" s="110"/>
      <c r="D591" s="110"/>
      <c r="E591" s="110"/>
      <c r="F591" s="110"/>
      <c r="G591" s="110"/>
      <c r="H591" s="110"/>
      <c r="I591" s="110"/>
      <c r="J591" s="110"/>
      <c r="K591" s="110"/>
      <c r="L591" s="110"/>
      <c r="M591" s="110"/>
      <c r="N591" s="110"/>
      <c r="O591" s="110"/>
    </row>
    <row r="592" spans="1:15" ht="12" customHeight="1" x14ac:dyDescent="0.15">
      <c r="A592" s="110"/>
      <c r="B592" s="110"/>
      <c r="C592" s="110"/>
      <c r="D592" s="110"/>
      <c r="E592" s="110"/>
      <c r="F592" s="110"/>
      <c r="G592" s="110"/>
      <c r="H592" s="110"/>
      <c r="I592" s="110"/>
      <c r="J592" s="110"/>
      <c r="K592" s="110"/>
      <c r="L592" s="110"/>
      <c r="M592" s="110"/>
      <c r="N592" s="110"/>
      <c r="O592" s="110"/>
    </row>
    <row r="593" spans="1:15" ht="12" customHeight="1" x14ac:dyDescent="0.15">
      <c r="A593" s="110"/>
      <c r="B593" s="110"/>
      <c r="C593" s="110"/>
      <c r="D593" s="110"/>
      <c r="E593" s="110"/>
      <c r="F593" s="110"/>
      <c r="G593" s="110"/>
      <c r="H593" s="110"/>
      <c r="I593" s="110"/>
      <c r="J593" s="110"/>
      <c r="K593" s="110"/>
      <c r="L593" s="110"/>
      <c r="M593" s="110"/>
      <c r="N593" s="110"/>
      <c r="O593" s="110"/>
    </row>
    <row r="594" spans="1:15" ht="12" customHeight="1" x14ac:dyDescent="0.15">
      <c r="A594" s="110"/>
      <c r="B594" s="110"/>
      <c r="C594" s="110"/>
      <c r="D594" s="110"/>
      <c r="E594" s="110"/>
      <c r="F594" s="110"/>
      <c r="G594" s="110"/>
      <c r="H594" s="110"/>
      <c r="I594" s="110"/>
      <c r="J594" s="110"/>
      <c r="K594" s="110"/>
      <c r="L594" s="110"/>
      <c r="M594" s="110"/>
      <c r="N594" s="110"/>
      <c r="O594" s="110"/>
    </row>
    <row r="595" spans="1:15" ht="12" customHeight="1" x14ac:dyDescent="0.15">
      <c r="A595" s="110"/>
      <c r="B595" s="110"/>
      <c r="C595" s="110"/>
      <c r="D595" s="110"/>
      <c r="E595" s="110"/>
      <c r="F595" s="110"/>
      <c r="G595" s="110"/>
      <c r="H595" s="110"/>
      <c r="I595" s="110"/>
      <c r="J595" s="110"/>
      <c r="K595" s="110"/>
      <c r="L595" s="110"/>
      <c r="M595" s="110"/>
      <c r="N595" s="110"/>
      <c r="O595" s="110"/>
    </row>
    <row r="596" spans="1:15" ht="12" customHeight="1" x14ac:dyDescent="0.15">
      <c r="A596" s="110"/>
      <c r="B596" s="110"/>
      <c r="C596" s="110"/>
      <c r="D596" s="110"/>
      <c r="E596" s="110"/>
      <c r="F596" s="110"/>
      <c r="G596" s="110"/>
      <c r="H596" s="110"/>
      <c r="I596" s="110"/>
      <c r="J596" s="110"/>
      <c r="K596" s="110"/>
      <c r="L596" s="110"/>
      <c r="M596" s="110"/>
      <c r="N596" s="110"/>
      <c r="O596" s="110"/>
    </row>
    <row r="597" spans="1:15" ht="12" customHeight="1" x14ac:dyDescent="0.15">
      <c r="A597" s="110"/>
      <c r="B597" s="110"/>
      <c r="C597" s="110"/>
      <c r="D597" s="110"/>
      <c r="E597" s="110"/>
      <c r="F597" s="110"/>
      <c r="G597" s="110"/>
      <c r="H597" s="110"/>
      <c r="I597" s="110"/>
      <c r="J597" s="110"/>
      <c r="K597" s="110"/>
      <c r="L597" s="110"/>
      <c r="M597" s="110"/>
      <c r="N597" s="110"/>
      <c r="O597" s="110"/>
    </row>
    <row r="598" spans="1:15" ht="12" customHeight="1" x14ac:dyDescent="0.15">
      <c r="A598" s="110"/>
      <c r="B598" s="110"/>
      <c r="C598" s="110"/>
      <c r="D598" s="110"/>
      <c r="E598" s="110"/>
      <c r="F598" s="110"/>
      <c r="G598" s="110"/>
      <c r="H598" s="110"/>
      <c r="I598" s="110"/>
      <c r="J598" s="110"/>
      <c r="K598" s="110"/>
      <c r="L598" s="110"/>
      <c r="M598" s="110"/>
      <c r="N598" s="110"/>
      <c r="O598" s="110"/>
    </row>
    <row r="599" spans="1:15" ht="12" customHeight="1" x14ac:dyDescent="0.15">
      <c r="A599" s="110"/>
      <c r="B599" s="110"/>
      <c r="C599" s="110"/>
      <c r="D599" s="110"/>
      <c r="E599" s="110"/>
      <c r="F599" s="110"/>
      <c r="G599" s="110"/>
      <c r="H599" s="110"/>
      <c r="I599" s="110"/>
      <c r="J599" s="110"/>
      <c r="K599" s="110"/>
      <c r="L599" s="110"/>
      <c r="M599" s="110"/>
      <c r="N599" s="110"/>
      <c r="O599" s="110"/>
    </row>
    <row r="600" spans="1:15" ht="12" customHeight="1" x14ac:dyDescent="0.15">
      <c r="A600" s="110"/>
      <c r="B600" s="110"/>
      <c r="C600" s="110"/>
      <c r="D600" s="110"/>
      <c r="E600" s="110"/>
      <c r="F600" s="110"/>
      <c r="G600" s="110"/>
      <c r="H600" s="110"/>
      <c r="I600" s="110"/>
      <c r="J600" s="110"/>
      <c r="K600" s="110"/>
      <c r="L600" s="110"/>
      <c r="M600" s="110"/>
      <c r="N600" s="110"/>
      <c r="O600" s="110"/>
    </row>
    <row r="601" spans="1:15" ht="12" customHeight="1" x14ac:dyDescent="0.15">
      <c r="A601" s="110"/>
      <c r="B601" s="110"/>
      <c r="C601" s="110"/>
      <c r="D601" s="110"/>
      <c r="E601" s="110"/>
      <c r="F601" s="110"/>
      <c r="G601" s="110"/>
      <c r="H601" s="110"/>
      <c r="I601" s="110"/>
      <c r="J601" s="110"/>
      <c r="K601" s="110"/>
      <c r="L601" s="110"/>
      <c r="M601" s="110"/>
      <c r="N601" s="110"/>
      <c r="O601" s="110"/>
    </row>
    <row r="602" spans="1:15" ht="12" customHeight="1" x14ac:dyDescent="0.15">
      <c r="A602" s="110"/>
      <c r="B602" s="110"/>
      <c r="C602" s="110"/>
      <c r="D602" s="110"/>
      <c r="E602" s="110"/>
      <c r="F602" s="110"/>
      <c r="G602" s="110"/>
      <c r="H602" s="110"/>
      <c r="I602" s="110"/>
      <c r="J602" s="110"/>
      <c r="K602" s="110"/>
      <c r="L602" s="110"/>
      <c r="M602" s="110"/>
      <c r="N602" s="110"/>
      <c r="O602" s="110"/>
    </row>
    <row r="603" spans="1:15" ht="12" customHeight="1" x14ac:dyDescent="0.15">
      <c r="A603" s="110"/>
      <c r="B603" s="110"/>
      <c r="C603" s="110"/>
      <c r="D603" s="110"/>
      <c r="E603" s="110"/>
      <c r="F603" s="110"/>
      <c r="G603" s="110"/>
      <c r="H603" s="110"/>
      <c r="I603" s="110"/>
      <c r="J603" s="110"/>
      <c r="K603" s="110"/>
      <c r="L603" s="110"/>
      <c r="M603" s="110"/>
      <c r="N603" s="110"/>
      <c r="O603" s="110"/>
    </row>
    <row r="604" spans="1:15" ht="12" customHeight="1" x14ac:dyDescent="0.15">
      <c r="A604" s="110"/>
      <c r="B604" s="110"/>
      <c r="C604" s="110"/>
      <c r="D604" s="110"/>
      <c r="E604" s="110"/>
      <c r="F604" s="110"/>
      <c r="G604" s="110"/>
      <c r="H604" s="110"/>
      <c r="I604" s="110"/>
      <c r="J604" s="110"/>
      <c r="K604" s="110"/>
      <c r="L604" s="110"/>
      <c r="M604" s="110"/>
      <c r="N604" s="110"/>
      <c r="O604" s="110"/>
    </row>
    <row r="605" spans="1:15" ht="12" customHeight="1" x14ac:dyDescent="0.15">
      <c r="A605" s="110"/>
      <c r="B605" s="110"/>
      <c r="C605" s="110"/>
      <c r="D605" s="110"/>
      <c r="E605" s="110"/>
      <c r="F605" s="110"/>
      <c r="G605" s="110"/>
      <c r="H605" s="110"/>
      <c r="I605" s="110"/>
      <c r="J605" s="110"/>
      <c r="K605" s="110"/>
      <c r="L605" s="110"/>
      <c r="M605" s="110"/>
      <c r="N605" s="110"/>
      <c r="O605" s="110"/>
    </row>
    <row r="606" spans="1:15" ht="12" customHeight="1" x14ac:dyDescent="0.15">
      <c r="A606" s="110"/>
      <c r="B606" s="110"/>
      <c r="C606" s="110"/>
      <c r="D606" s="110"/>
      <c r="E606" s="110"/>
      <c r="F606" s="110"/>
      <c r="G606" s="110"/>
      <c r="H606" s="110"/>
      <c r="I606" s="110"/>
      <c r="J606" s="110"/>
      <c r="K606" s="110"/>
      <c r="L606" s="110"/>
      <c r="M606" s="110"/>
      <c r="N606" s="110"/>
      <c r="O606" s="110"/>
    </row>
    <row r="607" spans="1:15" ht="12" customHeight="1" x14ac:dyDescent="0.15">
      <c r="A607" s="110"/>
      <c r="B607" s="110"/>
      <c r="C607" s="110"/>
      <c r="D607" s="110"/>
      <c r="E607" s="110"/>
      <c r="F607" s="110"/>
      <c r="G607" s="110"/>
      <c r="H607" s="110"/>
      <c r="I607" s="110"/>
      <c r="J607" s="110"/>
      <c r="K607" s="110"/>
      <c r="L607" s="110"/>
      <c r="M607" s="110"/>
      <c r="N607" s="110"/>
      <c r="O607" s="110"/>
    </row>
    <row r="608" spans="1:15" ht="12" customHeight="1" x14ac:dyDescent="0.15">
      <c r="A608" s="110"/>
      <c r="B608" s="110"/>
      <c r="C608" s="110"/>
      <c r="D608" s="110"/>
      <c r="E608" s="110"/>
      <c r="F608" s="110"/>
      <c r="G608" s="110"/>
      <c r="H608" s="110"/>
      <c r="I608" s="110"/>
      <c r="J608" s="110"/>
      <c r="K608" s="110"/>
      <c r="L608" s="110"/>
      <c r="M608" s="110"/>
      <c r="N608" s="110"/>
      <c r="O608" s="110"/>
    </row>
    <row r="609" spans="1:15" ht="12" customHeight="1" x14ac:dyDescent="0.15">
      <c r="A609" s="110"/>
      <c r="B609" s="110"/>
      <c r="C609" s="110"/>
      <c r="D609" s="110"/>
      <c r="E609" s="110"/>
      <c r="F609" s="110"/>
      <c r="G609" s="110"/>
      <c r="H609" s="110"/>
      <c r="I609" s="110"/>
      <c r="J609" s="110"/>
      <c r="K609" s="110"/>
      <c r="L609" s="110"/>
      <c r="M609" s="110"/>
      <c r="N609" s="110"/>
      <c r="O609" s="110"/>
    </row>
    <row r="610" spans="1:15" ht="12" customHeight="1" x14ac:dyDescent="0.15">
      <c r="A610" s="110"/>
      <c r="B610" s="110"/>
      <c r="C610" s="110"/>
      <c r="D610" s="110"/>
      <c r="E610" s="110"/>
      <c r="F610" s="110"/>
      <c r="G610" s="110"/>
      <c r="H610" s="110"/>
      <c r="I610" s="110"/>
      <c r="J610" s="110"/>
      <c r="K610" s="110"/>
      <c r="L610" s="110"/>
      <c r="M610" s="110"/>
      <c r="N610" s="110"/>
      <c r="O610" s="110"/>
    </row>
    <row r="611" spans="1:15" ht="12" customHeight="1" x14ac:dyDescent="0.15">
      <c r="A611" s="110"/>
      <c r="B611" s="110"/>
      <c r="C611" s="110"/>
      <c r="D611" s="110"/>
      <c r="E611" s="110"/>
      <c r="F611" s="110"/>
      <c r="G611" s="110"/>
      <c r="H611" s="110"/>
      <c r="I611" s="110"/>
      <c r="J611" s="110"/>
      <c r="K611" s="110"/>
      <c r="L611" s="110"/>
      <c r="M611" s="110"/>
      <c r="N611" s="110"/>
      <c r="O611" s="110"/>
    </row>
    <row r="612" spans="1:15" ht="12" customHeight="1" x14ac:dyDescent="0.15">
      <c r="A612" s="110"/>
      <c r="B612" s="110"/>
      <c r="C612" s="110"/>
      <c r="D612" s="110"/>
      <c r="E612" s="110"/>
      <c r="F612" s="110"/>
      <c r="G612" s="110"/>
      <c r="H612" s="110"/>
      <c r="I612" s="110"/>
      <c r="J612" s="110"/>
      <c r="K612" s="110"/>
      <c r="L612" s="110"/>
      <c r="M612" s="110"/>
      <c r="N612" s="110"/>
      <c r="O612" s="110"/>
    </row>
    <row r="613" spans="1:15" ht="12" customHeight="1" x14ac:dyDescent="0.15">
      <c r="A613" s="110"/>
      <c r="B613" s="110"/>
      <c r="C613" s="110"/>
      <c r="D613" s="110"/>
      <c r="E613" s="110"/>
      <c r="F613" s="110"/>
      <c r="G613" s="110"/>
      <c r="H613" s="110"/>
      <c r="I613" s="110"/>
      <c r="J613" s="110"/>
      <c r="K613" s="110"/>
      <c r="L613" s="110"/>
      <c r="M613" s="110"/>
      <c r="N613" s="110"/>
      <c r="O613" s="110"/>
    </row>
    <row r="614" spans="1:15" ht="12" customHeight="1" x14ac:dyDescent="0.15">
      <c r="A614" s="110"/>
      <c r="B614" s="110"/>
      <c r="C614" s="110"/>
      <c r="D614" s="110"/>
      <c r="E614" s="110"/>
      <c r="F614" s="110"/>
      <c r="G614" s="110"/>
      <c r="H614" s="110"/>
      <c r="I614" s="110"/>
      <c r="J614" s="110"/>
      <c r="K614" s="110"/>
      <c r="L614" s="110"/>
      <c r="M614" s="110"/>
      <c r="N614" s="110"/>
      <c r="O614" s="110"/>
    </row>
    <row r="615" spans="1:15" ht="12" customHeight="1" x14ac:dyDescent="0.15">
      <c r="A615" s="110"/>
      <c r="B615" s="110"/>
      <c r="C615" s="110"/>
      <c r="D615" s="110"/>
      <c r="E615" s="110"/>
      <c r="F615" s="110"/>
      <c r="G615" s="110"/>
      <c r="H615" s="110"/>
      <c r="I615" s="110"/>
      <c r="J615" s="110"/>
      <c r="K615" s="110"/>
      <c r="L615" s="110"/>
      <c r="M615" s="110"/>
      <c r="N615" s="110"/>
      <c r="O615" s="110"/>
    </row>
    <row r="616" spans="1:15" ht="12" customHeight="1" x14ac:dyDescent="0.15">
      <c r="A616" s="110"/>
      <c r="B616" s="110"/>
      <c r="C616" s="110"/>
      <c r="D616" s="110"/>
      <c r="E616" s="110"/>
      <c r="F616" s="110"/>
      <c r="G616" s="110"/>
      <c r="H616" s="110"/>
      <c r="I616" s="110"/>
      <c r="J616" s="110"/>
      <c r="K616" s="110"/>
      <c r="L616" s="110"/>
      <c r="M616" s="110"/>
      <c r="N616" s="110"/>
      <c r="O616" s="110"/>
    </row>
    <row r="617" spans="1:15" ht="12" customHeight="1" x14ac:dyDescent="0.15">
      <c r="A617" s="110"/>
      <c r="B617" s="110"/>
      <c r="C617" s="110"/>
      <c r="D617" s="110"/>
      <c r="E617" s="110"/>
      <c r="F617" s="110"/>
      <c r="G617" s="110"/>
      <c r="H617" s="110"/>
      <c r="I617" s="110"/>
      <c r="J617" s="110"/>
      <c r="K617" s="110"/>
      <c r="L617" s="110"/>
      <c r="M617" s="110"/>
      <c r="N617" s="110"/>
      <c r="O617" s="110"/>
    </row>
    <row r="618" spans="1:15" ht="12" customHeight="1" x14ac:dyDescent="0.15">
      <c r="A618" s="110"/>
      <c r="B618" s="110"/>
      <c r="C618" s="110"/>
      <c r="D618" s="110"/>
      <c r="E618" s="110"/>
      <c r="F618" s="110"/>
      <c r="G618" s="110"/>
      <c r="H618" s="110"/>
      <c r="I618" s="110"/>
      <c r="J618" s="110"/>
      <c r="K618" s="110"/>
      <c r="L618" s="110"/>
      <c r="M618" s="110"/>
      <c r="N618" s="110"/>
      <c r="O618" s="110"/>
    </row>
    <row r="619" spans="1:15" ht="12" customHeight="1" x14ac:dyDescent="0.15">
      <c r="A619" s="110"/>
      <c r="B619" s="110"/>
      <c r="C619" s="110"/>
      <c r="D619" s="110"/>
      <c r="E619" s="110"/>
      <c r="F619" s="110"/>
      <c r="G619" s="110"/>
      <c r="H619" s="110"/>
      <c r="I619" s="110"/>
      <c r="J619" s="110"/>
      <c r="K619" s="110"/>
      <c r="L619" s="110"/>
      <c r="M619" s="110"/>
      <c r="N619" s="110"/>
      <c r="O619" s="110"/>
    </row>
    <row r="620" spans="1:15" ht="12" customHeight="1" x14ac:dyDescent="0.15">
      <c r="A620" s="110"/>
      <c r="B620" s="110"/>
      <c r="C620" s="110"/>
      <c r="D620" s="110"/>
      <c r="E620" s="110"/>
      <c r="F620" s="110"/>
      <c r="G620" s="110"/>
      <c r="H620" s="110"/>
      <c r="I620" s="110"/>
      <c r="J620" s="110"/>
      <c r="K620" s="110"/>
      <c r="L620" s="110"/>
      <c r="M620" s="110"/>
      <c r="N620" s="110"/>
      <c r="O620" s="110"/>
    </row>
    <row r="621" spans="1:15" ht="12" customHeight="1" x14ac:dyDescent="0.15">
      <c r="A621" s="110"/>
      <c r="B621" s="110"/>
      <c r="C621" s="110"/>
      <c r="D621" s="110"/>
      <c r="E621" s="110"/>
      <c r="F621" s="110"/>
      <c r="G621" s="110"/>
      <c r="H621" s="110"/>
      <c r="I621" s="110"/>
      <c r="J621" s="110"/>
      <c r="K621" s="110"/>
      <c r="L621" s="110"/>
      <c r="M621" s="110"/>
      <c r="N621" s="110"/>
      <c r="O621" s="110"/>
    </row>
    <row r="622" spans="1:15" ht="12" customHeight="1" x14ac:dyDescent="0.15">
      <c r="A622" s="110"/>
      <c r="B622" s="110"/>
      <c r="C622" s="110"/>
      <c r="D622" s="110"/>
      <c r="E622" s="110"/>
      <c r="F622" s="110"/>
      <c r="G622" s="110"/>
      <c r="H622" s="110"/>
      <c r="I622" s="110"/>
      <c r="J622" s="110"/>
      <c r="K622" s="110"/>
      <c r="L622" s="110"/>
      <c r="M622" s="110"/>
      <c r="N622" s="110"/>
      <c r="O622" s="110"/>
    </row>
    <row r="623" spans="1:15" ht="12" customHeight="1" x14ac:dyDescent="0.15">
      <c r="A623" s="110"/>
      <c r="B623" s="110"/>
      <c r="C623" s="110"/>
      <c r="D623" s="110"/>
      <c r="E623" s="110"/>
      <c r="F623" s="110"/>
      <c r="G623" s="110"/>
      <c r="H623" s="110"/>
      <c r="I623" s="110"/>
      <c r="J623" s="110"/>
      <c r="K623" s="110"/>
      <c r="L623" s="110"/>
      <c r="M623" s="110"/>
      <c r="N623" s="110"/>
      <c r="O623" s="110"/>
    </row>
    <row r="624" spans="1:15" ht="12" customHeight="1" x14ac:dyDescent="0.15">
      <c r="A624" s="110"/>
      <c r="B624" s="110"/>
      <c r="C624" s="110"/>
      <c r="D624" s="110"/>
      <c r="E624" s="110"/>
      <c r="F624" s="110"/>
      <c r="G624" s="110"/>
      <c r="H624" s="110"/>
      <c r="I624" s="110"/>
      <c r="J624" s="110"/>
      <c r="K624" s="110"/>
      <c r="L624" s="110"/>
      <c r="M624" s="110"/>
      <c r="N624" s="110"/>
      <c r="O624" s="110"/>
    </row>
    <row r="625" spans="1:15" ht="12" customHeight="1" x14ac:dyDescent="0.15">
      <c r="A625" s="110"/>
      <c r="B625" s="110"/>
      <c r="C625" s="110"/>
      <c r="D625" s="110"/>
      <c r="E625" s="110"/>
      <c r="F625" s="110"/>
      <c r="G625" s="110"/>
      <c r="H625" s="110"/>
      <c r="I625" s="110"/>
      <c r="J625" s="110"/>
      <c r="K625" s="110"/>
      <c r="L625" s="110"/>
      <c r="M625" s="110"/>
      <c r="N625" s="110"/>
      <c r="O625" s="110"/>
    </row>
    <row r="626" spans="1:15" ht="12" customHeight="1" x14ac:dyDescent="0.15">
      <c r="A626" s="110"/>
      <c r="B626" s="110"/>
      <c r="C626" s="110"/>
      <c r="D626" s="110"/>
      <c r="E626" s="110"/>
      <c r="F626" s="110"/>
      <c r="G626" s="110"/>
      <c r="H626" s="110"/>
      <c r="I626" s="110"/>
      <c r="J626" s="110"/>
      <c r="K626" s="110"/>
      <c r="L626" s="110"/>
      <c r="M626" s="110"/>
      <c r="N626" s="110"/>
      <c r="O626" s="110"/>
    </row>
    <row r="627" spans="1:15" ht="12" customHeight="1" x14ac:dyDescent="0.15">
      <c r="A627" s="110"/>
      <c r="B627" s="110"/>
      <c r="C627" s="110"/>
      <c r="D627" s="110"/>
      <c r="E627" s="110"/>
      <c r="F627" s="110"/>
      <c r="G627" s="110"/>
      <c r="H627" s="110"/>
      <c r="I627" s="110"/>
      <c r="J627" s="110"/>
      <c r="K627" s="110"/>
      <c r="L627" s="110"/>
      <c r="M627" s="110"/>
      <c r="N627" s="110"/>
      <c r="O627" s="110"/>
    </row>
    <row r="628" spans="1:15" ht="12" customHeight="1" x14ac:dyDescent="0.15">
      <c r="A628" s="110"/>
      <c r="B628" s="110"/>
      <c r="C628" s="110"/>
      <c r="D628" s="110"/>
      <c r="E628" s="110"/>
      <c r="F628" s="110"/>
      <c r="G628" s="110"/>
      <c r="H628" s="110"/>
      <c r="I628" s="110"/>
      <c r="J628" s="110"/>
      <c r="K628" s="110"/>
      <c r="L628" s="110"/>
      <c r="M628" s="110"/>
      <c r="N628" s="110"/>
      <c r="O628" s="110"/>
    </row>
    <row r="629" spans="1:15" ht="12" customHeight="1" x14ac:dyDescent="0.15">
      <c r="A629" s="110"/>
      <c r="B629" s="110"/>
      <c r="C629" s="110"/>
      <c r="D629" s="110"/>
      <c r="E629" s="110"/>
      <c r="F629" s="110"/>
      <c r="G629" s="110"/>
      <c r="H629" s="110"/>
      <c r="I629" s="110"/>
      <c r="J629" s="110"/>
      <c r="K629" s="110"/>
      <c r="L629" s="110"/>
      <c r="M629" s="110"/>
      <c r="N629" s="110"/>
      <c r="O629" s="110"/>
    </row>
    <row r="630" spans="1:15" ht="12" customHeight="1" x14ac:dyDescent="0.15">
      <c r="A630" s="110"/>
      <c r="B630" s="110"/>
      <c r="C630" s="110"/>
      <c r="D630" s="110"/>
      <c r="E630" s="110"/>
      <c r="F630" s="110"/>
      <c r="G630" s="110"/>
      <c r="H630" s="110"/>
      <c r="I630" s="110"/>
      <c r="J630" s="110"/>
      <c r="K630" s="110"/>
      <c r="L630" s="110"/>
      <c r="M630" s="110"/>
      <c r="N630" s="110"/>
      <c r="O630" s="110"/>
    </row>
    <row r="631" spans="1:15" ht="12" customHeight="1" x14ac:dyDescent="0.15">
      <c r="A631" s="110"/>
      <c r="B631" s="110"/>
      <c r="C631" s="110"/>
      <c r="D631" s="110"/>
      <c r="E631" s="110"/>
      <c r="F631" s="110"/>
      <c r="G631" s="110"/>
      <c r="H631" s="110"/>
      <c r="I631" s="110"/>
      <c r="J631" s="110"/>
      <c r="K631" s="110"/>
      <c r="L631" s="110"/>
      <c r="M631" s="110"/>
      <c r="N631" s="110"/>
      <c r="O631" s="110"/>
    </row>
    <row r="632" spans="1:15" ht="12" customHeight="1" x14ac:dyDescent="0.15">
      <c r="A632" s="110"/>
      <c r="B632" s="110"/>
      <c r="C632" s="110"/>
      <c r="D632" s="110"/>
      <c r="E632" s="110"/>
      <c r="F632" s="110"/>
      <c r="G632" s="110"/>
      <c r="H632" s="110"/>
      <c r="I632" s="110"/>
      <c r="J632" s="110"/>
      <c r="K632" s="110"/>
      <c r="L632" s="110"/>
      <c r="M632" s="110"/>
      <c r="N632" s="110"/>
      <c r="O632" s="110"/>
    </row>
    <row r="633" spans="1:15" ht="12" customHeight="1" x14ac:dyDescent="0.15">
      <c r="A633" s="110"/>
      <c r="B633" s="110"/>
      <c r="C633" s="110"/>
      <c r="D633" s="110"/>
      <c r="E633" s="110"/>
      <c r="F633" s="110"/>
      <c r="G633" s="110"/>
      <c r="H633" s="110"/>
      <c r="I633" s="110"/>
      <c r="J633" s="110"/>
      <c r="K633" s="110"/>
      <c r="L633" s="110"/>
      <c r="M633" s="110"/>
      <c r="N633" s="110"/>
      <c r="O633" s="110"/>
    </row>
    <row r="634" spans="1:15" ht="12" customHeight="1" x14ac:dyDescent="0.15">
      <c r="A634" s="110"/>
      <c r="B634" s="110"/>
      <c r="C634" s="110"/>
      <c r="D634" s="110"/>
      <c r="E634" s="110"/>
      <c r="F634" s="110"/>
      <c r="G634" s="110"/>
      <c r="H634" s="110"/>
      <c r="I634" s="110"/>
      <c r="J634" s="110"/>
      <c r="K634" s="110"/>
      <c r="L634" s="110"/>
      <c r="M634" s="110"/>
      <c r="N634" s="110"/>
      <c r="O634" s="110"/>
    </row>
    <row r="635" spans="1:15" ht="12" customHeight="1" x14ac:dyDescent="0.15">
      <c r="A635" s="110"/>
      <c r="B635" s="110"/>
      <c r="C635" s="110"/>
      <c r="D635" s="110"/>
      <c r="E635" s="110"/>
      <c r="F635" s="110"/>
      <c r="G635" s="110"/>
      <c r="H635" s="110"/>
      <c r="I635" s="110"/>
      <c r="J635" s="110"/>
      <c r="K635" s="110"/>
      <c r="L635" s="110"/>
      <c r="M635" s="110"/>
      <c r="N635" s="110"/>
      <c r="O635" s="110"/>
    </row>
    <row r="636" spans="1:15" ht="12" customHeight="1" x14ac:dyDescent="0.15">
      <c r="A636" s="110"/>
      <c r="B636" s="110"/>
      <c r="C636" s="110"/>
      <c r="D636" s="110"/>
      <c r="E636" s="110"/>
      <c r="F636" s="110"/>
      <c r="G636" s="110"/>
      <c r="H636" s="110"/>
      <c r="I636" s="110"/>
      <c r="J636" s="110"/>
      <c r="K636" s="110"/>
      <c r="L636" s="110"/>
      <c r="M636" s="110"/>
      <c r="N636" s="110"/>
      <c r="O636" s="110"/>
    </row>
    <row r="637" spans="1:15" ht="12" customHeight="1" x14ac:dyDescent="0.15">
      <c r="A637" s="110"/>
      <c r="B637" s="110"/>
      <c r="C637" s="110"/>
      <c r="D637" s="110"/>
      <c r="E637" s="110"/>
      <c r="F637" s="110"/>
      <c r="G637" s="110"/>
      <c r="H637" s="110"/>
      <c r="I637" s="110"/>
      <c r="J637" s="110"/>
      <c r="K637" s="110"/>
      <c r="L637" s="110"/>
      <c r="M637" s="110"/>
      <c r="N637" s="110"/>
      <c r="O637" s="110"/>
    </row>
    <row r="638" spans="1:15" ht="12" customHeight="1" x14ac:dyDescent="0.15">
      <c r="A638" s="110"/>
      <c r="B638" s="110"/>
      <c r="C638" s="110"/>
      <c r="D638" s="110"/>
      <c r="E638" s="110"/>
      <c r="F638" s="110"/>
      <c r="G638" s="110"/>
      <c r="H638" s="110"/>
      <c r="I638" s="110"/>
      <c r="J638" s="110"/>
      <c r="K638" s="110"/>
      <c r="L638" s="110"/>
      <c r="M638" s="110"/>
      <c r="N638" s="110"/>
      <c r="O638" s="110"/>
    </row>
    <row r="639" spans="1:15" ht="12" customHeight="1" x14ac:dyDescent="0.15">
      <c r="A639" s="110"/>
      <c r="B639" s="110"/>
      <c r="C639" s="110"/>
      <c r="D639" s="110"/>
      <c r="E639" s="110"/>
      <c r="F639" s="110"/>
      <c r="G639" s="110"/>
      <c r="H639" s="110"/>
      <c r="I639" s="110"/>
      <c r="J639" s="110"/>
      <c r="K639" s="110"/>
      <c r="L639" s="110"/>
      <c r="M639" s="110"/>
      <c r="N639" s="110"/>
      <c r="O639" s="110"/>
    </row>
    <row r="640" spans="1:15" ht="12" customHeight="1" x14ac:dyDescent="0.15">
      <c r="A640" s="110"/>
      <c r="B640" s="110"/>
      <c r="C640" s="110"/>
      <c r="D640" s="110"/>
      <c r="E640" s="110"/>
      <c r="F640" s="110"/>
      <c r="G640" s="110"/>
      <c r="H640" s="110"/>
      <c r="I640" s="110"/>
      <c r="J640" s="110"/>
      <c r="K640" s="110"/>
      <c r="L640" s="110"/>
      <c r="M640" s="110"/>
      <c r="N640" s="110"/>
      <c r="O640" s="110"/>
    </row>
    <row r="641" spans="1:15" ht="12" customHeight="1" x14ac:dyDescent="0.15">
      <c r="A641" s="110"/>
      <c r="B641" s="110"/>
      <c r="C641" s="110"/>
      <c r="D641" s="110"/>
      <c r="E641" s="110"/>
      <c r="F641" s="110"/>
      <c r="G641" s="110"/>
      <c r="H641" s="110"/>
      <c r="I641" s="110"/>
      <c r="J641" s="110"/>
      <c r="K641" s="110"/>
      <c r="L641" s="110"/>
      <c r="M641" s="110"/>
      <c r="N641" s="110"/>
      <c r="O641" s="110"/>
    </row>
    <row r="642" spans="1:15" ht="12" customHeight="1" x14ac:dyDescent="0.15">
      <c r="A642" s="110"/>
      <c r="B642" s="110"/>
      <c r="C642" s="110"/>
      <c r="D642" s="110"/>
      <c r="E642" s="110"/>
      <c r="F642" s="110"/>
      <c r="G642" s="110"/>
      <c r="H642" s="110"/>
      <c r="I642" s="110"/>
      <c r="J642" s="110"/>
      <c r="K642" s="110"/>
      <c r="L642" s="110"/>
      <c r="M642" s="110"/>
      <c r="N642" s="110"/>
      <c r="O642" s="110"/>
    </row>
    <row r="643" spans="1:15" ht="12" customHeight="1" x14ac:dyDescent="0.15">
      <c r="A643" s="110"/>
      <c r="B643" s="110"/>
      <c r="C643" s="110"/>
      <c r="D643" s="110"/>
      <c r="E643" s="110"/>
      <c r="F643" s="110"/>
      <c r="G643" s="110"/>
      <c r="H643" s="110"/>
      <c r="I643" s="110"/>
      <c r="J643" s="110"/>
      <c r="K643" s="110"/>
      <c r="L643" s="110"/>
      <c r="M643" s="110"/>
      <c r="N643" s="110"/>
      <c r="O643" s="110"/>
    </row>
    <row r="644" spans="1:15" ht="12" customHeight="1" x14ac:dyDescent="0.15">
      <c r="A644" s="110"/>
      <c r="B644" s="110"/>
      <c r="C644" s="110"/>
      <c r="D644" s="110"/>
      <c r="E644" s="110"/>
      <c r="F644" s="110"/>
      <c r="G644" s="110"/>
      <c r="H644" s="110"/>
      <c r="I644" s="110"/>
      <c r="J644" s="110"/>
      <c r="K644" s="110"/>
      <c r="L644" s="110"/>
      <c r="M644" s="110"/>
      <c r="N644" s="110"/>
      <c r="O644" s="110"/>
    </row>
    <row r="645" spans="1:15" ht="12" customHeight="1" x14ac:dyDescent="0.15">
      <c r="A645" s="110"/>
      <c r="B645" s="110"/>
      <c r="C645" s="110"/>
      <c r="D645" s="110"/>
      <c r="E645" s="110"/>
      <c r="F645" s="110"/>
      <c r="G645" s="110"/>
      <c r="H645" s="110"/>
      <c r="I645" s="110"/>
      <c r="J645" s="110"/>
      <c r="K645" s="110"/>
      <c r="L645" s="110"/>
      <c r="M645" s="110"/>
      <c r="N645" s="110"/>
      <c r="O645" s="110"/>
    </row>
    <row r="646" spans="1:15" ht="12" customHeight="1" x14ac:dyDescent="0.15">
      <c r="A646" s="110"/>
      <c r="B646" s="110"/>
      <c r="C646" s="110"/>
      <c r="D646" s="110"/>
      <c r="E646" s="110"/>
      <c r="F646" s="110"/>
      <c r="G646" s="110"/>
      <c r="H646" s="110"/>
      <c r="I646" s="110"/>
      <c r="J646" s="110"/>
      <c r="K646" s="110"/>
      <c r="L646" s="110"/>
      <c r="M646" s="110"/>
      <c r="N646" s="110"/>
      <c r="O646" s="110"/>
    </row>
    <row r="647" spans="1:15" ht="12" customHeight="1" x14ac:dyDescent="0.15">
      <c r="A647" s="110"/>
      <c r="B647" s="110"/>
      <c r="C647" s="110"/>
      <c r="D647" s="110"/>
      <c r="E647" s="110"/>
      <c r="F647" s="110"/>
      <c r="G647" s="110"/>
      <c r="H647" s="110"/>
      <c r="I647" s="110"/>
      <c r="J647" s="110"/>
      <c r="K647" s="110"/>
      <c r="L647" s="110"/>
      <c r="M647" s="110"/>
      <c r="N647" s="110"/>
      <c r="O647" s="110"/>
    </row>
    <row r="648" spans="1:15" ht="12" customHeight="1" x14ac:dyDescent="0.15">
      <c r="A648" s="110"/>
      <c r="B648" s="110"/>
      <c r="C648" s="110"/>
      <c r="D648" s="110"/>
      <c r="E648" s="110"/>
      <c r="F648" s="110"/>
      <c r="G648" s="110"/>
      <c r="H648" s="110"/>
      <c r="I648" s="110"/>
      <c r="J648" s="110"/>
      <c r="K648" s="110"/>
      <c r="L648" s="110"/>
      <c r="M648" s="110"/>
      <c r="N648" s="110"/>
      <c r="O648" s="110"/>
    </row>
    <row r="649" spans="1:15" ht="12" customHeight="1" x14ac:dyDescent="0.15">
      <c r="A649" s="110"/>
      <c r="B649" s="110"/>
      <c r="C649" s="110"/>
      <c r="D649" s="110"/>
      <c r="E649" s="110"/>
      <c r="F649" s="110"/>
      <c r="G649" s="110"/>
      <c r="H649" s="110"/>
      <c r="I649" s="110"/>
      <c r="J649" s="110"/>
      <c r="K649" s="110"/>
      <c r="L649" s="110"/>
      <c r="M649" s="110"/>
      <c r="N649" s="110"/>
      <c r="O649" s="110"/>
    </row>
    <row r="650" spans="1:15" ht="12" customHeight="1" x14ac:dyDescent="0.15">
      <c r="A650" s="110"/>
      <c r="B650" s="110"/>
      <c r="C650" s="110"/>
      <c r="D650" s="110"/>
      <c r="E650" s="110"/>
      <c r="F650" s="110"/>
      <c r="G650" s="110"/>
      <c r="H650" s="110"/>
      <c r="I650" s="110"/>
      <c r="J650" s="110"/>
      <c r="K650" s="110"/>
      <c r="L650" s="110"/>
      <c r="M650" s="110"/>
      <c r="N650" s="110"/>
      <c r="O650" s="110"/>
    </row>
    <row r="651" spans="1:15" ht="12" customHeight="1" x14ac:dyDescent="0.15">
      <c r="A651" s="110"/>
      <c r="B651" s="110"/>
      <c r="C651" s="110"/>
      <c r="D651" s="110"/>
      <c r="E651" s="110"/>
      <c r="F651" s="110"/>
      <c r="G651" s="110"/>
      <c r="H651" s="110"/>
      <c r="I651" s="110"/>
      <c r="J651" s="110"/>
      <c r="K651" s="110"/>
      <c r="L651" s="110"/>
      <c r="M651" s="110"/>
      <c r="N651" s="110"/>
      <c r="O651" s="110"/>
    </row>
    <row r="652" spans="1:15" ht="12" customHeight="1" x14ac:dyDescent="0.15">
      <c r="A652" s="110"/>
      <c r="B652" s="110"/>
      <c r="C652" s="110"/>
      <c r="D652" s="110"/>
      <c r="E652" s="110"/>
      <c r="F652" s="110"/>
      <c r="G652" s="110"/>
      <c r="H652" s="110"/>
      <c r="I652" s="110"/>
      <c r="J652" s="110"/>
      <c r="K652" s="110"/>
      <c r="L652" s="110"/>
      <c r="M652" s="110"/>
      <c r="N652" s="110"/>
      <c r="O652" s="110"/>
    </row>
    <row r="653" spans="1:15" ht="12" customHeight="1" x14ac:dyDescent="0.15">
      <c r="A653" s="110"/>
      <c r="B653" s="110"/>
      <c r="C653" s="110"/>
      <c r="D653" s="110"/>
      <c r="E653" s="110"/>
      <c r="F653" s="110"/>
      <c r="G653" s="110"/>
      <c r="H653" s="110"/>
      <c r="I653" s="110"/>
      <c r="J653" s="110"/>
      <c r="K653" s="110"/>
      <c r="L653" s="110"/>
      <c r="M653" s="110"/>
      <c r="N653" s="110"/>
      <c r="O653" s="110"/>
    </row>
    <row r="654" spans="1:15" ht="12" customHeight="1" x14ac:dyDescent="0.15">
      <c r="A654" s="110"/>
      <c r="B654" s="110"/>
      <c r="C654" s="110"/>
      <c r="D654" s="110"/>
      <c r="E654" s="110"/>
      <c r="F654" s="110"/>
      <c r="G654" s="110"/>
      <c r="H654" s="110"/>
      <c r="I654" s="110"/>
      <c r="J654" s="110"/>
      <c r="K654" s="110"/>
      <c r="L654" s="110"/>
      <c r="M654" s="110"/>
      <c r="N654" s="110"/>
      <c r="O654" s="110"/>
    </row>
    <row r="655" spans="1:15" ht="12" customHeight="1" x14ac:dyDescent="0.15">
      <c r="A655" s="110"/>
      <c r="B655" s="110"/>
      <c r="C655" s="110"/>
      <c r="D655" s="110"/>
      <c r="E655" s="110"/>
      <c r="F655" s="110"/>
      <c r="G655" s="110"/>
      <c r="H655" s="110"/>
      <c r="I655" s="110"/>
      <c r="J655" s="110"/>
      <c r="K655" s="110"/>
      <c r="L655" s="110"/>
      <c r="M655" s="110"/>
      <c r="N655" s="110"/>
      <c r="O655" s="110"/>
    </row>
    <row r="656" spans="1:15" ht="12" customHeight="1" x14ac:dyDescent="0.15">
      <c r="A656" s="110"/>
      <c r="B656" s="110"/>
      <c r="C656" s="110"/>
      <c r="D656" s="110"/>
      <c r="E656" s="110"/>
      <c r="F656" s="110"/>
      <c r="G656" s="110"/>
      <c r="H656" s="110"/>
      <c r="I656" s="110"/>
      <c r="J656" s="110"/>
      <c r="K656" s="110"/>
      <c r="L656" s="110"/>
      <c r="M656" s="110"/>
      <c r="N656" s="110"/>
      <c r="O656" s="110"/>
    </row>
    <row r="657" spans="1:15" ht="12" customHeight="1" x14ac:dyDescent="0.15">
      <c r="A657" s="110"/>
      <c r="B657" s="110"/>
      <c r="C657" s="110"/>
      <c r="D657" s="110"/>
      <c r="E657" s="110"/>
      <c r="F657" s="110"/>
      <c r="G657" s="110"/>
      <c r="H657" s="110"/>
      <c r="I657" s="110"/>
      <c r="J657" s="110"/>
      <c r="K657" s="110"/>
      <c r="L657" s="110"/>
      <c r="M657" s="110"/>
      <c r="N657" s="110"/>
      <c r="O657" s="110"/>
    </row>
    <row r="658" spans="1:15" ht="12" customHeight="1" x14ac:dyDescent="0.15">
      <c r="A658" s="110"/>
      <c r="B658" s="110"/>
      <c r="C658" s="110"/>
      <c r="D658" s="110"/>
      <c r="E658" s="110"/>
      <c r="F658" s="110"/>
      <c r="G658" s="110"/>
      <c r="H658" s="110"/>
      <c r="I658" s="110"/>
      <c r="J658" s="110"/>
      <c r="K658" s="110"/>
      <c r="L658" s="110"/>
      <c r="M658" s="110"/>
      <c r="N658" s="110"/>
      <c r="O658" s="110"/>
    </row>
    <row r="659" spans="1:15" ht="12" customHeight="1" x14ac:dyDescent="0.15">
      <c r="A659" s="110"/>
      <c r="B659" s="110"/>
      <c r="C659" s="110"/>
      <c r="D659" s="110"/>
      <c r="E659" s="110"/>
      <c r="F659" s="110"/>
      <c r="G659" s="110"/>
      <c r="H659" s="110"/>
      <c r="I659" s="110"/>
      <c r="J659" s="110"/>
      <c r="K659" s="110"/>
      <c r="L659" s="110"/>
      <c r="M659" s="110"/>
      <c r="N659" s="110"/>
      <c r="O659" s="110"/>
    </row>
    <row r="660" spans="1:15" ht="12" customHeight="1" x14ac:dyDescent="0.15">
      <c r="A660" s="110"/>
      <c r="B660" s="110"/>
      <c r="C660" s="110"/>
      <c r="D660" s="110"/>
      <c r="E660" s="110"/>
      <c r="F660" s="110"/>
      <c r="G660" s="110"/>
      <c r="H660" s="110"/>
      <c r="I660" s="110"/>
      <c r="J660" s="110"/>
      <c r="K660" s="110"/>
      <c r="L660" s="110"/>
      <c r="M660" s="110"/>
      <c r="N660" s="110"/>
      <c r="O660" s="110"/>
    </row>
    <row r="661" spans="1:15" ht="12" customHeight="1" x14ac:dyDescent="0.15">
      <c r="A661" s="110"/>
      <c r="B661" s="110"/>
      <c r="C661" s="110"/>
      <c r="D661" s="110"/>
      <c r="E661" s="110"/>
      <c r="F661" s="110"/>
      <c r="G661" s="110"/>
      <c r="H661" s="110"/>
      <c r="I661" s="110"/>
      <c r="J661" s="110"/>
      <c r="K661" s="110"/>
      <c r="L661" s="110"/>
      <c r="M661" s="110"/>
      <c r="N661" s="110"/>
      <c r="O661" s="110"/>
    </row>
    <row r="662" spans="1:15" ht="12" customHeight="1" x14ac:dyDescent="0.15">
      <c r="A662" s="110"/>
      <c r="B662" s="110"/>
      <c r="C662" s="110"/>
      <c r="D662" s="110"/>
      <c r="E662" s="110"/>
      <c r="F662" s="110"/>
      <c r="G662" s="110"/>
      <c r="H662" s="110"/>
      <c r="I662" s="110"/>
      <c r="J662" s="110"/>
      <c r="K662" s="110"/>
      <c r="L662" s="110"/>
      <c r="M662" s="110"/>
      <c r="N662" s="110"/>
      <c r="O662" s="110"/>
    </row>
    <row r="663" spans="1:15" ht="12" customHeight="1" x14ac:dyDescent="0.15">
      <c r="A663" s="110"/>
      <c r="B663" s="110"/>
      <c r="C663" s="110"/>
      <c r="D663" s="110"/>
      <c r="E663" s="110"/>
      <c r="F663" s="110"/>
      <c r="G663" s="110"/>
      <c r="H663" s="110"/>
      <c r="I663" s="110"/>
      <c r="J663" s="110"/>
      <c r="K663" s="110"/>
      <c r="L663" s="110"/>
      <c r="M663" s="110"/>
      <c r="N663" s="110"/>
      <c r="O663" s="110"/>
    </row>
    <row r="664" spans="1:15" ht="12" customHeight="1" x14ac:dyDescent="0.15">
      <c r="A664" s="110"/>
      <c r="B664" s="110"/>
      <c r="C664" s="110"/>
      <c r="D664" s="110"/>
      <c r="E664" s="110"/>
      <c r="F664" s="110"/>
      <c r="G664" s="110"/>
      <c r="H664" s="110"/>
      <c r="I664" s="110"/>
      <c r="J664" s="110"/>
      <c r="K664" s="110"/>
      <c r="L664" s="110"/>
      <c r="M664" s="110"/>
      <c r="N664" s="110"/>
      <c r="O664" s="110"/>
    </row>
    <row r="665" spans="1:15" ht="12" customHeight="1" x14ac:dyDescent="0.15">
      <c r="A665" s="110"/>
      <c r="B665" s="110"/>
      <c r="C665" s="110"/>
      <c r="D665" s="110"/>
      <c r="E665" s="110"/>
      <c r="F665" s="110"/>
      <c r="G665" s="110"/>
      <c r="H665" s="110"/>
      <c r="I665" s="110"/>
      <c r="J665" s="110"/>
      <c r="K665" s="110"/>
      <c r="L665" s="110"/>
      <c r="M665" s="110"/>
      <c r="N665" s="110"/>
      <c r="O665" s="110"/>
    </row>
    <row r="666" spans="1:15" ht="12" customHeight="1" x14ac:dyDescent="0.15">
      <c r="A666" s="110"/>
      <c r="B666" s="110"/>
      <c r="C666" s="110"/>
      <c r="D666" s="110"/>
      <c r="E666" s="110"/>
      <c r="F666" s="110"/>
      <c r="G666" s="110"/>
      <c r="H666" s="110"/>
      <c r="I666" s="110"/>
      <c r="J666" s="110"/>
      <c r="K666" s="110"/>
      <c r="L666" s="110"/>
      <c r="M666" s="110"/>
      <c r="N666" s="110"/>
      <c r="O666" s="110"/>
    </row>
    <row r="667" spans="1:15" ht="12" customHeight="1" x14ac:dyDescent="0.15">
      <c r="A667" s="110"/>
      <c r="B667" s="110"/>
      <c r="C667" s="110"/>
      <c r="D667" s="110"/>
      <c r="E667" s="110"/>
      <c r="F667" s="110"/>
      <c r="G667" s="110"/>
      <c r="H667" s="110"/>
      <c r="I667" s="110"/>
      <c r="J667" s="110"/>
      <c r="K667" s="110"/>
      <c r="L667" s="110"/>
      <c r="M667" s="110"/>
      <c r="N667" s="110"/>
      <c r="O667" s="110"/>
    </row>
    <row r="668" spans="1:15" ht="12" customHeight="1" x14ac:dyDescent="0.15">
      <c r="A668" s="110"/>
      <c r="B668" s="110"/>
      <c r="C668" s="110"/>
      <c r="D668" s="110"/>
      <c r="E668" s="110"/>
      <c r="F668" s="110"/>
      <c r="G668" s="110"/>
      <c r="H668" s="110"/>
      <c r="I668" s="110"/>
      <c r="J668" s="110"/>
      <c r="K668" s="110"/>
      <c r="L668" s="110"/>
      <c r="M668" s="110"/>
      <c r="N668" s="110"/>
      <c r="O668" s="110"/>
    </row>
    <row r="669" spans="1:15" ht="12" customHeight="1" x14ac:dyDescent="0.15">
      <c r="A669" s="110"/>
      <c r="B669" s="110"/>
      <c r="C669" s="110"/>
      <c r="D669" s="110"/>
      <c r="E669" s="110"/>
      <c r="F669" s="110"/>
      <c r="G669" s="110"/>
      <c r="H669" s="110"/>
      <c r="I669" s="110"/>
      <c r="J669" s="110"/>
      <c r="K669" s="110"/>
      <c r="L669" s="110"/>
      <c r="M669" s="110"/>
      <c r="N669" s="110"/>
      <c r="O669" s="110"/>
    </row>
    <row r="670" spans="1:15" ht="12" customHeight="1" x14ac:dyDescent="0.15">
      <c r="A670" s="110"/>
      <c r="B670" s="110"/>
      <c r="C670" s="110"/>
      <c r="D670" s="110"/>
      <c r="E670" s="110"/>
      <c r="F670" s="110"/>
      <c r="G670" s="110"/>
      <c r="H670" s="110"/>
      <c r="I670" s="110"/>
      <c r="J670" s="110"/>
      <c r="K670" s="110"/>
      <c r="L670" s="110"/>
      <c r="M670" s="110"/>
      <c r="N670" s="110"/>
      <c r="O670" s="110"/>
    </row>
    <row r="671" spans="1:15" ht="12" customHeight="1" x14ac:dyDescent="0.15">
      <c r="A671" s="110"/>
      <c r="B671" s="110"/>
      <c r="C671" s="110"/>
      <c r="D671" s="110"/>
      <c r="E671" s="110"/>
      <c r="F671" s="110"/>
      <c r="G671" s="110"/>
      <c r="H671" s="110"/>
      <c r="I671" s="110"/>
      <c r="J671" s="110"/>
      <c r="K671" s="110"/>
      <c r="L671" s="110"/>
      <c r="M671" s="110"/>
      <c r="N671" s="110"/>
      <c r="O671" s="110"/>
    </row>
    <row r="672" spans="1:15" ht="12" customHeight="1" x14ac:dyDescent="0.15">
      <c r="A672" s="110"/>
      <c r="B672" s="110"/>
      <c r="C672" s="110"/>
      <c r="D672" s="110"/>
      <c r="E672" s="110"/>
      <c r="F672" s="110"/>
      <c r="G672" s="110"/>
      <c r="H672" s="110"/>
      <c r="I672" s="110"/>
      <c r="J672" s="110"/>
      <c r="K672" s="110"/>
      <c r="L672" s="110"/>
      <c r="M672" s="110"/>
      <c r="N672" s="110"/>
      <c r="O672" s="110"/>
    </row>
    <row r="673" spans="1:15" ht="12" customHeight="1" x14ac:dyDescent="0.15">
      <c r="A673" s="110"/>
      <c r="B673" s="110"/>
      <c r="C673" s="110"/>
      <c r="D673" s="110"/>
      <c r="E673" s="110"/>
      <c r="F673" s="110"/>
      <c r="G673" s="110"/>
      <c r="H673" s="110"/>
      <c r="I673" s="110"/>
      <c r="J673" s="110"/>
      <c r="K673" s="110"/>
      <c r="L673" s="110"/>
      <c r="M673" s="110"/>
      <c r="N673" s="110"/>
      <c r="O673" s="110"/>
    </row>
    <row r="674" spans="1:15" ht="12" customHeight="1" x14ac:dyDescent="0.15">
      <c r="A674" s="110"/>
      <c r="B674" s="110"/>
      <c r="C674" s="110"/>
      <c r="D674" s="110"/>
      <c r="E674" s="110"/>
      <c r="F674" s="110"/>
      <c r="G674" s="110"/>
      <c r="H674" s="110"/>
      <c r="I674" s="110"/>
      <c r="J674" s="110"/>
      <c r="K674" s="110"/>
      <c r="L674" s="110"/>
      <c r="M674" s="110"/>
      <c r="N674" s="110"/>
      <c r="O674" s="110"/>
    </row>
    <row r="675" spans="1:15" ht="12" customHeight="1" x14ac:dyDescent="0.15">
      <c r="A675" s="110"/>
      <c r="B675" s="110"/>
      <c r="C675" s="110"/>
      <c r="D675" s="110"/>
      <c r="E675" s="110"/>
      <c r="F675" s="110"/>
      <c r="G675" s="110"/>
      <c r="H675" s="110"/>
      <c r="I675" s="110"/>
      <c r="J675" s="110"/>
      <c r="K675" s="110"/>
      <c r="L675" s="110"/>
      <c r="M675" s="110"/>
      <c r="N675" s="110"/>
      <c r="O675" s="110"/>
    </row>
    <row r="676" spans="1:15" ht="12" customHeight="1" x14ac:dyDescent="0.15">
      <c r="A676" s="110"/>
      <c r="B676" s="110"/>
      <c r="C676" s="110"/>
      <c r="D676" s="110"/>
      <c r="E676" s="110"/>
      <c r="F676" s="110"/>
      <c r="G676" s="110"/>
      <c r="H676" s="110"/>
      <c r="I676" s="110"/>
      <c r="J676" s="110"/>
      <c r="K676" s="110"/>
      <c r="L676" s="110"/>
      <c r="M676" s="110"/>
      <c r="N676" s="110"/>
      <c r="O676" s="110"/>
    </row>
    <row r="677" spans="1:15" ht="12" customHeight="1" x14ac:dyDescent="0.15">
      <c r="A677" s="110"/>
      <c r="B677" s="110"/>
      <c r="C677" s="110"/>
      <c r="D677" s="110"/>
      <c r="E677" s="110"/>
      <c r="F677" s="110"/>
      <c r="G677" s="110"/>
      <c r="H677" s="110"/>
      <c r="I677" s="110"/>
      <c r="J677" s="110"/>
      <c r="K677" s="110"/>
      <c r="L677" s="110"/>
      <c r="M677" s="110"/>
      <c r="N677" s="110"/>
      <c r="O677" s="110"/>
    </row>
    <row r="678" spans="1:15" ht="12" customHeight="1" x14ac:dyDescent="0.15">
      <c r="A678" s="110"/>
      <c r="B678" s="110"/>
      <c r="C678" s="110"/>
      <c r="D678" s="110"/>
      <c r="E678" s="110"/>
      <c r="F678" s="110"/>
      <c r="G678" s="110"/>
      <c r="H678" s="110"/>
      <c r="I678" s="110"/>
      <c r="J678" s="110"/>
      <c r="K678" s="110"/>
      <c r="L678" s="110"/>
      <c r="M678" s="110"/>
      <c r="N678" s="110"/>
      <c r="O678" s="110"/>
    </row>
    <row r="679" spans="1:15" ht="12" customHeight="1" x14ac:dyDescent="0.15">
      <c r="A679" s="110"/>
      <c r="B679" s="110"/>
      <c r="C679" s="110"/>
      <c r="D679" s="110"/>
      <c r="E679" s="110"/>
      <c r="F679" s="110"/>
      <c r="G679" s="110"/>
      <c r="H679" s="110"/>
      <c r="I679" s="110"/>
      <c r="J679" s="110"/>
      <c r="K679" s="110"/>
      <c r="L679" s="110"/>
      <c r="M679" s="110"/>
      <c r="N679" s="110"/>
      <c r="O679" s="110"/>
    </row>
    <row r="680" spans="1:15" ht="12" customHeight="1" x14ac:dyDescent="0.15">
      <c r="A680" s="110"/>
      <c r="B680" s="110"/>
      <c r="C680" s="110"/>
      <c r="D680" s="110"/>
      <c r="E680" s="110"/>
      <c r="F680" s="110"/>
      <c r="G680" s="110"/>
      <c r="H680" s="110"/>
      <c r="I680" s="110"/>
      <c r="J680" s="110"/>
      <c r="K680" s="110"/>
      <c r="L680" s="110"/>
      <c r="M680" s="110"/>
      <c r="N680" s="110"/>
      <c r="O680" s="110"/>
    </row>
    <row r="681" spans="1:15" ht="12" customHeight="1" x14ac:dyDescent="0.15">
      <c r="A681" s="110"/>
      <c r="B681" s="110"/>
      <c r="C681" s="110"/>
      <c r="D681" s="110"/>
      <c r="E681" s="110"/>
      <c r="F681" s="110"/>
      <c r="G681" s="110"/>
      <c r="H681" s="110"/>
      <c r="I681" s="110"/>
      <c r="J681" s="110"/>
      <c r="K681" s="110"/>
      <c r="L681" s="110"/>
      <c r="M681" s="110"/>
      <c r="N681" s="110"/>
      <c r="O681" s="110"/>
    </row>
    <row r="682" spans="1:15" ht="12" customHeight="1" x14ac:dyDescent="0.15">
      <c r="A682" s="110"/>
      <c r="B682" s="110"/>
      <c r="C682" s="110"/>
      <c r="D682" s="110"/>
      <c r="E682" s="110"/>
      <c r="F682" s="110"/>
      <c r="G682" s="110"/>
      <c r="H682" s="110"/>
      <c r="I682" s="110"/>
      <c r="J682" s="110"/>
      <c r="K682" s="110"/>
      <c r="L682" s="110"/>
      <c r="M682" s="110"/>
      <c r="N682" s="110"/>
      <c r="O682" s="110"/>
    </row>
    <row r="683" spans="1:15" ht="12" customHeight="1" x14ac:dyDescent="0.15">
      <c r="A683" s="110"/>
      <c r="B683" s="110"/>
      <c r="C683" s="110"/>
      <c r="D683" s="110"/>
      <c r="E683" s="110"/>
      <c r="F683" s="110"/>
      <c r="G683" s="110"/>
      <c r="H683" s="110"/>
      <c r="I683" s="110"/>
      <c r="J683" s="110"/>
      <c r="K683" s="110"/>
      <c r="L683" s="110"/>
      <c r="M683" s="110"/>
      <c r="N683" s="110"/>
      <c r="O683" s="110"/>
    </row>
    <row r="684" spans="1:15" ht="12" customHeight="1" x14ac:dyDescent="0.15">
      <c r="A684" s="110"/>
      <c r="B684" s="110"/>
      <c r="C684" s="110"/>
      <c r="D684" s="110"/>
      <c r="E684" s="110"/>
      <c r="F684" s="110"/>
      <c r="G684" s="110"/>
      <c r="H684" s="110"/>
      <c r="I684" s="110"/>
      <c r="J684" s="110"/>
      <c r="K684" s="110"/>
      <c r="L684" s="110"/>
      <c r="M684" s="110"/>
      <c r="N684" s="110"/>
      <c r="O684" s="110"/>
    </row>
    <row r="685" spans="1:15" ht="12" customHeight="1" x14ac:dyDescent="0.15">
      <c r="A685" s="110"/>
      <c r="B685" s="110"/>
      <c r="C685" s="110"/>
      <c r="D685" s="110"/>
      <c r="E685" s="110"/>
      <c r="F685" s="110"/>
      <c r="G685" s="110"/>
      <c r="H685" s="110"/>
      <c r="I685" s="110"/>
      <c r="J685" s="110"/>
      <c r="K685" s="110"/>
      <c r="L685" s="110"/>
      <c r="M685" s="110"/>
      <c r="N685" s="110"/>
      <c r="O685" s="110"/>
    </row>
    <row r="686" spans="1:15" ht="12" customHeight="1" x14ac:dyDescent="0.15">
      <c r="A686" s="110"/>
      <c r="B686" s="110"/>
      <c r="C686" s="110"/>
      <c r="D686" s="110"/>
      <c r="E686" s="110"/>
      <c r="F686" s="110"/>
      <c r="G686" s="110"/>
      <c r="H686" s="110"/>
      <c r="I686" s="110"/>
      <c r="J686" s="110"/>
      <c r="K686" s="110"/>
      <c r="L686" s="110"/>
      <c r="M686" s="110"/>
      <c r="N686" s="110"/>
      <c r="O686" s="110"/>
    </row>
    <row r="687" spans="1:15" ht="12" customHeight="1" x14ac:dyDescent="0.15">
      <c r="A687" s="110"/>
      <c r="B687" s="110"/>
      <c r="C687" s="110"/>
      <c r="D687" s="110"/>
      <c r="E687" s="110"/>
      <c r="F687" s="110"/>
      <c r="G687" s="110"/>
      <c r="H687" s="110"/>
      <c r="I687" s="110"/>
      <c r="J687" s="110"/>
      <c r="K687" s="110"/>
      <c r="L687" s="110"/>
      <c r="M687" s="110"/>
      <c r="N687" s="110"/>
      <c r="O687" s="110"/>
    </row>
    <row r="688" spans="1:15" ht="12" customHeight="1" x14ac:dyDescent="0.15">
      <c r="A688" s="110"/>
      <c r="B688" s="110"/>
      <c r="C688" s="110"/>
      <c r="D688" s="110"/>
      <c r="E688" s="110"/>
      <c r="F688" s="110"/>
      <c r="G688" s="110"/>
      <c r="H688" s="110"/>
      <c r="I688" s="110"/>
      <c r="J688" s="110"/>
      <c r="K688" s="110"/>
      <c r="L688" s="110"/>
      <c r="M688" s="110"/>
      <c r="N688" s="110"/>
      <c r="O688" s="110"/>
    </row>
    <row r="689" spans="1:15" ht="12" customHeight="1" x14ac:dyDescent="0.15">
      <c r="A689" s="110"/>
      <c r="B689" s="110"/>
      <c r="C689" s="110"/>
      <c r="D689" s="110"/>
      <c r="E689" s="110"/>
      <c r="F689" s="110"/>
      <c r="G689" s="110"/>
      <c r="H689" s="110"/>
      <c r="I689" s="110"/>
      <c r="J689" s="110"/>
      <c r="K689" s="110"/>
      <c r="L689" s="110"/>
      <c r="M689" s="110"/>
      <c r="N689" s="110"/>
      <c r="O689" s="110"/>
    </row>
    <row r="690" spans="1:15" ht="12" customHeight="1" x14ac:dyDescent="0.15">
      <c r="A690" s="110"/>
      <c r="B690" s="110"/>
      <c r="C690" s="110"/>
      <c r="D690" s="110"/>
      <c r="E690" s="110"/>
      <c r="F690" s="110"/>
      <c r="G690" s="110"/>
      <c r="H690" s="110"/>
      <c r="I690" s="110"/>
      <c r="J690" s="110"/>
      <c r="K690" s="110"/>
      <c r="L690" s="110"/>
      <c r="M690" s="110"/>
      <c r="N690" s="110"/>
      <c r="O690" s="110"/>
    </row>
    <row r="691" spans="1:15" ht="12" customHeight="1" x14ac:dyDescent="0.15">
      <c r="A691" s="110"/>
      <c r="B691" s="110"/>
      <c r="C691" s="110"/>
      <c r="D691" s="110"/>
      <c r="E691" s="110"/>
      <c r="F691" s="110"/>
      <c r="G691" s="110"/>
      <c r="H691" s="110"/>
      <c r="I691" s="110"/>
      <c r="J691" s="110"/>
      <c r="K691" s="110"/>
      <c r="L691" s="110"/>
      <c r="M691" s="110"/>
      <c r="N691" s="110"/>
      <c r="O691" s="110"/>
    </row>
    <row r="692" spans="1:15" ht="12" customHeight="1" x14ac:dyDescent="0.15">
      <c r="A692" s="110"/>
      <c r="B692" s="110"/>
      <c r="C692" s="110"/>
      <c r="D692" s="110"/>
      <c r="E692" s="110"/>
      <c r="F692" s="110"/>
      <c r="G692" s="110"/>
      <c r="H692" s="110"/>
      <c r="I692" s="110"/>
      <c r="J692" s="110"/>
      <c r="K692" s="110"/>
      <c r="L692" s="110"/>
      <c r="M692" s="110"/>
      <c r="N692" s="110"/>
      <c r="O692" s="110"/>
    </row>
    <row r="693" spans="1:15" ht="12" customHeight="1" x14ac:dyDescent="0.15">
      <c r="A693" s="110"/>
      <c r="B693" s="110"/>
      <c r="C693" s="110"/>
      <c r="D693" s="110"/>
      <c r="E693" s="110"/>
      <c r="F693" s="110"/>
      <c r="G693" s="110"/>
      <c r="H693" s="110"/>
      <c r="I693" s="110"/>
      <c r="J693" s="110"/>
      <c r="K693" s="110"/>
      <c r="L693" s="110"/>
      <c r="M693" s="110"/>
      <c r="N693" s="110"/>
      <c r="O693" s="110"/>
    </row>
    <row r="694" spans="1:15" ht="12" customHeight="1" x14ac:dyDescent="0.15">
      <c r="A694" s="110"/>
      <c r="B694" s="110"/>
      <c r="C694" s="110"/>
      <c r="D694" s="110"/>
      <c r="E694" s="110"/>
      <c r="F694" s="110"/>
      <c r="G694" s="110"/>
      <c r="H694" s="110"/>
      <c r="I694" s="110"/>
      <c r="J694" s="110"/>
      <c r="K694" s="110"/>
      <c r="L694" s="110"/>
      <c r="M694" s="110"/>
      <c r="N694" s="110"/>
      <c r="O694" s="110"/>
    </row>
    <row r="695" spans="1:15" ht="12" customHeight="1" x14ac:dyDescent="0.15">
      <c r="A695" s="110"/>
      <c r="B695" s="110"/>
      <c r="C695" s="110"/>
      <c r="D695" s="110"/>
      <c r="E695" s="110"/>
      <c r="F695" s="110"/>
      <c r="G695" s="110"/>
      <c r="H695" s="110"/>
      <c r="I695" s="110"/>
      <c r="J695" s="110"/>
      <c r="K695" s="110"/>
      <c r="L695" s="110"/>
      <c r="M695" s="110"/>
      <c r="N695" s="110"/>
      <c r="O695" s="110"/>
    </row>
    <row r="696" spans="1:15" ht="12" customHeight="1" x14ac:dyDescent="0.15">
      <c r="A696" s="110"/>
      <c r="B696" s="110"/>
      <c r="C696" s="110"/>
      <c r="D696" s="110"/>
      <c r="E696" s="110"/>
      <c r="F696" s="110"/>
      <c r="G696" s="110"/>
      <c r="H696" s="110"/>
      <c r="I696" s="110"/>
      <c r="J696" s="110"/>
      <c r="K696" s="110"/>
      <c r="L696" s="110"/>
      <c r="M696" s="110"/>
      <c r="N696" s="110"/>
      <c r="O696" s="110"/>
    </row>
    <row r="697" spans="1:15" ht="12" customHeight="1" x14ac:dyDescent="0.15">
      <c r="A697" s="110"/>
      <c r="B697" s="110"/>
      <c r="C697" s="110"/>
      <c r="D697" s="110"/>
      <c r="E697" s="110"/>
      <c r="F697" s="110"/>
      <c r="G697" s="110"/>
      <c r="H697" s="110"/>
      <c r="I697" s="110"/>
      <c r="J697" s="110"/>
      <c r="K697" s="110"/>
      <c r="L697" s="110"/>
      <c r="M697" s="110"/>
      <c r="N697" s="110"/>
      <c r="O697" s="110"/>
    </row>
    <row r="698" spans="1:15" ht="12" customHeight="1" x14ac:dyDescent="0.15">
      <c r="A698" s="110"/>
      <c r="B698" s="110"/>
      <c r="C698" s="110"/>
      <c r="D698" s="110"/>
      <c r="E698" s="110"/>
      <c r="F698" s="110"/>
      <c r="G698" s="110"/>
      <c r="H698" s="110"/>
      <c r="I698" s="110"/>
      <c r="J698" s="110"/>
      <c r="K698" s="110"/>
      <c r="L698" s="110"/>
      <c r="M698" s="110"/>
      <c r="N698" s="110"/>
      <c r="O698" s="110"/>
    </row>
    <row r="699" spans="1:15" ht="12" customHeight="1" x14ac:dyDescent="0.15">
      <c r="A699" s="110"/>
      <c r="B699" s="110"/>
      <c r="C699" s="110"/>
      <c r="D699" s="110"/>
      <c r="E699" s="110"/>
      <c r="F699" s="110"/>
      <c r="G699" s="110"/>
      <c r="H699" s="110"/>
      <c r="I699" s="110"/>
      <c r="J699" s="110"/>
      <c r="K699" s="110"/>
      <c r="L699" s="110"/>
      <c r="M699" s="110"/>
      <c r="N699" s="110"/>
      <c r="O699" s="110"/>
    </row>
    <row r="700" spans="1:15" ht="12" customHeight="1" x14ac:dyDescent="0.15">
      <c r="A700" s="110"/>
      <c r="B700" s="110"/>
      <c r="C700" s="110"/>
      <c r="D700" s="110"/>
      <c r="E700" s="110"/>
      <c r="F700" s="110"/>
      <c r="G700" s="110"/>
      <c r="H700" s="110"/>
      <c r="I700" s="110"/>
      <c r="J700" s="110"/>
      <c r="K700" s="110"/>
      <c r="L700" s="110"/>
      <c r="M700" s="110"/>
      <c r="N700" s="110"/>
      <c r="O700" s="110"/>
    </row>
    <row r="701" spans="1:15" ht="12" customHeight="1" x14ac:dyDescent="0.15">
      <c r="A701" s="110"/>
      <c r="B701" s="110"/>
      <c r="C701" s="110"/>
      <c r="D701" s="110"/>
      <c r="E701" s="110"/>
      <c r="F701" s="110"/>
      <c r="G701" s="110"/>
      <c r="H701" s="110"/>
      <c r="I701" s="110"/>
      <c r="J701" s="110"/>
      <c r="K701" s="110"/>
      <c r="L701" s="110"/>
      <c r="M701" s="110"/>
      <c r="N701" s="110"/>
      <c r="O701" s="110"/>
    </row>
    <row r="702" spans="1:15" ht="12" customHeight="1" x14ac:dyDescent="0.15">
      <c r="A702" s="110"/>
      <c r="B702" s="110"/>
      <c r="C702" s="110"/>
      <c r="D702" s="110"/>
      <c r="E702" s="110"/>
      <c r="F702" s="110"/>
      <c r="G702" s="110"/>
      <c r="H702" s="110"/>
      <c r="I702" s="110"/>
      <c r="J702" s="110"/>
      <c r="K702" s="110"/>
      <c r="L702" s="110"/>
      <c r="M702" s="110"/>
      <c r="N702" s="110"/>
      <c r="O702" s="110"/>
    </row>
    <row r="703" spans="1:15" ht="12" customHeight="1" x14ac:dyDescent="0.15">
      <c r="A703" s="110"/>
      <c r="B703" s="110"/>
      <c r="C703" s="110"/>
      <c r="D703" s="110"/>
      <c r="E703" s="110"/>
      <c r="F703" s="110"/>
      <c r="G703" s="110"/>
      <c r="H703" s="110"/>
      <c r="I703" s="110"/>
      <c r="J703" s="110"/>
      <c r="K703" s="110"/>
      <c r="L703" s="110"/>
      <c r="M703" s="110"/>
      <c r="N703" s="110"/>
      <c r="O703" s="110"/>
    </row>
    <row r="704" spans="1:15" ht="12" customHeight="1" x14ac:dyDescent="0.15">
      <c r="A704" s="110"/>
      <c r="B704" s="110"/>
      <c r="C704" s="110"/>
      <c r="D704" s="110"/>
      <c r="E704" s="110"/>
      <c r="F704" s="110"/>
      <c r="G704" s="110"/>
      <c r="H704" s="110"/>
      <c r="I704" s="110"/>
      <c r="J704" s="110"/>
      <c r="K704" s="110"/>
      <c r="L704" s="110"/>
      <c r="M704" s="110"/>
      <c r="N704" s="110"/>
      <c r="O704" s="110"/>
    </row>
    <row r="705" spans="1:15" ht="12" customHeight="1" x14ac:dyDescent="0.15">
      <c r="A705" s="110"/>
      <c r="B705" s="110"/>
      <c r="C705" s="110"/>
      <c r="D705" s="110"/>
      <c r="E705" s="110"/>
      <c r="F705" s="110"/>
      <c r="G705" s="110"/>
      <c r="H705" s="110"/>
      <c r="I705" s="110"/>
      <c r="J705" s="110"/>
      <c r="K705" s="110"/>
      <c r="L705" s="110"/>
      <c r="M705" s="110"/>
      <c r="N705" s="110"/>
      <c r="O705" s="110"/>
    </row>
    <row r="706" spans="1:15" ht="12" customHeight="1" x14ac:dyDescent="0.15">
      <c r="A706" s="110"/>
      <c r="B706" s="110"/>
      <c r="C706" s="110"/>
      <c r="D706" s="110"/>
      <c r="E706" s="110"/>
      <c r="F706" s="110"/>
      <c r="G706" s="110"/>
      <c r="H706" s="110"/>
      <c r="I706" s="110"/>
      <c r="J706" s="110"/>
      <c r="K706" s="110"/>
      <c r="L706" s="110"/>
      <c r="M706" s="110"/>
      <c r="N706" s="110"/>
      <c r="O706" s="110"/>
    </row>
    <row r="707" spans="1:15" ht="12" customHeight="1" x14ac:dyDescent="0.15">
      <c r="A707" s="110"/>
      <c r="B707" s="110"/>
      <c r="C707" s="110"/>
      <c r="D707" s="110"/>
      <c r="E707" s="110"/>
      <c r="F707" s="110"/>
      <c r="G707" s="110"/>
      <c r="H707" s="110"/>
      <c r="I707" s="110"/>
      <c r="J707" s="110"/>
      <c r="K707" s="110"/>
      <c r="L707" s="110"/>
      <c r="M707" s="110"/>
      <c r="N707" s="110"/>
      <c r="O707" s="110"/>
    </row>
    <row r="708" spans="1:15" ht="12" customHeight="1" x14ac:dyDescent="0.15">
      <c r="A708" s="110"/>
      <c r="B708" s="110"/>
      <c r="C708" s="110"/>
      <c r="D708" s="110"/>
      <c r="E708" s="110"/>
      <c r="F708" s="110"/>
      <c r="G708" s="110"/>
      <c r="H708" s="110"/>
      <c r="I708" s="110"/>
      <c r="J708" s="110"/>
      <c r="K708" s="110"/>
      <c r="L708" s="110"/>
      <c r="M708" s="110"/>
      <c r="N708" s="110"/>
      <c r="O708" s="110"/>
    </row>
    <row r="709" spans="1:15" ht="12" customHeight="1" x14ac:dyDescent="0.15">
      <c r="A709" s="110"/>
      <c r="B709" s="110"/>
      <c r="C709" s="110"/>
      <c r="D709" s="110"/>
      <c r="E709" s="110"/>
      <c r="F709" s="110"/>
      <c r="G709" s="110"/>
      <c r="H709" s="110"/>
      <c r="I709" s="110"/>
      <c r="J709" s="110"/>
      <c r="K709" s="110"/>
      <c r="L709" s="110"/>
      <c r="M709" s="110"/>
      <c r="N709" s="110"/>
      <c r="O709" s="110"/>
    </row>
    <row r="710" spans="1:15" ht="12" customHeight="1" x14ac:dyDescent="0.15">
      <c r="A710" s="110"/>
      <c r="B710" s="110"/>
      <c r="C710" s="110"/>
      <c r="D710" s="110"/>
      <c r="E710" s="110"/>
      <c r="F710" s="110"/>
      <c r="G710" s="110"/>
      <c r="H710" s="110"/>
      <c r="I710" s="110"/>
      <c r="J710" s="110"/>
      <c r="K710" s="110"/>
      <c r="L710" s="110"/>
      <c r="M710" s="110"/>
      <c r="N710" s="110"/>
      <c r="O710" s="110"/>
    </row>
    <row r="711" spans="1:15" ht="12" customHeight="1" x14ac:dyDescent="0.15">
      <c r="A711" s="110"/>
      <c r="B711" s="110"/>
      <c r="C711" s="110"/>
      <c r="D711" s="110"/>
      <c r="E711" s="110"/>
      <c r="F711" s="110"/>
      <c r="G711" s="110"/>
      <c r="H711" s="110"/>
      <c r="I711" s="110"/>
      <c r="J711" s="110"/>
      <c r="K711" s="110"/>
      <c r="L711" s="110"/>
      <c r="M711" s="110"/>
      <c r="N711" s="110"/>
      <c r="O711" s="110"/>
    </row>
    <row r="712" spans="1:15" ht="12" customHeight="1" x14ac:dyDescent="0.15">
      <c r="A712" s="110"/>
      <c r="B712" s="110"/>
      <c r="C712" s="110"/>
      <c r="D712" s="110"/>
      <c r="E712" s="110"/>
      <c r="F712" s="110"/>
      <c r="G712" s="110"/>
      <c r="H712" s="110"/>
      <c r="I712" s="110"/>
      <c r="J712" s="110"/>
      <c r="K712" s="110"/>
      <c r="L712" s="110"/>
      <c r="M712" s="110"/>
      <c r="N712" s="110"/>
      <c r="O712" s="110"/>
    </row>
    <row r="713" spans="1:15" ht="12" customHeight="1" x14ac:dyDescent="0.15">
      <c r="A713" s="110"/>
      <c r="B713" s="110"/>
      <c r="C713" s="110"/>
      <c r="D713" s="110"/>
      <c r="E713" s="110"/>
      <c r="F713" s="110"/>
      <c r="G713" s="110"/>
      <c r="H713" s="110"/>
      <c r="I713" s="110"/>
      <c r="J713" s="110"/>
      <c r="K713" s="110"/>
      <c r="L713" s="110"/>
      <c r="M713" s="110"/>
      <c r="N713" s="110"/>
      <c r="O713" s="110"/>
    </row>
    <row r="714" spans="1:15" ht="12" customHeight="1" x14ac:dyDescent="0.15">
      <c r="A714" s="110"/>
      <c r="B714" s="110"/>
      <c r="C714" s="110"/>
      <c r="D714" s="110"/>
      <c r="E714" s="110"/>
      <c r="F714" s="110"/>
      <c r="G714" s="110"/>
      <c r="H714" s="110"/>
      <c r="I714" s="110"/>
      <c r="J714" s="110"/>
      <c r="K714" s="110"/>
      <c r="L714" s="110"/>
      <c r="M714" s="110"/>
      <c r="N714" s="110"/>
      <c r="O714" s="110"/>
    </row>
    <row r="715" spans="1:15" ht="12" customHeight="1" x14ac:dyDescent="0.15">
      <c r="A715" s="110"/>
      <c r="B715" s="110"/>
      <c r="C715" s="110"/>
      <c r="D715" s="110"/>
      <c r="E715" s="110"/>
      <c r="F715" s="110"/>
      <c r="G715" s="110"/>
      <c r="H715" s="110"/>
      <c r="I715" s="110"/>
      <c r="J715" s="110"/>
      <c r="K715" s="110"/>
      <c r="L715" s="110"/>
      <c r="M715" s="110"/>
      <c r="N715" s="110"/>
      <c r="O715" s="110"/>
    </row>
    <row r="716" spans="1:15" ht="12" customHeight="1" x14ac:dyDescent="0.15">
      <c r="A716" s="110"/>
      <c r="B716" s="110"/>
      <c r="C716" s="110"/>
      <c r="D716" s="110"/>
      <c r="E716" s="110"/>
      <c r="F716" s="110"/>
      <c r="G716" s="110"/>
      <c r="H716" s="110"/>
      <c r="I716" s="110"/>
      <c r="J716" s="110"/>
      <c r="K716" s="110"/>
      <c r="L716" s="110"/>
      <c r="M716" s="110"/>
      <c r="N716" s="110"/>
      <c r="O716" s="110"/>
    </row>
    <row r="717" spans="1:15" ht="12" customHeight="1" x14ac:dyDescent="0.15">
      <c r="A717" s="110"/>
      <c r="B717" s="110"/>
      <c r="C717" s="110"/>
      <c r="D717" s="110"/>
      <c r="E717" s="110"/>
      <c r="F717" s="110"/>
      <c r="G717" s="110"/>
      <c r="H717" s="110"/>
      <c r="I717" s="110"/>
      <c r="J717" s="110"/>
      <c r="K717" s="110"/>
      <c r="L717" s="110"/>
      <c r="M717" s="110"/>
      <c r="N717" s="110"/>
      <c r="O717" s="110"/>
    </row>
    <row r="718" spans="1:15" ht="12" customHeight="1" x14ac:dyDescent="0.15">
      <c r="A718" s="110"/>
      <c r="B718" s="110"/>
      <c r="C718" s="110"/>
      <c r="D718" s="110"/>
      <c r="E718" s="110"/>
      <c r="F718" s="110"/>
      <c r="G718" s="110"/>
      <c r="H718" s="110"/>
      <c r="I718" s="110"/>
      <c r="J718" s="110"/>
      <c r="K718" s="110"/>
      <c r="L718" s="110"/>
      <c r="M718" s="110"/>
      <c r="N718" s="110"/>
      <c r="O718" s="110"/>
    </row>
    <row r="719" spans="1:15" ht="12" customHeight="1" x14ac:dyDescent="0.15">
      <c r="A719" s="110"/>
      <c r="B719" s="110"/>
      <c r="C719" s="110"/>
      <c r="D719" s="110"/>
      <c r="E719" s="110"/>
      <c r="F719" s="110"/>
      <c r="G719" s="110"/>
      <c r="H719" s="110"/>
      <c r="I719" s="110"/>
      <c r="J719" s="110"/>
      <c r="K719" s="110"/>
      <c r="L719" s="110"/>
      <c r="M719" s="110"/>
      <c r="N719" s="110"/>
      <c r="O719" s="110"/>
    </row>
    <row r="720" spans="1:15" ht="12" customHeight="1" x14ac:dyDescent="0.15">
      <c r="A720" s="110"/>
      <c r="B720" s="110"/>
      <c r="C720" s="110"/>
      <c r="D720" s="110"/>
      <c r="E720" s="110"/>
      <c r="F720" s="110"/>
      <c r="G720" s="110"/>
      <c r="H720" s="110"/>
      <c r="I720" s="110"/>
      <c r="J720" s="110"/>
      <c r="K720" s="110"/>
      <c r="L720" s="110"/>
      <c r="M720" s="110"/>
      <c r="N720" s="110"/>
      <c r="O720" s="110"/>
    </row>
    <row r="721" spans="1:15" ht="12" customHeight="1" x14ac:dyDescent="0.15">
      <c r="A721" s="110"/>
      <c r="B721" s="110"/>
      <c r="C721" s="110"/>
      <c r="D721" s="110"/>
      <c r="E721" s="110"/>
      <c r="F721" s="110"/>
      <c r="G721" s="110"/>
      <c r="H721" s="110"/>
      <c r="I721" s="110"/>
      <c r="J721" s="110"/>
      <c r="K721" s="110"/>
      <c r="L721" s="110"/>
      <c r="M721" s="110"/>
      <c r="N721" s="110"/>
      <c r="O721" s="110"/>
    </row>
    <row r="722" spans="1:15" ht="12" customHeight="1" x14ac:dyDescent="0.15">
      <c r="A722" s="110"/>
      <c r="B722" s="110"/>
      <c r="C722" s="110"/>
      <c r="D722" s="110"/>
      <c r="E722" s="110"/>
      <c r="F722" s="110"/>
      <c r="G722" s="110"/>
      <c r="H722" s="110"/>
      <c r="I722" s="110"/>
      <c r="J722" s="110"/>
      <c r="K722" s="110"/>
      <c r="L722" s="110"/>
      <c r="M722" s="110"/>
      <c r="N722" s="110"/>
      <c r="O722" s="110"/>
    </row>
    <row r="723" spans="1:15" ht="12" customHeight="1" x14ac:dyDescent="0.15">
      <c r="A723" s="110"/>
      <c r="B723" s="110"/>
      <c r="C723" s="110"/>
      <c r="D723" s="110"/>
      <c r="E723" s="110"/>
      <c r="F723" s="110"/>
      <c r="G723" s="110"/>
      <c r="H723" s="110"/>
      <c r="I723" s="110"/>
      <c r="J723" s="110"/>
      <c r="K723" s="110"/>
      <c r="L723" s="110"/>
      <c r="M723" s="110"/>
      <c r="N723" s="110"/>
      <c r="O723" s="110"/>
    </row>
    <row r="724" spans="1:15" ht="12" customHeight="1" x14ac:dyDescent="0.15">
      <c r="A724" s="110"/>
      <c r="B724" s="110"/>
      <c r="C724" s="110"/>
      <c r="D724" s="110"/>
      <c r="E724" s="110"/>
      <c r="F724" s="110"/>
      <c r="G724" s="110"/>
      <c r="H724" s="110"/>
      <c r="I724" s="110"/>
      <c r="J724" s="110"/>
      <c r="K724" s="110"/>
      <c r="L724" s="110"/>
      <c r="M724" s="110"/>
      <c r="N724" s="110"/>
      <c r="O724" s="110"/>
    </row>
    <row r="725" spans="1:15" ht="12" customHeight="1" x14ac:dyDescent="0.15">
      <c r="A725" s="110"/>
      <c r="B725" s="110"/>
      <c r="C725" s="110"/>
      <c r="D725" s="110"/>
      <c r="E725" s="110"/>
      <c r="F725" s="110"/>
      <c r="G725" s="110"/>
      <c r="H725" s="110"/>
      <c r="I725" s="110"/>
      <c r="J725" s="110"/>
      <c r="K725" s="110"/>
      <c r="L725" s="110"/>
      <c r="M725" s="110"/>
      <c r="N725" s="110"/>
      <c r="O725" s="110"/>
    </row>
    <row r="726" spans="1:15" ht="12" customHeight="1" x14ac:dyDescent="0.15">
      <c r="A726" s="110"/>
      <c r="B726" s="110"/>
      <c r="C726" s="110"/>
      <c r="D726" s="110"/>
      <c r="E726" s="110"/>
      <c r="F726" s="110"/>
      <c r="G726" s="110"/>
      <c r="H726" s="110"/>
      <c r="I726" s="110"/>
      <c r="J726" s="110"/>
      <c r="K726" s="110"/>
      <c r="L726" s="110"/>
      <c r="M726" s="110"/>
      <c r="N726" s="110"/>
      <c r="O726" s="110"/>
    </row>
    <row r="727" spans="1:15" ht="12" customHeight="1" x14ac:dyDescent="0.15">
      <c r="A727" s="110"/>
      <c r="B727" s="110"/>
      <c r="C727" s="110"/>
      <c r="D727" s="110"/>
      <c r="E727" s="110"/>
      <c r="F727" s="110"/>
      <c r="G727" s="110"/>
      <c r="H727" s="110"/>
      <c r="I727" s="110"/>
      <c r="J727" s="110"/>
      <c r="K727" s="110"/>
      <c r="L727" s="110"/>
      <c r="M727" s="110"/>
      <c r="N727" s="110"/>
      <c r="O727" s="110"/>
    </row>
    <row r="728" spans="1:15" ht="12" customHeight="1" x14ac:dyDescent="0.15">
      <c r="A728" s="110"/>
      <c r="B728" s="110"/>
      <c r="C728" s="110"/>
      <c r="D728" s="110"/>
      <c r="E728" s="110"/>
      <c r="F728" s="110"/>
      <c r="G728" s="110"/>
      <c r="H728" s="110"/>
      <c r="I728" s="110"/>
      <c r="J728" s="110"/>
      <c r="K728" s="110"/>
      <c r="L728" s="110"/>
      <c r="M728" s="110"/>
      <c r="N728" s="110"/>
      <c r="O728" s="110"/>
    </row>
    <row r="729" spans="1:15" ht="12" customHeight="1" x14ac:dyDescent="0.15">
      <c r="A729" s="110"/>
      <c r="B729" s="110"/>
      <c r="C729" s="110"/>
      <c r="D729" s="110"/>
      <c r="E729" s="110"/>
      <c r="F729" s="110"/>
      <c r="G729" s="110"/>
      <c r="H729" s="110"/>
      <c r="I729" s="110"/>
      <c r="J729" s="110"/>
      <c r="K729" s="110"/>
      <c r="L729" s="110"/>
      <c r="M729" s="110"/>
      <c r="N729" s="110"/>
      <c r="O729" s="110"/>
    </row>
    <row r="730" spans="1:15" ht="12" customHeight="1" x14ac:dyDescent="0.15">
      <c r="A730" s="110"/>
      <c r="B730" s="110"/>
      <c r="C730" s="110"/>
      <c r="D730" s="110"/>
      <c r="E730" s="110"/>
      <c r="F730" s="110"/>
      <c r="G730" s="110"/>
      <c r="H730" s="110"/>
      <c r="I730" s="110"/>
      <c r="J730" s="110"/>
      <c r="K730" s="110"/>
      <c r="L730" s="110"/>
      <c r="M730" s="110"/>
      <c r="N730" s="110"/>
      <c r="O730" s="110"/>
    </row>
    <row r="731" spans="1:15" ht="12" customHeight="1" x14ac:dyDescent="0.15">
      <c r="A731" s="110"/>
      <c r="B731" s="110"/>
      <c r="C731" s="110"/>
      <c r="D731" s="110"/>
      <c r="E731" s="110"/>
      <c r="F731" s="110"/>
      <c r="G731" s="110"/>
      <c r="H731" s="110"/>
      <c r="I731" s="110"/>
      <c r="J731" s="110"/>
      <c r="K731" s="110"/>
      <c r="L731" s="110"/>
      <c r="M731" s="110"/>
      <c r="N731" s="110"/>
      <c r="O731" s="110"/>
    </row>
    <row r="732" spans="1:15" ht="12" customHeight="1" x14ac:dyDescent="0.15">
      <c r="A732" s="110"/>
      <c r="B732" s="110"/>
      <c r="C732" s="110"/>
      <c r="D732" s="110"/>
      <c r="E732" s="110"/>
      <c r="F732" s="110"/>
      <c r="G732" s="110"/>
      <c r="H732" s="110"/>
      <c r="I732" s="110"/>
      <c r="J732" s="110"/>
      <c r="K732" s="110"/>
      <c r="L732" s="110"/>
      <c r="M732" s="110"/>
      <c r="N732" s="110"/>
      <c r="O732" s="110"/>
    </row>
    <row r="733" spans="1:15" ht="12" customHeight="1" x14ac:dyDescent="0.15">
      <c r="A733" s="110"/>
      <c r="B733" s="110"/>
      <c r="C733" s="110"/>
      <c r="D733" s="110"/>
      <c r="E733" s="110"/>
      <c r="F733" s="110"/>
      <c r="G733" s="110"/>
      <c r="H733" s="110"/>
      <c r="I733" s="110"/>
      <c r="J733" s="110"/>
      <c r="K733" s="110"/>
      <c r="L733" s="110"/>
      <c r="M733" s="110"/>
      <c r="N733" s="110"/>
      <c r="O733" s="110"/>
    </row>
    <row r="734" spans="1:15" ht="12" customHeight="1" x14ac:dyDescent="0.15">
      <c r="A734" s="110"/>
      <c r="B734" s="110"/>
      <c r="C734" s="110"/>
      <c r="D734" s="110"/>
      <c r="E734" s="110"/>
      <c r="F734" s="110"/>
      <c r="G734" s="110"/>
      <c r="H734" s="110"/>
      <c r="I734" s="110"/>
      <c r="J734" s="110"/>
      <c r="K734" s="110"/>
      <c r="L734" s="110"/>
      <c r="M734" s="110"/>
      <c r="N734" s="110"/>
      <c r="O734" s="110"/>
    </row>
    <row r="735" spans="1:15" ht="12" customHeight="1" x14ac:dyDescent="0.15">
      <c r="A735" s="110"/>
      <c r="B735" s="110"/>
      <c r="C735" s="110"/>
      <c r="D735" s="110"/>
      <c r="E735" s="110"/>
      <c r="F735" s="110"/>
      <c r="G735" s="110"/>
      <c r="H735" s="110"/>
      <c r="I735" s="110"/>
      <c r="J735" s="110"/>
      <c r="K735" s="110"/>
      <c r="L735" s="110"/>
      <c r="M735" s="110"/>
      <c r="N735" s="110"/>
      <c r="O735" s="110"/>
    </row>
    <row r="736" spans="1:15" ht="12" customHeight="1" x14ac:dyDescent="0.15">
      <c r="A736" s="110"/>
      <c r="B736" s="110"/>
      <c r="C736" s="110"/>
      <c r="D736" s="110"/>
      <c r="E736" s="110"/>
      <c r="F736" s="110"/>
      <c r="G736" s="110"/>
      <c r="H736" s="110"/>
      <c r="I736" s="110"/>
      <c r="J736" s="110"/>
      <c r="K736" s="110"/>
      <c r="L736" s="110"/>
      <c r="M736" s="110"/>
      <c r="N736" s="110"/>
      <c r="O736" s="110"/>
    </row>
    <row r="737" spans="1:15" ht="12" customHeight="1" x14ac:dyDescent="0.15">
      <c r="A737" s="110"/>
      <c r="B737" s="110"/>
      <c r="C737" s="110"/>
      <c r="D737" s="110"/>
      <c r="E737" s="110"/>
      <c r="F737" s="110"/>
      <c r="G737" s="110"/>
      <c r="H737" s="110"/>
      <c r="I737" s="110"/>
      <c r="J737" s="110"/>
      <c r="K737" s="110"/>
      <c r="L737" s="110"/>
      <c r="M737" s="110"/>
      <c r="N737" s="110"/>
      <c r="O737" s="110"/>
    </row>
    <row r="738" spans="1:15" ht="12" customHeight="1" x14ac:dyDescent="0.15">
      <c r="A738" s="110"/>
      <c r="B738" s="110"/>
      <c r="C738" s="110"/>
      <c r="D738" s="110"/>
      <c r="E738" s="110"/>
      <c r="F738" s="110"/>
      <c r="G738" s="110"/>
      <c r="H738" s="110"/>
      <c r="I738" s="110"/>
      <c r="J738" s="110"/>
      <c r="K738" s="110"/>
      <c r="L738" s="110"/>
      <c r="M738" s="110"/>
      <c r="N738" s="110"/>
      <c r="O738" s="110"/>
    </row>
    <row r="739" spans="1:15" ht="12" customHeight="1" x14ac:dyDescent="0.15">
      <c r="A739" s="110"/>
      <c r="B739" s="110"/>
      <c r="C739" s="110"/>
      <c r="D739" s="110"/>
      <c r="E739" s="110"/>
      <c r="F739" s="110"/>
      <c r="G739" s="110"/>
      <c r="H739" s="110"/>
      <c r="I739" s="110"/>
      <c r="J739" s="110"/>
      <c r="K739" s="110"/>
      <c r="L739" s="110"/>
      <c r="M739" s="110"/>
      <c r="N739" s="110"/>
      <c r="O739" s="110"/>
    </row>
    <row r="740" spans="1:15" ht="12" customHeight="1" x14ac:dyDescent="0.15">
      <c r="A740" s="110"/>
      <c r="B740" s="110"/>
      <c r="C740" s="110"/>
      <c r="D740" s="110"/>
      <c r="E740" s="110"/>
      <c r="F740" s="110"/>
      <c r="G740" s="110"/>
      <c r="H740" s="110"/>
      <c r="I740" s="110"/>
      <c r="J740" s="110"/>
      <c r="K740" s="110"/>
      <c r="L740" s="110"/>
      <c r="M740" s="110"/>
      <c r="N740" s="110"/>
      <c r="O740" s="110"/>
    </row>
    <row r="741" spans="1:15" ht="12" customHeight="1" x14ac:dyDescent="0.15">
      <c r="A741" s="110"/>
      <c r="B741" s="110"/>
      <c r="C741" s="110"/>
      <c r="D741" s="110"/>
      <c r="E741" s="110"/>
      <c r="F741" s="110"/>
      <c r="G741" s="110"/>
      <c r="H741" s="110"/>
      <c r="I741" s="110"/>
      <c r="J741" s="110"/>
      <c r="K741" s="110"/>
      <c r="L741" s="110"/>
      <c r="M741" s="110"/>
      <c r="N741" s="110"/>
      <c r="O741" s="110"/>
    </row>
    <row r="742" spans="1:15" ht="12" customHeight="1" x14ac:dyDescent="0.15">
      <c r="A742" s="110"/>
      <c r="B742" s="110"/>
      <c r="C742" s="110"/>
      <c r="D742" s="110"/>
      <c r="E742" s="110"/>
      <c r="F742" s="110"/>
      <c r="G742" s="110"/>
      <c r="H742" s="110"/>
      <c r="I742" s="110"/>
      <c r="J742" s="110"/>
      <c r="K742" s="110"/>
      <c r="L742" s="110"/>
      <c r="M742" s="110"/>
      <c r="N742" s="110"/>
      <c r="O742" s="110"/>
    </row>
    <row r="743" spans="1:15" ht="12" customHeight="1" x14ac:dyDescent="0.15">
      <c r="A743" s="110"/>
      <c r="B743" s="110"/>
      <c r="C743" s="110"/>
      <c r="D743" s="110"/>
      <c r="E743" s="110"/>
      <c r="F743" s="110"/>
      <c r="G743" s="110"/>
      <c r="H743" s="110"/>
      <c r="I743" s="110"/>
      <c r="J743" s="110"/>
      <c r="K743" s="110"/>
      <c r="L743" s="110"/>
      <c r="M743" s="110"/>
      <c r="N743" s="110"/>
      <c r="O743" s="110"/>
    </row>
    <row r="744" spans="1:15" ht="12" customHeight="1" x14ac:dyDescent="0.15">
      <c r="A744" s="110"/>
      <c r="B744" s="110"/>
      <c r="C744" s="110"/>
      <c r="D744" s="110"/>
      <c r="E744" s="110"/>
      <c r="F744" s="110"/>
      <c r="G744" s="110"/>
      <c r="H744" s="110"/>
      <c r="I744" s="110"/>
      <c r="J744" s="110"/>
      <c r="K744" s="110"/>
      <c r="L744" s="110"/>
      <c r="M744" s="110"/>
      <c r="N744" s="110"/>
      <c r="O744" s="110"/>
    </row>
    <row r="745" spans="1:15" ht="12" customHeight="1" x14ac:dyDescent="0.15">
      <c r="A745" s="110"/>
      <c r="B745" s="110"/>
      <c r="C745" s="110"/>
      <c r="D745" s="110"/>
      <c r="E745" s="110"/>
      <c r="F745" s="110"/>
      <c r="G745" s="110"/>
      <c r="H745" s="110"/>
      <c r="I745" s="110"/>
      <c r="J745" s="110"/>
      <c r="K745" s="110"/>
      <c r="L745" s="110"/>
      <c r="M745" s="110"/>
      <c r="N745" s="110"/>
      <c r="O745" s="110"/>
    </row>
    <row r="746" spans="1:15" ht="12" customHeight="1" x14ac:dyDescent="0.15">
      <c r="A746" s="110"/>
      <c r="B746" s="110"/>
      <c r="C746" s="110"/>
      <c r="D746" s="110"/>
      <c r="E746" s="110"/>
      <c r="F746" s="110"/>
      <c r="G746" s="110"/>
      <c r="H746" s="110"/>
      <c r="I746" s="110"/>
      <c r="J746" s="110"/>
      <c r="K746" s="110"/>
      <c r="L746" s="110"/>
      <c r="M746" s="110"/>
      <c r="N746" s="110"/>
      <c r="O746" s="110"/>
    </row>
    <row r="747" spans="1:15" ht="12" customHeight="1" x14ac:dyDescent="0.15">
      <c r="A747" s="110"/>
      <c r="B747" s="110"/>
      <c r="C747" s="110"/>
      <c r="D747" s="110"/>
      <c r="E747" s="110"/>
      <c r="F747" s="110"/>
      <c r="G747" s="110"/>
      <c r="H747" s="110"/>
      <c r="I747" s="110"/>
      <c r="J747" s="110"/>
      <c r="K747" s="110"/>
      <c r="L747" s="110"/>
      <c r="M747" s="110"/>
      <c r="N747" s="110"/>
      <c r="O747" s="110"/>
    </row>
    <row r="748" spans="1:15" ht="12" customHeight="1" x14ac:dyDescent="0.15">
      <c r="A748" s="110"/>
      <c r="B748" s="110"/>
      <c r="C748" s="110"/>
      <c r="D748" s="110"/>
      <c r="E748" s="110"/>
      <c r="F748" s="110"/>
      <c r="G748" s="110"/>
      <c r="H748" s="110"/>
      <c r="I748" s="110"/>
      <c r="J748" s="110"/>
      <c r="K748" s="110"/>
      <c r="L748" s="110"/>
      <c r="M748" s="110"/>
      <c r="N748" s="110"/>
      <c r="O748" s="110"/>
    </row>
    <row r="749" spans="1:15" ht="12" customHeight="1" x14ac:dyDescent="0.15">
      <c r="A749" s="110"/>
      <c r="B749" s="110"/>
      <c r="C749" s="110"/>
      <c r="D749" s="110"/>
      <c r="E749" s="110"/>
      <c r="F749" s="110"/>
      <c r="G749" s="110"/>
      <c r="H749" s="110"/>
      <c r="I749" s="110"/>
      <c r="J749" s="110"/>
      <c r="K749" s="110"/>
      <c r="L749" s="110"/>
      <c r="M749" s="110"/>
      <c r="N749" s="110"/>
      <c r="O749" s="110"/>
    </row>
    <row r="750" spans="1:15" ht="12" customHeight="1" x14ac:dyDescent="0.15">
      <c r="A750" s="110"/>
      <c r="B750" s="110"/>
      <c r="C750" s="110"/>
      <c r="D750" s="110"/>
      <c r="E750" s="110"/>
      <c r="F750" s="110"/>
      <c r="G750" s="110"/>
      <c r="H750" s="110"/>
      <c r="I750" s="110"/>
      <c r="J750" s="110"/>
      <c r="K750" s="110"/>
      <c r="L750" s="110"/>
      <c r="M750" s="110"/>
      <c r="N750" s="110"/>
      <c r="O750" s="110"/>
    </row>
    <row r="751" spans="1:15" ht="12" customHeight="1" x14ac:dyDescent="0.15">
      <c r="A751" s="110"/>
      <c r="B751" s="110"/>
      <c r="C751" s="110"/>
      <c r="D751" s="110"/>
      <c r="E751" s="110"/>
      <c r="F751" s="110"/>
      <c r="G751" s="110"/>
      <c r="H751" s="110"/>
      <c r="I751" s="110"/>
      <c r="J751" s="110"/>
      <c r="K751" s="110"/>
      <c r="L751" s="110"/>
      <c r="M751" s="110"/>
      <c r="N751" s="110"/>
      <c r="O751" s="110"/>
    </row>
    <row r="752" spans="1:15" ht="12" customHeight="1" x14ac:dyDescent="0.15">
      <c r="A752" s="110"/>
      <c r="B752" s="110"/>
      <c r="C752" s="110"/>
      <c r="D752" s="110"/>
      <c r="E752" s="110"/>
      <c r="F752" s="110"/>
      <c r="G752" s="110"/>
      <c r="H752" s="110"/>
      <c r="I752" s="110"/>
      <c r="J752" s="110"/>
      <c r="K752" s="110"/>
      <c r="L752" s="110"/>
      <c r="M752" s="110"/>
      <c r="N752" s="110"/>
      <c r="O752" s="110"/>
    </row>
    <row r="753" spans="1:15" ht="12" customHeight="1" x14ac:dyDescent="0.15">
      <c r="A753" s="110"/>
      <c r="B753" s="110"/>
      <c r="C753" s="110"/>
      <c r="D753" s="110"/>
      <c r="E753" s="110"/>
      <c r="F753" s="110"/>
      <c r="G753" s="110"/>
      <c r="H753" s="110"/>
      <c r="I753" s="110"/>
      <c r="J753" s="110"/>
      <c r="K753" s="110"/>
      <c r="L753" s="110"/>
      <c r="M753" s="110"/>
      <c r="N753" s="110"/>
      <c r="O753" s="110"/>
    </row>
    <row r="754" spans="1:15" ht="12" customHeight="1" x14ac:dyDescent="0.15">
      <c r="A754" s="110"/>
      <c r="B754" s="110"/>
      <c r="C754" s="110"/>
      <c r="D754" s="110"/>
      <c r="E754" s="110"/>
      <c r="F754" s="110"/>
      <c r="G754" s="110"/>
      <c r="H754" s="110"/>
      <c r="I754" s="110"/>
      <c r="J754" s="110"/>
      <c r="K754" s="110"/>
      <c r="L754" s="110"/>
      <c r="M754" s="110"/>
      <c r="N754" s="110"/>
      <c r="O754" s="110"/>
    </row>
    <row r="755" spans="1:15" ht="12" customHeight="1" x14ac:dyDescent="0.15">
      <c r="A755" s="110"/>
      <c r="B755" s="110"/>
      <c r="C755" s="110"/>
      <c r="D755" s="110"/>
      <c r="E755" s="110"/>
      <c r="F755" s="110"/>
      <c r="G755" s="110"/>
      <c r="H755" s="110"/>
      <c r="I755" s="110"/>
      <c r="J755" s="110"/>
      <c r="K755" s="110"/>
      <c r="L755" s="110"/>
      <c r="M755" s="110"/>
      <c r="N755" s="110"/>
      <c r="O755" s="110"/>
    </row>
    <row r="756" spans="1:15" ht="12" customHeight="1" x14ac:dyDescent="0.15">
      <c r="A756" s="110"/>
      <c r="B756" s="110"/>
      <c r="C756" s="110"/>
      <c r="D756" s="110"/>
      <c r="E756" s="110"/>
      <c r="F756" s="110"/>
      <c r="G756" s="110"/>
      <c r="H756" s="110"/>
      <c r="I756" s="110"/>
      <c r="J756" s="110"/>
      <c r="K756" s="110"/>
      <c r="L756" s="110"/>
      <c r="M756" s="110"/>
      <c r="N756" s="110"/>
      <c r="O756" s="110"/>
    </row>
    <row r="757" spans="1:15" ht="12" customHeight="1" x14ac:dyDescent="0.15">
      <c r="A757" s="110"/>
      <c r="B757" s="110"/>
      <c r="C757" s="110"/>
      <c r="D757" s="110"/>
      <c r="E757" s="110"/>
      <c r="F757" s="110"/>
      <c r="G757" s="110"/>
      <c r="H757" s="110"/>
      <c r="I757" s="110"/>
      <c r="J757" s="110"/>
      <c r="K757" s="110"/>
      <c r="L757" s="110"/>
      <c r="M757" s="110"/>
      <c r="N757" s="110"/>
      <c r="O757" s="110"/>
    </row>
    <row r="758" spans="1:15" ht="12" customHeight="1" x14ac:dyDescent="0.15">
      <c r="A758" s="110"/>
      <c r="B758" s="110"/>
      <c r="C758" s="110"/>
      <c r="D758" s="110"/>
      <c r="E758" s="110"/>
      <c r="F758" s="110"/>
      <c r="G758" s="110"/>
      <c r="H758" s="110"/>
      <c r="I758" s="110"/>
      <c r="J758" s="110"/>
      <c r="K758" s="110"/>
      <c r="L758" s="110"/>
      <c r="M758" s="110"/>
      <c r="N758" s="110"/>
      <c r="O758" s="110"/>
    </row>
    <row r="759" spans="1:15" ht="12" customHeight="1" x14ac:dyDescent="0.15">
      <c r="A759" s="110"/>
      <c r="B759" s="110"/>
      <c r="C759" s="110"/>
      <c r="D759" s="110"/>
      <c r="E759" s="110"/>
      <c r="F759" s="110"/>
      <c r="G759" s="110"/>
      <c r="H759" s="110"/>
      <c r="I759" s="110"/>
      <c r="J759" s="110"/>
      <c r="K759" s="110"/>
      <c r="L759" s="110"/>
      <c r="M759" s="110"/>
      <c r="N759" s="110"/>
      <c r="O759" s="110"/>
    </row>
    <row r="760" spans="1:15" ht="12" customHeight="1" x14ac:dyDescent="0.15">
      <c r="A760" s="110"/>
      <c r="B760" s="110"/>
      <c r="C760" s="110"/>
      <c r="D760" s="110"/>
      <c r="E760" s="110"/>
      <c r="F760" s="110"/>
      <c r="G760" s="110"/>
      <c r="H760" s="110"/>
      <c r="I760" s="110"/>
      <c r="J760" s="110"/>
      <c r="K760" s="110"/>
      <c r="L760" s="110"/>
      <c r="M760" s="110"/>
      <c r="N760" s="110"/>
      <c r="O760" s="110"/>
    </row>
    <row r="761" spans="1:15" ht="12" customHeight="1" x14ac:dyDescent="0.15">
      <c r="A761" s="110"/>
      <c r="B761" s="110"/>
      <c r="C761" s="110"/>
      <c r="D761" s="110"/>
      <c r="E761" s="110"/>
      <c r="F761" s="110"/>
      <c r="G761" s="110"/>
      <c r="H761" s="110"/>
      <c r="I761" s="110"/>
      <c r="J761" s="110"/>
      <c r="K761" s="110"/>
      <c r="L761" s="110"/>
      <c r="M761" s="110"/>
      <c r="N761" s="110"/>
      <c r="O761" s="110"/>
    </row>
    <row r="762" spans="1:15" ht="12" customHeight="1" x14ac:dyDescent="0.15">
      <c r="A762" s="110"/>
      <c r="B762" s="110"/>
      <c r="C762" s="110"/>
      <c r="D762" s="110"/>
      <c r="E762" s="110"/>
      <c r="F762" s="110"/>
      <c r="G762" s="110"/>
      <c r="H762" s="110"/>
      <c r="I762" s="110"/>
      <c r="J762" s="110"/>
      <c r="K762" s="110"/>
      <c r="L762" s="110"/>
      <c r="M762" s="110"/>
      <c r="N762" s="110"/>
      <c r="O762" s="110"/>
    </row>
    <row r="763" spans="1:15" ht="12" customHeight="1" x14ac:dyDescent="0.15">
      <c r="A763" s="110"/>
      <c r="B763" s="110"/>
      <c r="C763" s="110"/>
      <c r="D763" s="110"/>
      <c r="E763" s="110"/>
      <c r="F763" s="110"/>
      <c r="G763" s="110"/>
      <c r="H763" s="110"/>
      <c r="I763" s="110"/>
      <c r="J763" s="110"/>
      <c r="K763" s="110"/>
      <c r="L763" s="110"/>
      <c r="M763" s="110"/>
      <c r="N763" s="110"/>
      <c r="O763" s="110"/>
    </row>
    <row r="764" spans="1:15" ht="12" customHeight="1" x14ac:dyDescent="0.15">
      <c r="A764" s="110"/>
      <c r="B764" s="110"/>
      <c r="C764" s="110"/>
      <c r="D764" s="110"/>
      <c r="E764" s="110"/>
      <c r="F764" s="110"/>
      <c r="G764" s="110"/>
      <c r="H764" s="110"/>
      <c r="I764" s="110"/>
      <c r="J764" s="110"/>
      <c r="K764" s="110"/>
      <c r="L764" s="110"/>
      <c r="M764" s="110"/>
      <c r="N764" s="110"/>
      <c r="O764" s="110"/>
    </row>
    <row r="765" spans="1:15" ht="12" customHeight="1" x14ac:dyDescent="0.15">
      <c r="A765" s="110"/>
      <c r="B765" s="110"/>
      <c r="C765" s="110"/>
      <c r="D765" s="110"/>
      <c r="E765" s="110"/>
      <c r="F765" s="110"/>
      <c r="G765" s="110"/>
      <c r="H765" s="110"/>
      <c r="I765" s="110"/>
      <c r="J765" s="110"/>
      <c r="K765" s="110"/>
      <c r="L765" s="110"/>
      <c r="M765" s="110"/>
      <c r="N765" s="110"/>
      <c r="O765" s="110"/>
    </row>
    <row r="766" spans="1:15" ht="12" customHeight="1" x14ac:dyDescent="0.15">
      <c r="A766" s="110"/>
      <c r="B766" s="110"/>
      <c r="C766" s="110"/>
      <c r="D766" s="110"/>
      <c r="E766" s="110"/>
      <c r="F766" s="110"/>
      <c r="G766" s="110"/>
      <c r="H766" s="110"/>
      <c r="I766" s="110"/>
      <c r="J766" s="110"/>
      <c r="K766" s="110"/>
      <c r="L766" s="110"/>
      <c r="M766" s="110"/>
      <c r="N766" s="110"/>
      <c r="O766" s="110"/>
    </row>
    <row r="767" spans="1:15" ht="12" customHeight="1" x14ac:dyDescent="0.15">
      <c r="A767" s="110"/>
      <c r="B767" s="110"/>
      <c r="C767" s="110"/>
      <c r="D767" s="110"/>
      <c r="E767" s="110"/>
      <c r="F767" s="110"/>
      <c r="G767" s="110"/>
      <c r="H767" s="110"/>
      <c r="I767" s="110"/>
      <c r="J767" s="110"/>
      <c r="K767" s="110"/>
      <c r="L767" s="110"/>
      <c r="M767" s="110"/>
      <c r="N767" s="110"/>
      <c r="O767" s="110"/>
    </row>
    <row r="768" spans="1:15" ht="12" customHeight="1" x14ac:dyDescent="0.15">
      <c r="A768" s="110"/>
      <c r="B768" s="110"/>
      <c r="C768" s="110"/>
      <c r="D768" s="110"/>
      <c r="E768" s="110"/>
      <c r="F768" s="110"/>
      <c r="G768" s="110"/>
      <c r="H768" s="110"/>
      <c r="I768" s="110"/>
      <c r="J768" s="110"/>
      <c r="K768" s="110"/>
      <c r="L768" s="110"/>
      <c r="M768" s="110"/>
      <c r="N768" s="110"/>
      <c r="O768" s="110"/>
    </row>
    <row r="769" spans="1:15" ht="12" customHeight="1" x14ac:dyDescent="0.15">
      <c r="A769" s="110"/>
      <c r="B769" s="110"/>
      <c r="C769" s="110"/>
      <c r="D769" s="110"/>
      <c r="E769" s="110"/>
      <c r="F769" s="110"/>
      <c r="G769" s="110"/>
      <c r="H769" s="110"/>
      <c r="I769" s="110"/>
      <c r="J769" s="110"/>
      <c r="K769" s="110"/>
      <c r="L769" s="110"/>
      <c r="M769" s="110"/>
      <c r="N769" s="110"/>
      <c r="O769" s="110"/>
    </row>
    <row r="770" spans="1:15" ht="12" customHeight="1" x14ac:dyDescent="0.15">
      <c r="A770" s="110"/>
      <c r="B770" s="110"/>
      <c r="C770" s="110"/>
      <c r="D770" s="110"/>
      <c r="E770" s="110"/>
      <c r="F770" s="110"/>
      <c r="G770" s="110"/>
      <c r="H770" s="110"/>
      <c r="I770" s="110"/>
      <c r="J770" s="110"/>
      <c r="K770" s="110"/>
      <c r="L770" s="110"/>
      <c r="M770" s="110"/>
      <c r="N770" s="110"/>
      <c r="O770" s="110"/>
    </row>
    <row r="771" spans="1:15" ht="12" customHeight="1" x14ac:dyDescent="0.15">
      <c r="A771" s="110"/>
      <c r="B771" s="110"/>
      <c r="C771" s="110"/>
      <c r="D771" s="110"/>
      <c r="E771" s="110"/>
      <c r="F771" s="110"/>
      <c r="G771" s="110"/>
      <c r="H771" s="110"/>
      <c r="I771" s="110"/>
      <c r="J771" s="110"/>
      <c r="K771" s="110"/>
      <c r="L771" s="110"/>
      <c r="M771" s="110"/>
      <c r="N771" s="110"/>
      <c r="O771" s="110"/>
    </row>
    <row r="772" spans="1:15" ht="12" customHeight="1" x14ac:dyDescent="0.15">
      <c r="A772" s="110"/>
      <c r="B772" s="110"/>
      <c r="C772" s="110"/>
      <c r="D772" s="110"/>
      <c r="E772" s="110"/>
      <c r="F772" s="110"/>
      <c r="G772" s="110"/>
      <c r="H772" s="110"/>
      <c r="I772" s="110"/>
      <c r="J772" s="110"/>
      <c r="K772" s="110"/>
      <c r="L772" s="110"/>
      <c r="M772" s="110"/>
      <c r="N772" s="110"/>
      <c r="O772" s="110"/>
    </row>
    <row r="773" spans="1:15" ht="12" customHeight="1" x14ac:dyDescent="0.15">
      <c r="A773" s="110"/>
      <c r="B773" s="110"/>
      <c r="C773" s="110"/>
      <c r="D773" s="110"/>
      <c r="E773" s="110"/>
      <c r="F773" s="110"/>
      <c r="G773" s="110"/>
      <c r="H773" s="110"/>
      <c r="I773" s="110"/>
      <c r="J773" s="110"/>
      <c r="K773" s="110"/>
      <c r="L773" s="110"/>
      <c r="M773" s="110"/>
      <c r="N773" s="110"/>
      <c r="O773" s="110"/>
    </row>
    <row r="774" spans="1:15" ht="12" customHeight="1" x14ac:dyDescent="0.15">
      <c r="A774" s="110"/>
      <c r="B774" s="110"/>
      <c r="C774" s="110"/>
      <c r="D774" s="110"/>
      <c r="E774" s="110"/>
      <c r="F774" s="110"/>
      <c r="G774" s="110"/>
      <c r="H774" s="110"/>
      <c r="I774" s="110"/>
      <c r="J774" s="110"/>
      <c r="K774" s="110"/>
      <c r="L774" s="110"/>
      <c r="M774" s="110"/>
      <c r="N774" s="110"/>
      <c r="O774" s="110"/>
    </row>
    <row r="775" spans="1:15" ht="12" customHeight="1" x14ac:dyDescent="0.15">
      <c r="A775" s="110"/>
      <c r="B775" s="110"/>
      <c r="C775" s="110"/>
      <c r="D775" s="110"/>
      <c r="E775" s="110"/>
      <c r="F775" s="110"/>
      <c r="G775" s="110"/>
      <c r="H775" s="110"/>
      <c r="I775" s="110"/>
      <c r="J775" s="110"/>
      <c r="K775" s="110"/>
      <c r="L775" s="110"/>
      <c r="M775" s="110"/>
      <c r="N775" s="110"/>
      <c r="O775" s="110"/>
    </row>
    <row r="776" spans="1:15" ht="12" customHeight="1" x14ac:dyDescent="0.15">
      <c r="A776" s="110"/>
      <c r="B776" s="110"/>
      <c r="C776" s="110"/>
      <c r="D776" s="110"/>
      <c r="E776" s="110"/>
      <c r="F776" s="110"/>
      <c r="G776" s="110"/>
      <c r="H776" s="110"/>
      <c r="I776" s="110"/>
      <c r="J776" s="110"/>
      <c r="K776" s="110"/>
      <c r="L776" s="110"/>
      <c r="M776" s="110"/>
      <c r="N776" s="110"/>
      <c r="O776" s="110"/>
    </row>
    <row r="777" spans="1:15" ht="12" customHeight="1" x14ac:dyDescent="0.15">
      <c r="A777" s="110"/>
      <c r="B777" s="110"/>
      <c r="C777" s="110"/>
      <c r="D777" s="110"/>
      <c r="E777" s="110"/>
      <c r="F777" s="110"/>
      <c r="G777" s="110"/>
      <c r="H777" s="110"/>
      <c r="I777" s="110"/>
      <c r="J777" s="110"/>
      <c r="K777" s="110"/>
      <c r="L777" s="110"/>
      <c r="M777" s="110"/>
      <c r="N777" s="110"/>
      <c r="O777" s="110"/>
    </row>
    <row r="778" spans="1:15" ht="12" customHeight="1" x14ac:dyDescent="0.15">
      <c r="A778" s="110"/>
      <c r="B778" s="110"/>
      <c r="C778" s="110"/>
      <c r="D778" s="110"/>
      <c r="E778" s="110"/>
      <c r="F778" s="110"/>
      <c r="G778" s="110"/>
      <c r="H778" s="110"/>
      <c r="I778" s="110"/>
      <c r="J778" s="110"/>
      <c r="K778" s="110"/>
      <c r="L778" s="110"/>
      <c r="M778" s="110"/>
      <c r="N778" s="110"/>
      <c r="O778" s="110"/>
    </row>
    <row r="779" spans="1:15" ht="12" customHeight="1" x14ac:dyDescent="0.15">
      <c r="A779" s="110"/>
      <c r="B779" s="110"/>
      <c r="C779" s="110"/>
      <c r="D779" s="110"/>
      <c r="E779" s="110"/>
      <c r="F779" s="110"/>
      <c r="G779" s="110"/>
      <c r="H779" s="110"/>
      <c r="I779" s="110"/>
      <c r="J779" s="110"/>
      <c r="K779" s="110"/>
      <c r="L779" s="110"/>
      <c r="M779" s="110"/>
      <c r="N779" s="110"/>
      <c r="O779" s="110"/>
    </row>
    <row r="780" spans="1:15" ht="12" customHeight="1" x14ac:dyDescent="0.15">
      <c r="A780" s="110"/>
      <c r="B780" s="110"/>
      <c r="C780" s="110"/>
      <c r="D780" s="110"/>
      <c r="E780" s="110"/>
      <c r="F780" s="110"/>
      <c r="G780" s="110"/>
      <c r="H780" s="110"/>
      <c r="I780" s="110"/>
      <c r="J780" s="110"/>
      <c r="K780" s="110"/>
      <c r="L780" s="110"/>
      <c r="M780" s="110"/>
      <c r="N780" s="110"/>
      <c r="O780" s="110"/>
    </row>
    <row r="781" spans="1:15" ht="12" customHeight="1" x14ac:dyDescent="0.15">
      <c r="A781" s="110"/>
      <c r="B781" s="110"/>
      <c r="C781" s="110"/>
      <c r="D781" s="110"/>
      <c r="E781" s="110"/>
      <c r="F781" s="110"/>
      <c r="G781" s="110"/>
      <c r="H781" s="110"/>
      <c r="I781" s="110"/>
      <c r="J781" s="110"/>
      <c r="K781" s="110"/>
      <c r="L781" s="110"/>
      <c r="M781" s="110"/>
      <c r="N781" s="110"/>
      <c r="O781" s="110"/>
    </row>
    <row r="782" spans="1:15" ht="12" customHeight="1" x14ac:dyDescent="0.15">
      <c r="A782" s="110"/>
      <c r="B782" s="110"/>
      <c r="C782" s="110"/>
      <c r="D782" s="110"/>
      <c r="E782" s="110"/>
      <c r="F782" s="110"/>
      <c r="G782" s="110"/>
      <c r="H782" s="110"/>
      <c r="I782" s="110"/>
      <c r="J782" s="110"/>
      <c r="K782" s="110"/>
      <c r="L782" s="110"/>
      <c r="M782" s="110"/>
      <c r="N782" s="110"/>
      <c r="O782" s="110"/>
    </row>
    <row r="783" spans="1:15" ht="12" customHeight="1" x14ac:dyDescent="0.15">
      <c r="A783" s="110"/>
      <c r="B783" s="110"/>
      <c r="C783" s="110"/>
      <c r="D783" s="110"/>
      <c r="E783" s="110"/>
      <c r="F783" s="110"/>
      <c r="G783" s="110"/>
      <c r="H783" s="110"/>
      <c r="I783" s="110"/>
      <c r="J783" s="110"/>
      <c r="K783" s="110"/>
      <c r="L783" s="110"/>
      <c r="M783" s="110"/>
      <c r="N783" s="110"/>
      <c r="O783" s="110"/>
    </row>
    <row r="784" spans="1:15" ht="12" customHeight="1" x14ac:dyDescent="0.15">
      <c r="A784" s="110"/>
      <c r="B784" s="110"/>
      <c r="C784" s="110"/>
      <c r="D784" s="110"/>
      <c r="E784" s="110"/>
      <c r="F784" s="110"/>
      <c r="G784" s="110"/>
      <c r="H784" s="110"/>
      <c r="I784" s="110"/>
      <c r="J784" s="110"/>
      <c r="K784" s="110"/>
      <c r="L784" s="110"/>
      <c r="M784" s="110"/>
      <c r="N784" s="110"/>
      <c r="O784" s="110"/>
    </row>
    <row r="785" spans="1:15" ht="12" customHeight="1" x14ac:dyDescent="0.15">
      <c r="A785" s="110"/>
      <c r="B785" s="110"/>
      <c r="C785" s="110"/>
      <c r="D785" s="110"/>
      <c r="E785" s="110"/>
      <c r="F785" s="110"/>
      <c r="G785" s="110"/>
      <c r="H785" s="110"/>
      <c r="I785" s="110"/>
      <c r="J785" s="110"/>
      <c r="K785" s="110"/>
      <c r="L785" s="110"/>
      <c r="M785" s="110"/>
      <c r="N785" s="110"/>
      <c r="O785" s="110"/>
    </row>
    <row r="786" spans="1:15" ht="12" customHeight="1" x14ac:dyDescent="0.15">
      <c r="A786" s="110"/>
      <c r="B786" s="110"/>
      <c r="C786" s="110"/>
      <c r="D786" s="110"/>
      <c r="E786" s="110"/>
      <c r="F786" s="110"/>
      <c r="G786" s="110"/>
      <c r="H786" s="110"/>
      <c r="I786" s="110"/>
      <c r="J786" s="110"/>
      <c r="K786" s="110"/>
      <c r="L786" s="110"/>
      <c r="M786" s="110"/>
      <c r="N786" s="110"/>
      <c r="O786" s="110"/>
    </row>
    <row r="787" spans="1:15" ht="12" customHeight="1" x14ac:dyDescent="0.15">
      <c r="A787" s="110"/>
      <c r="B787" s="110"/>
      <c r="C787" s="110"/>
      <c r="D787" s="110"/>
      <c r="E787" s="110"/>
      <c r="F787" s="110"/>
      <c r="G787" s="110"/>
      <c r="H787" s="110"/>
      <c r="I787" s="110"/>
      <c r="J787" s="110"/>
      <c r="K787" s="110"/>
      <c r="L787" s="110"/>
      <c r="M787" s="110"/>
      <c r="N787" s="110"/>
      <c r="O787" s="110"/>
    </row>
    <row r="788" spans="1:15" ht="12" customHeight="1" x14ac:dyDescent="0.15">
      <c r="A788" s="110"/>
      <c r="B788" s="110"/>
      <c r="C788" s="110"/>
      <c r="D788" s="110"/>
      <c r="E788" s="110"/>
      <c r="F788" s="110"/>
      <c r="G788" s="110"/>
      <c r="H788" s="110"/>
      <c r="I788" s="110"/>
      <c r="J788" s="110"/>
      <c r="K788" s="110"/>
      <c r="L788" s="110"/>
      <c r="M788" s="110"/>
      <c r="N788" s="110"/>
      <c r="O788" s="110"/>
    </row>
    <row r="789" spans="1:15" ht="12" customHeight="1" x14ac:dyDescent="0.15">
      <c r="A789" s="110"/>
      <c r="B789" s="110"/>
      <c r="C789" s="110"/>
      <c r="D789" s="110"/>
      <c r="E789" s="110"/>
      <c r="F789" s="110"/>
      <c r="G789" s="110"/>
      <c r="H789" s="110"/>
      <c r="I789" s="110"/>
      <c r="J789" s="110"/>
      <c r="K789" s="110"/>
      <c r="L789" s="110"/>
      <c r="M789" s="110"/>
      <c r="N789" s="110"/>
      <c r="O789" s="110"/>
    </row>
    <row r="790" spans="1:15" ht="12" customHeight="1" x14ac:dyDescent="0.15">
      <c r="A790" s="110"/>
      <c r="B790" s="110"/>
      <c r="C790" s="110"/>
      <c r="D790" s="110"/>
      <c r="E790" s="110"/>
      <c r="F790" s="110"/>
      <c r="G790" s="110"/>
      <c r="H790" s="110"/>
      <c r="I790" s="110"/>
      <c r="J790" s="110"/>
      <c r="K790" s="110"/>
      <c r="L790" s="110"/>
      <c r="M790" s="110"/>
      <c r="N790" s="110"/>
      <c r="O790" s="110"/>
    </row>
    <row r="791" spans="1:15" ht="12" customHeight="1" x14ac:dyDescent="0.15">
      <c r="A791" s="110"/>
      <c r="B791" s="110"/>
      <c r="C791" s="110"/>
      <c r="D791" s="110"/>
      <c r="E791" s="110"/>
      <c r="F791" s="110"/>
      <c r="G791" s="110"/>
      <c r="H791" s="110"/>
      <c r="I791" s="110"/>
      <c r="J791" s="110"/>
      <c r="K791" s="110"/>
      <c r="L791" s="110"/>
      <c r="M791" s="110"/>
      <c r="N791" s="110"/>
      <c r="O791" s="110"/>
    </row>
    <row r="792" spans="1:15" ht="12" customHeight="1" x14ac:dyDescent="0.15">
      <c r="A792" s="110"/>
      <c r="B792" s="110"/>
      <c r="C792" s="110"/>
      <c r="D792" s="110"/>
      <c r="E792" s="110"/>
      <c r="F792" s="110"/>
      <c r="G792" s="110"/>
      <c r="H792" s="110"/>
      <c r="I792" s="110"/>
      <c r="J792" s="110"/>
      <c r="K792" s="110"/>
      <c r="L792" s="110"/>
      <c r="M792" s="110"/>
      <c r="N792" s="110"/>
      <c r="O792" s="110"/>
    </row>
    <row r="793" spans="1:15" ht="12" customHeight="1" x14ac:dyDescent="0.15">
      <c r="A793" s="110"/>
      <c r="B793" s="110"/>
      <c r="C793" s="110"/>
      <c r="D793" s="110"/>
      <c r="E793" s="110"/>
      <c r="F793" s="110"/>
      <c r="G793" s="110"/>
      <c r="H793" s="110"/>
      <c r="I793" s="110"/>
      <c r="J793" s="110"/>
      <c r="K793" s="110"/>
      <c r="L793" s="110"/>
      <c r="M793" s="110"/>
      <c r="N793" s="110"/>
      <c r="O793" s="110"/>
    </row>
    <row r="794" spans="1:15" ht="12" customHeight="1" x14ac:dyDescent="0.15">
      <c r="A794" s="110"/>
      <c r="B794" s="110"/>
      <c r="C794" s="110"/>
      <c r="D794" s="110"/>
      <c r="E794" s="110"/>
      <c r="F794" s="110"/>
      <c r="G794" s="110"/>
      <c r="H794" s="110"/>
      <c r="I794" s="110"/>
      <c r="J794" s="110"/>
      <c r="K794" s="110"/>
      <c r="L794" s="110"/>
      <c r="M794" s="110"/>
      <c r="N794" s="110"/>
      <c r="O794" s="110"/>
    </row>
    <row r="795" spans="1:15" ht="12" customHeight="1" x14ac:dyDescent="0.15">
      <c r="A795" s="110"/>
      <c r="B795" s="110"/>
      <c r="C795" s="110"/>
      <c r="D795" s="110"/>
      <c r="E795" s="110"/>
      <c r="F795" s="110"/>
      <c r="G795" s="110"/>
      <c r="H795" s="110"/>
      <c r="I795" s="110"/>
      <c r="J795" s="110"/>
      <c r="K795" s="110"/>
      <c r="L795" s="110"/>
      <c r="M795" s="110"/>
      <c r="N795" s="110"/>
      <c r="O795" s="110"/>
    </row>
    <row r="796" spans="1:15" ht="12" customHeight="1" x14ac:dyDescent="0.15">
      <c r="A796" s="110"/>
      <c r="B796" s="110"/>
      <c r="C796" s="110"/>
      <c r="D796" s="110"/>
      <c r="E796" s="110"/>
      <c r="F796" s="110"/>
      <c r="G796" s="110"/>
      <c r="H796" s="110"/>
      <c r="I796" s="110"/>
      <c r="J796" s="110"/>
      <c r="K796" s="110"/>
      <c r="L796" s="110"/>
      <c r="M796" s="110"/>
      <c r="N796" s="110"/>
      <c r="O796" s="110"/>
    </row>
    <row r="797" spans="1:15" ht="12" customHeight="1" x14ac:dyDescent="0.15">
      <c r="A797" s="110"/>
      <c r="B797" s="110"/>
      <c r="C797" s="110"/>
      <c r="D797" s="110"/>
      <c r="E797" s="110"/>
      <c r="F797" s="110"/>
      <c r="G797" s="110"/>
      <c r="H797" s="110"/>
      <c r="I797" s="110"/>
      <c r="J797" s="110"/>
      <c r="K797" s="110"/>
      <c r="L797" s="110"/>
      <c r="M797" s="110"/>
      <c r="N797" s="110"/>
      <c r="O797" s="110"/>
    </row>
    <row r="798" spans="1:15" ht="12" customHeight="1" x14ac:dyDescent="0.15">
      <c r="A798" s="110"/>
      <c r="B798" s="110"/>
      <c r="C798" s="110"/>
      <c r="D798" s="110"/>
      <c r="E798" s="110"/>
      <c r="F798" s="110"/>
      <c r="G798" s="110"/>
      <c r="H798" s="110"/>
      <c r="I798" s="110"/>
      <c r="J798" s="110"/>
      <c r="K798" s="110"/>
      <c r="L798" s="110"/>
      <c r="M798" s="110"/>
      <c r="N798" s="110"/>
      <c r="O798" s="110"/>
    </row>
    <row r="799" spans="1:15" ht="12" customHeight="1" x14ac:dyDescent="0.15">
      <c r="A799" s="110"/>
      <c r="B799" s="110"/>
      <c r="C799" s="110"/>
      <c r="D799" s="110"/>
      <c r="E799" s="110"/>
      <c r="F799" s="110"/>
      <c r="G799" s="110"/>
      <c r="H799" s="110"/>
      <c r="I799" s="110"/>
      <c r="J799" s="110"/>
      <c r="K799" s="110"/>
      <c r="L799" s="110"/>
      <c r="M799" s="110"/>
      <c r="N799" s="110"/>
      <c r="O799" s="110"/>
    </row>
    <row r="800" spans="1:15" ht="12" customHeight="1" x14ac:dyDescent="0.15">
      <c r="A800" s="110"/>
      <c r="B800" s="110"/>
      <c r="C800" s="110"/>
      <c r="D800" s="110"/>
      <c r="E800" s="110"/>
      <c r="F800" s="110"/>
      <c r="G800" s="110"/>
      <c r="H800" s="110"/>
      <c r="I800" s="110"/>
      <c r="J800" s="110"/>
      <c r="K800" s="110"/>
      <c r="L800" s="110"/>
      <c r="M800" s="110"/>
      <c r="N800" s="110"/>
      <c r="O800" s="110"/>
    </row>
    <row r="801" spans="1:15" ht="12" customHeight="1" x14ac:dyDescent="0.15">
      <c r="A801" s="110"/>
      <c r="B801" s="110"/>
      <c r="C801" s="110"/>
      <c r="D801" s="110"/>
      <c r="E801" s="110"/>
      <c r="F801" s="110"/>
      <c r="G801" s="110"/>
      <c r="H801" s="110"/>
      <c r="I801" s="110"/>
      <c r="J801" s="110"/>
      <c r="K801" s="110"/>
      <c r="L801" s="110"/>
      <c r="M801" s="110"/>
      <c r="N801" s="110"/>
      <c r="O801" s="110"/>
    </row>
    <row r="802" spans="1:15" ht="12" customHeight="1" x14ac:dyDescent="0.15">
      <c r="A802" s="110"/>
      <c r="B802" s="110"/>
      <c r="C802" s="110"/>
      <c r="D802" s="110"/>
      <c r="E802" s="110"/>
      <c r="F802" s="110"/>
      <c r="G802" s="110"/>
      <c r="H802" s="110"/>
      <c r="I802" s="110"/>
      <c r="J802" s="110"/>
      <c r="K802" s="110"/>
      <c r="L802" s="110"/>
      <c r="M802" s="110"/>
      <c r="N802" s="110"/>
      <c r="O802" s="110"/>
    </row>
    <row r="803" spans="1:15" ht="12" customHeight="1" x14ac:dyDescent="0.15">
      <c r="A803" s="110"/>
      <c r="B803" s="110"/>
      <c r="C803" s="110"/>
      <c r="D803" s="110"/>
      <c r="E803" s="110"/>
      <c r="F803" s="110"/>
      <c r="G803" s="110"/>
      <c r="H803" s="110"/>
      <c r="I803" s="110"/>
      <c r="J803" s="110"/>
      <c r="K803" s="110"/>
      <c r="L803" s="110"/>
      <c r="M803" s="110"/>
      <c r="N803" s="110"/>
      <c r="O803" s="110"/>
    </row>
    <row r="804" spans="1:15" ht="12" customHeight="1" x14ac:dyDescent="0.15">
      <c r="A804" s="110"/>
      <c r="B804" s="110"/>
      <c r="C804" s="110"/>
      <c r="D804" s="110"/>
      <c r="E804" s="110"/>
      <c r="F804" s="110"/>
      <c r="G804" s="110"/>
      <c r="H804" s="110"/>
      <c r="I804" s="110"/>
      <c r="J804" s="110"/>
      <c r="K804" s="110"/>
      <c r="L804" s="110"/>
      <c r="M804" s="110"/>
      <c r="N804" s="110"/>
      <c r="O804" s="110"/>
    </row>
    <row r="805" spans="1:15" ht="12" customHeight="1" x14ac:dyDescent="0.15">
      <c r="A805" s="110"/>
      <c r="B805" s="110"/>
      <c r="C805" s="110"/>
      <c r="D805" s="110"/>
      <c r="E805" s="110"/>
      <c r="F805" s="110"/>
      <c r="G805" s="110"/>
      <c r="H805" s="110"/>
      <c r="I805" s="110"/>
      <c r="J805" s="110"/>
      <c r="K805" s="110"/>
      <c r="L805" s="110"/>
      <c r="M805" s="110"/>
      <c r="N805" s="110"/>
      <c r="O805" s="110"/>
    </row>
    <row r="806" spans="1:15" ht="12" customHeight="1" x14ac:dyDescent="0.15">
      <c r="A806" s="110"/>
      <c r="B806" s="110"/>
      <c r="C806" s="110"/>
      <c r="D806" s="110"/>
      <c r="E806" s="110"/>
      <c r="F806" s="110"/>
      <c r="G806" s="110"/>
      <c r="H806" s="110"/>
      <c r="I806" s="110"/>
      <c r="J806" s="110"/>
      <c r="K806" s="110"/>
      <c r="L806" s="110"/>
      <c r="M806" s="110"/>
      <c r="N806" s="110"/>
      <c r="O806" s="110"/>
    </row>
    <row r="807" spans="1:15" ht="12" customHeight="1" x14ac:dyDescent="0.15">
      <c r="A807" s="110"/>
      <c r="B807" s="110"/>
      <c r="C807" s="110"/>
      <c r="D807" s="110"/>
      <c r="E807" s="110"/>
      <c r="F807" s="110"/>
      <c r="G807" s="110"/>
      <c r="H807" s="110"/>
      <c r="I807" s="110"/>
      <c r="J807" s="110"/>
      <c r="K807" s="110"/>
      <c r="L807" s="110"/>
      <c r="M807" s="110"/>
      <c r="N807" s="110"/>
      <c r="O807" s="110"/>
    </row>
    <row r="808" spans="1:15" ht="12" customHeight="1" x14ac:dyDescent="0.15">
      <c r="A808" s="110"/>
      <c r="B808" s="110"/>
      <c r="C808" s="110"/>
      <c r="D808" s="110"/>
      <c r="E808" s="110"/>
      <c r="F808" s="110"/>
      <c r="G808" s="110"/>
      <c r="H808" s="110"/>
      <c r="I808" s="110"/>
      <c r="J808" s="110"/>
      <c r="K808" s="110"/>
      <c r="L808" s="110"/>
      <c r="M808" s="110"/>
      <c r="N808" s="110"/>
      <c r="O808" s="110"/>
    </row>
    <row r="809" spans="1:15" ht="12" customHeight="1" x14ac:dyDescent="0.15">
      <c r="A809" s="110"/>
      <c r="B809" s="110"/>
      <c r="C809" s="110"/>
      <c r="D809" s="110"/>
      <c r="E809" s="110"/>
      <c r="F809" s="110"/>
      <c r="G809" s="110"/>
      <c r="H809" s="110"/>
      <c r="I809" s="110"/>
      <c r="J809" s="110"/>
      <c r="K809" s="110"/>
      <c r="L809" s="110"/>
      <c r="M809" s="110"/>
      <c r="N809" s="110"/>
      <c r="O809" s="110"/>
    </row>
    <row r="810" spans="1:15" ht="12" customHeight="1" x14ac:dyDescent="0.15">
      <c r="A810" s="110"/>
      <c r="B810" s="110"/>
      <c r="C810" s="110"/>
      <c r="D810" s="110"/>
      <c r="E810" s="110"/>
      <c r="F810" s="110"/>
      <c r="G810" s="110"/>
      <c r="H810" s="110"/>
      <c r="I810" s="110"/>
      <c r="J810" s="110"/>
      <c r="K810" s="110"/>
      <c r="L810" s="110"/>
      <c r="M810" s="110"/>
      <c r="N810" s="110"/>
      <c r="O810" s="110"/>
    </row>
    <row r="811" spans="1:15" ht="12" customHeight="1" x14ac:dyDescent="0.15">
      <c r="A811" s="110"/>
      <c r="B811" s="110"/>
      <c r="C811" s="110"/>
      <c r="D811" s="110"/>
      <c r="E811" s="110"/>
      <c r="F811" s="110"/>
      <c r="G811" s="110"/>
      <c r="H811" s="110"/>
      <c r="I811" s="110"/>
      <c r="J811" s="110"/>
      <c r="K811" s="110"/>
      <c r="L811" s="110"/>
      <c r="M811" s="110"/>
      <c r="N811" s="110"/>
      <c r="O811" s="110"/>
    </row>
    <row r="812" spans="1:15" ht="12" customHeight="1" x14ac:dyDescent="0.15">
      <c r="A812" s="110"/>
      <c r="B812" s="110"/>
      <c r="C812" s="110"/>
      <c r="D812" s="110"/>
      <c r="E812" s="110"/>
      <c r="F812" s="110"/>
      <c r="G812" s="110"/>
      <c r="H812" s="110"/>
      <c r="I812" s="110"/>
      <c r="J812" s="110"/>
      <c r="K812" s="110"/>
      <c r="L812" s="110"/>
      <c r="M812" s="110"/>
      <c r="N812" s="110"/>
      <c r="O812" s="110"/>
    </row>
    <row r="813" spans="1:15" ht="12" customHeight="1" x14ac:dyDescent="0.15">
      <c r="A813" s="110"/>
      <c r="B813" s="110"/>
      <c r="C813" s="110"/>
      <c r="D813" s="110"/>
      <c r="E813" s="110"/>
      <c r="F813" s="110"/>
      <c r="G813" s="110"/>
      <c r="H813" s="110"/>
      <c r="I813" s="110"/>
      <c r="J813" s="110"/>
      <c r="K813" s="110"/>
      <c r="L813" s="110"/>
      <c r="M813" s="110"/>
      <c r="N813" s="110"/>
      <c r="O813" s="110"/>
    </row>
    <row r="814" spans="1:15" ht="12" customHeight="1" x14ac:dyDescent="0.15">
      <c r="A814" s="110"/>
      <c r="B814" s="110"/>
      <c r="C814" s="110"/>
      <c r="D814" s="110"/>
      <c r="E814" s="110"/>
      <c r="F814" s="110"/>
      <c r="G814" s="110"/>
      <c r="H814" s="110"/>
      <c r="I814" s="110"/>
      <c r="J814" s="110"/>
      <c r="K814" s="110"/>
      <c r="L814" s="110"/>
      <c r="M814" s="110"/>
      <c r="N814" s="110"/>
      <c r="O814" s="110"/>
    </row>
    <row r="815" spans="1:15" ht="12" customHeight="1" x14ac:dyDescent="0.15">
      <c r="A815" s="110"/>
      <c r="B815" s="110"/>
      <c r="C815" s="110"/>
      <c r="D815" s="110"/>
      <c r="E815" s="110"/>
      <c r="F815" s="110"/>
      <c r="G815" s="110"/>
      <c r="H815" s="110"/>
      <c r="I815" s="110"/>
      <c r="J815" s="110"/>
      <c r="K815" s="110"/>
      <c r="L815" s="110"/>
      <c r="M815" s="110"/>
      <c r="N815" s="110"/>
      <c r="O815" s="110"/>
    </row>
    <row r="816" spans="1:15" ht="12" customHeight="1" x14ac:dyDescent="0.15">
      <c r="A816" s="110"/>
      <c r="B816" s="110"/>
      <c r="C816" s="110"/>
      <c r="D816" s="110"/>
      <c r="E816" s="110"/>
      <c r="F816" s="110"/>
      <c r="G816" s="110"/>
      <c r="H816" s="110"/>
      <c r="I816" s="110"/>
      <c r="J816" s="110"/>
      <c r="K816" s="110"/>
      <c r="L816" s="110"/>
      <c r="M816" s="110"/>
      <c r="N816" s="110"/>
      <c r="O816" s="110"/>
    </row>
    <row r="817" spans="1:15" ht="12" customHeight="1" x14ac:dyDescent="0.15">
      <c r="A817" s="110"/>
      <c r="B817" s="110"/>
      <c r="C817" s="110"/>
      <c r="D817" s="110"/>
      <c r="E817" s="110"/>
      <c r="F817" s="110"/>
      <c r="G817" s="110"/>
      <c r="H817" s="110"/>
      <c r="I817" s="110"/>
      <c r="J817" s="110"/>
      <c r="K817" s="110"/>
      <c r="L817" s="110"/>
      <c r="M817" s="110"/>
      <c r="N817" s="110"/>
      <c r="O817" s="110"/>
    </row>
    <row r="818" spans="1:15" ht="12" customHeight="1" x14ac:dyDescent="0.15">
      <c r="A818" s="110"/>
      <c r="B818" s="110"/>
      <c r="C818" s="110"/>
      <c r="D818" s="110"/>
      <c r="E818" s="110"/>
      <c r="F818" s="110"/>
      <c r="G818" s="110"/>
      <c r="H818" s="110"/>
      <c r="I818" s="110"/>
      <c r="J818" s="110"/>
      <c r="K818" s="110"/>
      <c r="L818" s="110"/>
      <c r="M818" s="110"/>
      <c r="N818" s="110"/>
      <c r="O818" s="110"/>
    </row>
    <row r="819" spans="1:15" ht="12" customHeight="1" x14ac:dyDescent="0.15">
      <c r="A819" s="110"/>
      <c r="B819" s="110"/>
      <c r="C819" s="110"/>
      <c r="D819" s="110"/>
      <c r="E819" s="110"/>
      <c r="F819" s="110"/>
      <c r="G819" s="110"/>
      <c r="H819" s="110"/>
      <c r="I819" s="110"/>
      <c r="J819" s="110"/>
      <c r="K819" s="110"/>
      <c r="L819" s="110"/>
      <c r="M819" s="110"/>
      <c r="N819" s="110"/>
      <c r="O819" s="110"/>
    </row>
    <row r="820" spans="1:15" ht="12" customHeight="1" x14ac:dyDescent="0.15">
      <c r="A820" s="110"/>
      <c r="B820" s="110"/>
      <c r="C820" s="110"/>
      <c r="D820" s="110"/>
      <c r="E820" s="110"/>
      <c r="F820" s="110"/>
      <c r="G820" s="110"/>
      <c r="H820" s="110"/>
      <c r="I820" s="110"/>
      <c r="J820" s="110"/>
      <c r="K820" s="110"/>
      <c r="L820" s="110"/>
      <c r="M820" s="110"/>
      <c r="N820" s="110"/>
      <c r="O820" s="110"/>
    </row>
    <row r="821" spans="1:15" ht="12" customHeight="1" x14ac:dyDescent="0.15">
      <c r="A821" s="110"/>
      <c r="B821" s="110"/>
      <c r="C821" s="110"/>
      <c r="D821" s="110"/>
      <c r="E821" s="110"/>
      <c r="F821" s="110"/>
      <c r="G821" s="110"/>
      <c r="H821" s="110"/>
      <c r="I821" s="110"/>
      <c r="J821" s="110"/>
      <c r="K821" s="110"/>
      <c r="L821" s="110"/>
      <c r="M821" s="110"/>
      <c r="N821" s="110"/>
      <c r="O821" s="110"/>
    </row>
    <row r="822" spans="1:15" ht="12" customHeight="1" x14ac:dyDescent="0.15">
      <c r="A822" s="110"/>
      <c r="B822" s="110"/>
      <c r="C822" s="110"/>
      <c r="D822" s="110"/>
      <c r="E822" s="110"/>
      <c r="F822" s="110"/>
      <c r="G822" s="110"/>
      <c r="H822" s="110"/>
      <c r="I822" s="110"/>
      <c r="J822" s="110"/>
      <c r="K822" s="110"/>
      <c r="L822" s="110"/>
      <c r="M822" s="110"/>
      <c r="N822" s="110"/>
      <c r="O822" s="110"/>
    </row>
    <row r="823" spans="1:15" ht="12" customHeight="1" x14ac:dyDescent="0.15">
      <c r="A823" s="110"/>
      <c r="B823" s="110"/>
      <c r="C823" s="110"/>
      <c r="D823" s="110"/>
      <c r="E823" s="110"/>
      <c r="F823" s="110"/>
      <c r="G823" s="110"/>
      <c r="H823" s="110"/>
      <c r="I823" s="110"/>
      <c r="J823" s="110"/>
      <c r="K823" s="110"/>
      <c r="L823" s="110"/>
      <c r="M823" s="110"/>
      <c r="N823" s="110"/>
      <c r="O823" s="110"/>
    </row>
    <row r="824" spans="1:15" ht="12" customHeight="1" x14ac:dyDescent="0.15">
      <c r="A824" s="110"/>
      <c r="B824" s="110"/>
      <c r="C824" s="110"/>
      <c r="D824" s="110"/>
      <c r="E824" s="110"/>
      <c r="F824" s="110"/>
      <c r="G824" s="110"/>
      <c r="H824" s="110"/>
      <c r="I824" s="110"/>
      <c r="J824" s="110"/>
      <c r="K824" s="110"/>
      <c r="L824" s="110"/>
      <c r="M824" s="110"/>
      <c r="N824" s="110"/>
      <c r="O824" s="110"/>
    </row>
    <row r="825" spans="1:15" ht="12" customHeight="1" x14ac:dyDescent="0.15">
      <c r="A825" s="110"/>
      <c r="B825" s="110"/>
      <c r="C825" s="110"/>
      <c r="D825" s="110"/>
      <c r="E825" s="110"/>
      <c r="F825" s="110"/>
      <c r="G825" s="110"/>
      <c r="H825" s="110"/>
      <c r="I825" s="110"/>
      <c r="J825" s="110"/>
      <c r="K825" s="110"/>
      <c r="L825" s="110"/>
      <c r="M825" s="110"/>
      <c r="N825" s="110"/>
      <c r="O825" s="110"/>
    </row>
    <row r="826" spans="1:15" ht="12" customHeight="1" x14ac:dyDescent="0.15">
      <c r="A826" s="110"/>
      <c r="B826" s="110"/>
      <c r="C826" s="110"/>
      <c r="D826" s="110"/>
      <c r="E826" s="110"/>
      <c r="F826" s="110"/>
      <c r="G826" s="110"/>
      <c r="H826" s="110"/>
      <c r="I826" s="110"/>
      <c r="J826" s="110"/>
      <c r="K826" s="110"/>
      <c r="L826" s="110"/>
      <c r="M826" s="110"/>
      <c r="N826" s="110"/>
      <c r="O826" s="110"/>
    </row>
    <row r="827" spans="1:15" ht="12" customHeight="1" x14ac:dyDescent="0.15">
      <c r="A827" s="110"/>
      <c r="B827" s="110"/>
      <c r="C827" s="110"/>
      <c r="D827" s="110"/>
      <c r="E827" s="110"/>
      <c r="F827" s="110"/>
      <c r="G827" s="110"/>
      <c r="H827" s="110"/>
      <c r="I827" s="110"/>
      <c r="J827" s="110"/>
      <c r="K827" s="110"/>
      <c r="L827" s="110"/>
      <c r="M827" s="110"/>
      <c r="N827" s="110"/>
      <c r="O827" s="110"/>
    </row>
    <row r="828" spans="1:15" ht="12" customHeight="1" x14ac:dyDescent="0.15">
      <c r="A828" s="110"/>
      <c r="B828" s="110"/>
      <c r="C828" s="110"/>
      <c r="D828" s="110"/>
      <c r="E828" s="110"/>
      <c r="F828" s="110"/>
      <c r="G828" s="110"/>
      <c r="H828" s="110"/>
      <c r="I828" s="110"/>
      <c r="J828" s="110"/>
      <c r="K828" s="110"/>
      <c r="L828" s="110"/>
      <c r="M828" s="110"/>
      <c r="N828" s="110"/>
      <c r="O828" s="110"/>
    </row>
    <row r="829" spans="1:15" ht="12" customHeight="1" x14ac:dyDescent="0.15">
      <c r="A829" s="110"/>
      <c r="B829" s="110"/>
      <c r="C829" s="110"/>
      <c r="D829" s="110"/>
      <c r="E829" s="110"/>
      <c r="F829" s="110"/>
      <c r="G829" s="110"/>
      <c r="H829" s="110"/>
      <c r="I829" s="110"/>
      <c r="J829" s="110"/>
      <c r="K829" s="110"/>
      <c r="L829" s="110"/>
      <c r="M829" s="110"/>
      <c r="N829" s="110"/>
      <c r="O829" s="110"/>
    </row>
    <row r="830" spans="1:15" ht="12" customHeight="1" x14ac:dyDescent="0.15">
      <c r="A830" s="110"/>
      <c r="B830" s="110"/>
      <c r="C830" s="110"/>
      <c r="D830" s="110"/>
      <c r="E830" s="110"/>
      <c r="F830" s="110"/>
      <c r="G830" s="110"/>
      <c r="H830" s="110"/>
      <c r="I830" s="110"/>
      <c r="J830" s="110"/>
      <c r="K830" s="110"/>
      <c r="L830" s="110"/>
      <c r="M830" s="110"/>
      <c r="N830" s="110"/>
      <c r="O830" s="110"/>
    </row>
    <row r="831" spans="1:15" ht="12" customHeight="1" x14ac:dyDescent="0.15">
      <c r="A831" s="110"/>
      <c r="B831" s="110"/>
      <c r="C831" s="110"/>
      <c r="D831" s="110"/>
      <c r="E831" s="110"/>
      <c r="F831" s="110"/>
      <c r="G831" s="110"/>
      <c r="H831" s="110"/>
      <c r="I831" s="110"/>
      <c r="J831" s="110"/>
      <c r="K831" s="110"/>
      <c r="L831" s="110"/>
      <c r="M831" s="110"/>
      <c r="N831" s="110"/>
      <c r="O831" s="110"/>
    </row>
    <row r="832" spans="1:15" ht="12" customHeight="1" x14ac:dyDescent="0.15">
      <c r="A832" s="110"/>
      <c r="B832" s="110"/>
      <c r="C832" s="110"/>
      <c r="D832" s="110"/>
      <c r="E832" s="110"/>
      <c r="F832" s="110"/>
      <c r="G832" s="110"/>
      <c r="H832" s="110"/>
      <c r="I832" s="110"/>
      <c r="J832" s="110"/>
      <c r="K832" s="110"/>
      <c r="L832" s="110"/>
      <c r="M832" s="110"/>
      <c r="N832" s="110"/>
      <c r="O832" s="110"/>
    </row>
    <row r="833" spans="1:15" ht="12" customHeight="1" x14ac:dyDescent="0.15">
      <c r="A833" s="110"/>
      <c r="B833" s="110"/>
      <c r="C833" s="110"/>
      <c r="D833" s="110"/>
      <c r="E833" s="110"/>
      <c r="F833" s="110"/>
      <c r="G833" s="110"/>
      <c r="H833" s="110"/>
      <c r="I833" s="110"/>
      <c r="J833" s="110"/>
      <c r="K833" s="110"/>
      <c r="L833" s="110"/>
      <c r="M833" s="110"/>
      <c r="N833" s="110"/>
      <c r="O833" s="110"/>
    </row>
  </sheetData>
  <sheetProtection algorithmName="SHA-512" hashValue="o/Mes6HHeuCpqRXPPLxSsNq4EfVz39IBw8vI+sXlSXrKMut+9DkiubAS5nk3/LdKeW7RPeK1tpTbkXRshHzbKQ==" saltValue="duxapwOzlzoCXZr8QNiZQw==" spinCount="100000" sheet="1" objects="1" scenarios="1"/>
  <mergeCells count="17">
    <mergeCell ref="D11:L11"/>
    <mergeCell ref="D14:K14"/>
    <mergeCell ref="D15:K15"/>
    <mergeCell ref="H17:I17"/>
    <mergeCell ref="D18:D19"/>
    <mergeCell ref="E18:E19"/>
    <mergeCell ref="G18:G19"/>
    <mergeCell ref="H18:I18"/>
    <mergeCell ref="G44:M44"/>
    <mergeCell ref="G45:M45"/>
    <mergeCell ref="G40:M40"/>
    <mergeCell ref="D23:G23"/>
    <mergeCell ref="H23:I23"/>
    <mergeCell ref="D24:D25"/>
    <mergeCell ref="E24:E25"/>
    <mergeCell ref="G24:I24"/>
    <mergeCell ref="G39:M39"/>
  </mergeCells>
  <hyperlinks>
    <hyperlink ref="H6" r:id="rId1" xr:uid="{131DE3D0-7438-DC49-ADD5-30ABC3275FAE}"/>
  </hyperlinks>
  <pageMargins left="0.7" right="0.7" top="0.75" bottom="0.75" header="0.3" footer="0.3"/>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0274080-8427-3D40-9F50-F1373658BDE6}">
          <x14:formula1>
            <xm:f>Lists!$B$2:$B$3</xm:f>
          </x14:formula1>
          <xm:sqref>D26:D35</xm:sqref>
        </x14:dataValidation>
        <x14:dataValidation type="list" allowBlank="1" showErrorMessage="1" xr:uid="{46FB2B3E-97DB-D14F-98EF-E91B04686900}">
          <x14:formula1>
            <xm:f>Lists!$F$2:$F$5</xm:f>
          </x14:formula1>
          <xm:sqref>E26:E35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8DD18-63CB-4CA7-8FD7-568CE70C8CE3}">
  <sheetPr codeName="Sheet6">
    <tabColor theme="0" tint="-0.249977111117893"/>
  </sheetPr>
  <dimension ref="A1:AI137"/>
  <sheetViews>
    <sheetView showGridLines="0" zoomScale="110" zoomScaleNormal="110" workbookViewId="0">
      <pane xSplit="3" ySplit="2" topLeftCell="D28" activePane="bottomRight" state="frozen"/>
      <selection activeCell="H9" sqref="H9"/>
      <selection pane="topRight" activeCell="H9" sqref="H9"/>
      <selection pane="bottomLeft" activeCell="H9" sqref="H9"/>
      <selection pane="bottomRight" activeCell="B72" sqref="B72"/>
    </sheetView>
  </sheetViews>
  <sheetFormatPr baseColWidth="10" defaultColWidth="9.1640625" defaultRowHeight="13" x14ac:dyDescent="0.15"/>
  <cols>
    <col min="1" max="1" width="18.5" customWidth="1"/>
    <col min="2" max="2" width="69.5" customWidth="1"/>
    <col min="3" max="4" width="20.5" customWidth="1"/>
    <col min="5" max="6" width="13.5" style="2" hidden="1" customWidth="1"/>
    <col min="7" max="19" width="13.5" style="2" customWidth="1"/>
    <col min="20" max="20" width="15.83203125" style="2" bestFit="1" customWidth="1"/>
    <col min="21" max="34" width="15.83203125" style="2" customWidth="1"/>
    <col min="35" max="35" width="12.83203125" style="2" customWidth="1"/>
  </cols>
  <sheetData>
    <row r="1" spans="1:35" s="1" customFormat="1" x14ac:dyDescent="0.15">
      <c r="A1" s="1" t="s">
        <v>14</v>
      </c>
      <c r="B1" s="1" t="s">
        <v>16</v>
      </c>
      <c r="C1" s="1" t="s">
        <v>4</v>
      </c>
      <c r="G1" s="1">
        <v>2022</v>
      </c>
      <c r="H1" s="1">
        <v>2023</v>
      </c>
      <c r="I1" s="1">
        <v>2024</v>
      </c>
      <c r="J1" s="1">
        <v>2025</v>
      </c>
      <c r="K1" s="1">
        <v>2026</v>
      </c>
      <c r="L1" s="1">
        <v>2027</v>
      </c>
      <c r="M1" s="1">
        <v>2028</v>
      </c>
      <c r="N1" s="1">
        <v>2029</v>
      </c>
      <c r="O1" s="1">
        <v>2030</v>
      </c>
      <c r="P1" s="1">
        <v>2031</v>
      </c>
      <c r="Q1" s="1">
        <v>2032</v>
      </c>
      <c r="R1" s="1">
        <v>2033</v>
      </c>
      <c r="S1" s="1">
        <v>2034</v>
      </c>
      <c r="T1" s="1">
        <v>2035</v>
      </c>
      <c r="U1" s="1">
        <v>2036</v>
      </c>
      <c r="V1" s="1">
        <v>2037</v>
      </c>
      <c r="W1" s="1">
        <v>2038</v>
      </c>
      <c r="X1" s="1">
        <v>2039</v>
      </c>
      <c r="Y1" s="1">
        <v>2040</v>
      </c>
      <c r="Z1" s="1">
        <v>2041</v>
      </c>
      <c r="AA1" s="1">
        <v>2042</v>
      </c>
      <c r="AB1" s="1">
        <v>2043</v>
      </c>
      <c r="AC1" s="1">
        <v>2044</v>
      </c>
      <c r="AD1" s="1">
        <v>2045</v>
      </c>
      <c r="AE1" s="1">
        <v>2046</v>
      </c>
      <c r="AF1" s="1">
        <v>2047</v>
      </c>
      <c r="AG1" s="1">
        <v>2048</v>
      </c>
      <c r="AH1" s="1">
        <v>2049</v>
      </c>
      <c r="AI1" s="1">
        <v>2050</v>
      </c>
    </row>
    <row r="2" spans="1:35" x14ac:dyDescent="0.15">
      <c r="A2" s="1"/>
      <c r="E2"/>
      <c r="F2"/>
      <c r="G2"/>
      <c r="H2"/>
      <c r="I2"/>
      <c r="J2"/>
      <c r="K2"/>
      <c r="L2"/>
      <c r="M2"/>
      <c r="N2"/>
      <c r="O2"/>
      <c r="P2"/>
      <c r="Q2"/>
      <c r="R2"/>
      <c r="S2"/>
      <c r="T2"/>
      <c r="U2"/>
      <c r="V2"/>
      <c r="W2"/>
      <c r="X2"/>
      <c r="Y2"/>
      <c r="Z2"/>
      <c r="AA2"/>
      <c r="AB2"/>
      <c r="AC2"/>
      <c r="AD2"/>
      <c r="AE2"/>
      <c r="AF2"/>
      <c r="AG2"/>
      <c r="AH2"/>
      <c r="AI2"/>
    </row>
    <row r="3" spans="1:35" s="172" customFormat="1" ht="23" hidden="1" x14ac:dyDescent="0.25">
      <c r="A3" s="171" t="s">
        <v>336</v>
      </c>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row>
    <row r="4" spans="1:35" s="2" customFormat="1" hidden="1" x14ac:dyDescent="0.15">
      <c r="A4" s="1" t="s">
        <v>307</v>
      </c>
      <c r="B4"/>
      <c r="C4"/>
      <c r="D4"/>
    </row>
    <row r="5" spans="1:35" s="2" customFormat="1" hidden="1" x14ac:dyDescent="0.15">
      <c r="A5"/>
      <c r="B5" t="s">
        <v>30</v>
      </c>
      <c r="C5"/>
      <c r="D5" s="1"/>
      <c r="E5" s="1" t="e">
        <f>IF(AND(E$1&gt;=Automakers!$D$23,E$1&lt;=2040),IF(E$1=Automakers!$D$23,Automakers!$D$23,E$1),NA())</f>
        <v>#N/A</v>
      </c>
      <c r="F5" s="1" t="e">
        <f>IF(AND(F$1&gt;=Automakers!$D$23,F$1&lt;=2040),IF(F$1=Automakers!$D$23,Automakers!$D$23,F$1),NA())</f>
        <v>#N/A</v>
      </c>
      <c r="G5" s="1">
        <f>IF(AND(G$1&gt;=Automakers!$D$23,G$1&lt;=2040),IF(G$1=Automakers!$D$23,Automakers!$D$23,G$1),NA())</f>
        <v>2022</v>
      </c>
      <c r="H5" s="1">
        <f>IF(AND(H$1&gt;=Automakers!$D$23,H$1&lt;=2040),IF(H$1=Automakers!$D$23,Automakers!$D$23,H$1),NA())</f>
        <v>2023</v>
      </c>
      <c r="I5" s="1">
        <f>IF(AND(I$1&gt;=Automakers!$D$23,I$1&lt;=2040),IF(I$1=Automakers!$D$23,Automakers!$D$23,I$1),NA())</f>
        <v>2024</v>
      </c>
      <c r="J5" s="1">
        <f>IF(AND(J$1&gt;=Automakers!$D$23,J$1&lt;=2040),IF(J$1=Automakers!$D$23,Automakers!$D$23,J$1),NA())</f>
        <v>2025</v>
      </c>
      <c r="K5" s="1">
        <f>IF(AND(K$1&gt;=Automakers!$D$23,K$1&lt;=2040),IF(K$1=Automakers!$D$23,Automakers!$D$23,K$1),NA())</f>
        <v>2026</v>
      </c>
      <c r="L5" s="1">
        <f>IF(AND(L$1&gt;=Automakers!$D$23,L$1&lt;=2040),IF(L$1=Automakers!$D$23,Automakers!$D$23,L$1),NA())</f>
        <v>2027</v>
      </c>
      <c r="M5" s="1">
        <f>IF(AND(M$1&gt;=Automakers!$D$23,M$1&lt;=2040),IF(M$1=Automakers!$D$23,Automakers!$D$23,M$1),NA())</f>
        <v>2028</v>
      </c>
      <c r="N5" s="1">
        <f>IF(AND(N$1&gt;=Automakers!$D$23,N$1&lt;=2040),IF(N$1=Automakers!$D$23,Automakers!$D$23,N$1),NA())</f>
        <v>2029</v>
      </c>
      <c r="O5" s="1">
        <f>IF(AND(O$1&gt;=Automakers!$D$23,O$1&lt;=2040),IF(O$1=Automakers!$D$23,Automakers!$D$23,O$1),NA())</f>
        <v>2030</v>
      </c>
      <c r="P5" s="1">
        <f>IF(AND(P$1&gt;=Automakers!$D$23,P$1&lt;=2040),IF(P$1=Automakers!$D$23,Automakers!$D$23,P$1),NA())</f>
        <v>2031</v>
      </c>
      <c r="Q5" s="1">
        <f>IF(AND(Q$1&gt;=Automakers!$D$23,Q$1&lt;=2040),IF(Q$1=Automakers!$D$23,Automakers!$D$23,Q$1),NA())</f>
        <v>2032</v>
      </c>
      <c r="R5" s="1">
        <f>IF(AND(R$1&gt;=Automakers!$D$23,R$1&lt;=2040),IF(R$1=Automakers!$D$23,Automakers!$D$23,R$1),NA())</f>
        <v>2033</v>
      </c>
      <c r="S5" s="1">
        <f>IF(AND(S$1&gt;=Automakers!$D$23,S$1&lt;=2040),IF(S$1=Automakers!$D$23,Automakers!$D$23,S$1),NA())</f>
        <v>2034</v>
      </c>
      <c r="T5" s="1">
        <f>IF(AND(T$1&gt;=Automakers!$D$23,T$1&lt;=2040),IF(T$1=Automakers!$D$23,Automakers!$D$23,T$1),NA())</f>
        <v>2035</v>
      </c>
      <c r="U5" s="1">
        <f>IF(AND(U$1&gt;=Automakers!$D$23,U$1&lt;=2040),IF(U$1=Automakers!$D$23,Automakers!$D$23,U$1),NA())</f>
        <v>2036</v>
      </c>
      <c r="V5" s="1">
        <f>IF(AND(V$1&gt;=Automakers!$D$23,V$1&lt;=2040),IF(V$1=Automakers!$D$23,Automakers!$D$23,V$1),NA())</f>
        <v>2037</v>
      </c>
      <c r="W5" s="1">
        <f>IF(AND(W$1&gt;=Automakers!$D$23,W$1&lt;=2040),IF(W$1=Automakers!$D$23,Automakers!$D$23,W$1),NA())</f>
        <v>2038</v>
      </c>
      <c r="X5" s="1">
        <f>IF(AND(X$1&gt;=Automakers!$D$23,X$1&lt;=2040),IF(X$1=Automakers!$D$23,Automakers!$D$23,X$1),NA())</f>
        <v>2039</v>
      </c>
      <c r="Y5" s="1">
        <f>IF(AND(Y$1&gt;=Automakers!$D$23,Y$1&lt;=2040),IF(Y$1=Automakers!$D$23,Automakers!$D$23,Y$1),NA())</f>
        <v>2040</v>
      </c>
      <c r="Z5" s="1" t="e">
        <f>IF(AND(Z$1&gt;=Automakers!$D$23,Z$1&lt;=2040),IF(Z$1=Automakers!$D$23,Automakers!$D$23,Z$1),NA())</f>
        <v>#N/A</v>
      </c>
      <c r="AA5" s="1" t="e">
        <f>IF(AND(AA$1&gt;=Automakers!$D$23,AA$1&lt;=2040),IF(AA$1=Automakers!$D$23,Automakers!$D$23,AA$1),NA())</f>
        <v>#N/A</v>
      </c>
      <c r="AB5" s="1" t="e">
        <f>IF(AND(AB$1&gt;=Automakers!$D$23,AB$1&lt;=2040),IF(AB$1=Automakers!$D$23,Automakers!$D$23,AB$1),NA())</f>
        <v>#N/A</v>
      </c>
      <c r="AC5" s="1" t="e">
        <f>IF(AND(AC$1&gt;=Automakers!$D$23,AC$1&lt;=2040),IF(AC$1=Automakers!$D$23,Automakers!$D$23,AC$1),NA())</f>
        <v>#N/A</v>
      </c>
      <c r="AD5" s="1" t="e">
        <f>IF(AND(AD$1&gt;=Automakers!$D$23,AD$1&lt;=2040),IF(AD$1=Automakers!$D$23,Automakers!$D$23,AD$1),NA())</f>
        <v>#N/A</v>
      </c>
      <c r="AE5" s="1" t="e">
        <f>IF(AND(AE$1&gt;=Automakers!$D$23,AE$1&lt;=2040),IF(AE$1=Automakers!$D$23,Automakers!$D$23,AE$1),NA())</f>
        <v>#N/A</v>
      </c>
      <c r="AF5" s="1" t="e">
        <f>IF(AND(AF$1&gt;=Automakers!$D$23,AF$1&lt;=2040),IF(AF$1=Automakers!$D$23,Automakers!$D$23,AF$1),NA())</f>
        <v>#N/A</v>
      </c>
      <c r="AG5" s="1" t="e">
        <f>IF(AND(AG$1&gt;=Automakers!$D$23,AG$1&lt;=2040),IF(AG$1=Automakers!$D$23,Automakers!$D$23,AG$1),NA())</f>
        <v>#N/A</v>
      </c>
      <c r="AH5" s="1" t="e">
        <f>IF(AND(AH$1&gt;=Automakers!$D$23,AH$1&lt;=2040),IF(AH$1=Automakers!$D$23,Automakers!$D$23,AH$1),NA())</f>
        <v>#N/A</v>
      </c>
      <c r="AI5" s="1" t="e">
        <f>IF(AND(AI$1&gt;=Automakers!$D$23,AI$1&lt;=2040),IF(AI$1=Automakers!$D$23,Automakers!$D$23,AI$1),NA())</f>
        <v>#N/A</v>
      </c>
    </row>
    <row r="6" spans="1:35" s="2" customFormat="1" hidden="1" x14ac:dyDescent="0.15">
      <c r="A6"/>
      <c r="B6" t="s">
        <v>281</v>
      </c>
      <c r="C6" t="s">
        <v>29</v>
      </c>
      <c r="D6" s="174">
        <v>4.2000000000000003E-2</v>
      </c>
      <c r="Z6" s="175"/>
      <c r="AA6" s="175"/>
      <c r="AB6" s="175"/>
      <c r="AC6" s="175"/>
      <c r="AD6" s="175"/>
      <c r="AE6" s="175"/>
      <c r="AF6" s="175"/>
      <c r="AG6" s="175"/>
      <c r="AH6" s="175"/>
      <c r="AI6" s="175"/>
    </row>
    <row r="7" spans="1:35" s="2" customFormat="1" hidden="1" x14ac:dyDescent="0.15">
      <c r="A7"/>
      <c r="B7" t="s">
        <v>282</v>
      </c>
      <c r="C7" t="s">
        <v>29</v>
      </c>
      <c r="D7" s="174">
        <f>IF(Automakers!D23&lt;=2020,NA(),(0.042*(Automakers!D26-2020))/(Automakers!D26-Automakers!D23))</f>
        <v>4.9636363636363638E-2</v>
      </c>
      <c r="Z7" s="175"/>
      <c r="AA7" s="175"/>
      <c r="AB7" s="175"/>
      <c r="AC7" s="175"/>
      <c r="AD7" s="175"/>
      <c r="AE7" s="175"/>
      <c r="AF7" s="175"/>
      <c r="AG7" s="175"/>
      <c r="AH7" s="175"/>
      <c r="AI7" s="175"/>
    </row>
    <row r="8" spans="1:35" s="2" customFormat="1" hidden="1" x14ac:dyDescent="0.15">
      <c r="A8"/>
      <c r="B8" t="s">
        <v>283</v>
      </c>
      <c r="C8" t="s">
        <v>29</v>
      </c>
      <c r="D8" s="174">
        <f>(90%-42%)/(2050-2030)</f>
        <v>2.4E-2</v>
      </c>
      <c r="Z8" s="175"/>
      <c r="AA8" s="175"/>
      <c r="AB8" s="175"/>
      <c r="AC8" s="175"/>
      <c r="AD8" s="175"/>
      <c r="AE8" s="175"/>
      <c r="AF8" s="175"/>
      <c r="AG8" s="175"/>
      <c r="AH8" s="175"/>
      <c r="AI8" s="175"/>
    </row>
    <row r="9" spans="1:35" s="2" customFormat="1" hidden="1" x14ac:dyDescent="0.15">
      <c r="A9"/>
      <c r="B9" t="s">
        <v>94</v>
      </c>
      <c r="C9" t="s">
        <v>29</v>
      </c>
      <c r="D9" s="174">
        <f>IF(AND(Automakers!D27&gt;Automakers!D23,Automakers!$D$28&gt;=0,ISNUMBER(Automakers!$D$28),Automakers!D28&lt;Automakers!D24),1-Automakers!$D$28/Automakers!$D$24,0%)</f>
        <v>0</v>
      </c>
      <c r="Z9" s="175"/>
      <c r="AA9" s="175"/>
      <c r="AB9" s="175"/>
      <c r="AC9" s="175"/>
      <c r="AD9" s="175"/>
      <c r="AE9" s="175"/>
      <c r="AF9" s="175"/>
      <c r="AG9" s="175"/>
      <c r="AH9" s="175"/>
      <c r="AI9" s="175"/>
    </row>
    <row r="10" spans="1:35" s="2" customFormat="1" hidden="1" x14ac:dyDescent="0.15">
      <c r="A10"/>
      <c r="B10" t="s">
        <v>95</v>
      </c>
      <c r="C10" t="s">
        <v>29</v>
      </c>
      <c r="D10" s="174">
        <f>IF(AND(Automakers!D27&gt;Automakers!D23,Automakers!$D$29&gt;=0,ISNUMBER(Automakers!$D$29),Automakers!D29&lt;Automakers!D25),1-Automakers!$D$29/Automakers!$D$25,0%)</f>
        <v>0</v>
      </c>
      <c r="Z10" s="175"/>
      <c r="AA10" s="175"/>
      <c r="AB10" s="175"/>
      <c r="AC10" s="175"/>
      <c r="AD10" s="175"/>
      <c r="AE10" s="175"/>
      <c r="AF10" s="175"/>
      <c r="AG10" s="175"/>
      <c r="AH10" s="175"/>
      <c r="AI10" s="175"/>
    </row>
    <row r="11" spans="1:35" s="2" customFormat="1" hidden="1" x14ac:dyDescent="0.15">
      <c r="A11"/>
      <c r="B11" t="s">
        <v>93</v>
      </c>
      <c r="C11" t="s">
        <v>29</v>
      </c>
      <c r="D11" s="174">
        <v>0.9</v>
      </c>
      <c r="Z11" s="175"/>
      <c r="AA11" s="175"/>
      <c r="AB11" s="175"/>
      <c r="AC11" s="175"/>
      <c r="AD11" s="175"/>
      <c r="AE11" s="175"/>
      <c r="AF11" s="175"/>
      <c r="AG11" s="175"/>
      <c r="AH11" s="175"/>
      <c r="AI11" s="175"/>
    </row>
    <row r="12" spans="1:35" s="2" customFormat="1" hidden="1" x14ac:dyDescent="0.15">
      <c r="A12"/>
      <c r="B12"/>
      <c r="C12"/>
      <c r="D12"/>
      <c r="G12" s="176"/>
      <c r="H12" s="176"/>
      <c r="I12" s="176"/>
      <c r="J12" s="176"/>
      <c r="K12" s="176"/>
      <c r="L12" s="176"/>
      <c r="M12" s="176"/>
      <c r="N12" s="176"/>
      <c r="O12" s="176"/>
      <c r="P12" s="176"/>
      <c r="Q12" s="176"/>
      <c r="R12" s="176"/>
      <c r="S12" s="176"/>
      <c r="T12" s="176"/>
      <c r="U12" s="176"/>
      <c r="V12" s="176"/>
      <c r="W12" s="176"/>
      <c r="X12" s="176"/>
      <c r="Z12" s="175"/>
      <c r="AA12" s="175"/>
      <c r="AB12" s="175"/>
      <c r="AC12" s="175"/>
      <c r="AD12" s="175"/>
      <c r="AE12" s="175"/>
      <c r="AF12" s="175"/>
      <c r="AG12" s="175"/>
      <c r="AH12" s="175"/>
      <c r="AI12" s="175"/>
    </row>
    <row r="13" spans="1:35" s="2" customFormat="1" hidden="1" x14ac:dyDescent="0.15">
      <c r="A13"/>
      <c r="B13" t="s">
        <v>214</v>
      </c>
      <c r="C13"/>
      <c r="E13" s="2" t="e">
        <f>IF(AND(E1&gt;=Automakers!$D23,E1&lt;=2050),IF(E$1=Automakers!$D23,0,E$1-Automakers!$D$23),NA())</f>
        <v>#N/A</v>
      </c>
      <c r="F13" s="2" t="e">
        <f>IF(AND(F1&gt;=Automakers!$D23,F1&lt;=2050),IF(F$1=Automakers!$D23,0,F$1-Automakers!$D$23),NA())</f>
        <v>#N/A</v>
      </c>
      <c r="G13" s="2">
        <f>IF(AND(G1&gt;=Automakers!$D23,G1&lt;=2050),IF(G$1=Automakers!$D23,0,G$1-Automakers!$D$23),NA())</f>
        <v>0</v>
      </c>
      <c r="H13" s="2">
        <f>IF(AND(H1&gt;=Automakers!$D23,H1&lt;=2050),IF(H$1=Automakers!$D23,0,H$1-Automakers!$D$23),NA())</f>
        <v>1</v>
      </c>
      <c r="I13" s="2">
        <f>IF(AND(I1&gt;=Automakers!$D23,I1&lt;=2050),IF(I$1=Automakers!$D23,0,I$1-Automakers!$D$23),NA())</f>
        <v>2</v>
      </c>
      <c r="J13" s="2">
        <f>IF(AND(J1&gt;=Automakers!$D23,J1&lt;=2050),IF(J$1=Automakers!$D23,0,J$1-Automakers!$D$23),NA())</f>
        <v>3</v>
      </c>
      <c r="K13" s="2">
        <f>IF(AND(K1&gt;=Automakers!$D23,K1&lt;=2050),IF(K$1=Automakers!$D23,0,K$1-Automakers!$D$23),NA())</f>
        <v>4</v>
      </c>
      <c r="L13" s="2">
        <f>IF(AND(L1&gt;=Automakers!$D23,L1&lt;=2050),IF(L$1=Automakers!$D23,0,L$1-Automakers!$D$23),NA())</f>
        <v>5</v>
      </c>
      <c r="M13" s="2">
        <f>IF(AND(M1&gt;=Automakers!$D23,M1&lt;=2050),IF(M$1=Automakers!$D23,0,M$1-Automakers!$D$23),NA())</f>
        <v>6</v>
      </c>
      <c r="N13" s="2">
        <f>IF(AND(N1&gt;=Automakers!$D23,N1&lt;=2050),IF(N$1=Automakers!$D23,0,N$1-Automakers!$D$23),NA())</f>
        <v>7</v>
      </c>
      <c r="O13" s="2">
        <f>IF(AND(O1&gt;=Automakers!$D23,O1&lt;=2050),IF(O$1=Automakers!$D23,0,O$1-Automakers!$D$23),NA())</f>
        <v>8</v>
      </c>
      <c r="P13" s="2">
        <f>IF(AND(P1&gt;=Automakers!$D23,P1&lt;=2050),IF(P$1=Automakers!$D23,0,P$1-Automakers!$D$23),NA())</f>
        <v>9</v>
      </c>
      <c r="Q13" s="2">
        <f>IF(AND(Q1&gt;=Automakers!$D23,Q1&lt;=2050),IF(Q$1=Automakers!$D23,0,Q$1-Automakers!$D$23),NA())</f>
        <v>10</v>
      </c>
      <c r="R13" s="2">
        <f>IF(AND(R1&gt;=Automakers!$D23,R1&lt;=2050),IF(R$1=Automakers!$D23,0,R$1-Automakers!$D$23),NA())</f>
        <v>11</v>
      </c>
      <c r="S13" s="2">
        <f>IF(AND(S1&gt;=Automakers!$D23,S1&lt;=2050),IF(S$1=Automakers!$D23,0,S$1-Automakers!$D$23),NA())</f>
        <v>12</v>
      </c>
      <c r="T13" s="2">
        <f>IF(AND(T1&gt;=Automakers!$D23,T1&lt;=2050),IF(T$1=Automakers!$D23,0,T$1-Automakers!$D$23),NA())</f>
        <v>13</v>
      </c>
      <c r="U13" s="2">
        <f>IF(AND(U1&gt;=Automakers!$D23,U1&lt;=2050),IF(U$1=Automakers!$D23,0,U$1-Automakers!$D$23),NA())</f>
        <v>14</v>
      </c>
      <c r="V13" s="2">
        <f>IF(AND(V1&gt;=Automakers!$D23,V1&lt;=2050),IF(V$1=Automakers!$D23,0,V$1-Automakers!$D$23),NA())</f>
        <v>15</v>
      </c>
      <c r="W13" s="2">
        <f>IF(AND(W1&gt;=Automakers!$D23,W1&lt;=2050),IF(W$1=Automakers!$D23,0,W$1-Automakers!$D$23),NA())</f>
        <v>16</v>
      </c>
      <c r="X13" s="2">
        <f>IF(AND(X1&gt;=Automakers!$D23,X1&lt;=2050),IF(X$1=Automakers!$D23,0,X$1-Automakers!$D$23),NA())</f>
        <v>17</v>
      </c>
      <c r="Y13" s="2">
        <f>IF(AND(Y1&gt;=Automakers!$D23,Y1&lt;=2050),IF(Y$1=Automakers!$D23,0,Y$1-Automakers!$D$23),NA())</f>
        <v>18</v>
      </c>
      <c r="Z13" s="2">
        <f>IF(AND(Z1&gt;=Automakers!$D23,Z1&lt;=2050),IF(Z$1=Automakers!$D23,0,Z$1-Automakers!$D$23),NA())</f>
        <v>19</v>
      </c>
      <c r="AA13" s="2">
        <f>IF(AND(AA1&gt;=Automakers!$D23,AA1&lt;=2050),IF(AA$1=Automakers!$D23,0,AA$1-Automakers!$D$23),NA())</f>
        <v>20</v>
      </c>
      <c r="AB13" s="2">
        <f>IF(AND(AB1&gt;=Automakers!$D23,AB1&lt;=2050),IF(AB$1=Automakers!$D23,0,AB$1-Automakers!$D$23),NA())</f>
        <v>21</v>
      </c>
      <c r="AC13" s="2">
        <f>IF(AND(AC1&gt;=Automakers!$D23,AC1&lt;=2050),IF(AC$1=Automakers!$D23,0,AC$1-Automakers!$D$23),NA())</f>
        <v>22</v>
      </c>
      <c r="AD13" s="2">
        <f>IF(AND(AD1&gt;=Automakers!$D23,AD1&lt;=2050),IF(AD$1=Automakers!$D23,0,AD$1-Automakers!$D$23),NA())</f>
        <v>23</v>
      </c>
      <c r="AE13" s="2">
        <f>IF(AND(AE1&gt;=Automakers!$D23,AE1&lt;=2050),IF(AE$1=Automakers!$D23,0,AE$1-Automakers!$D$23),NA())</f>
        <v>24</v>
      </c>
      <c r="AF13" s="2">
        <f>IF(AND(AF1&gt;=Automakers!$D23,AF1&lt;=2050),IF(AF$1=Automakers!$D23,0,AF$1-Automakers!$D$23),NA())</f>
        <v>25</v>
      </c>
      <c r="AG13" s="2">
        <f>IF(AND(AG1&gt;=Automakers!$D23,AG1&lt;=2050),IF(AG$1=Automakers!$D23,0,AG$1-Automakers!$D$23),NA())</f>
        <v>26</v>
      </c>
      <c r="AH13" s="2">
        <f>IF(AND(AH1&gt;=Automakers!$D23,AH1&lt;=2050),IF(AH$1=Automakers!$D23,0,AH$1-Automakers!$D$23),NA())</f>
        <v>27</v>
      </c>
      <c r="AI13" s="2">
        <f>IF(AND(AI1&gt;=Automakers!$D23,AI1&lt;=2050),IF(AI$1=Automakers!$D23,0,AI$1-Automakers!$D$23),NA())</f>
        <v>28</v>
      </c>
    </row>
    <row r="14" spans="1:35" s="2" customFormat="1" hidden="1" x14ac:dyDescent="0.15">
      <c r="A14"/>
      <c r="B14" t="s">
        <v>150</v>
      </c>
      <c r="C14" t="s">
        <v>47</v>
      </c>
      <c r="D14"/>
      <c r="E14" s="2" t="e">
        <f>IF(E$1&lt;Automakers!$D$23,NA(),IF(E$1=Automakers!$D$23,Automakers!$D$24,IF(AND(Automakers!$D$23&lt;=2020,E$1&gt;Automakers!$D$23),Automakers!$D$24*(1-$D$6*E13),IF(AND(Automakers!$D$23&gt;2020,E$1&gt;Automakers!$D$23),Automakers!$D$24*(1-$D$7*E13),NA()))))</f>
        <v>#N/A</v>
      </c>
      <c r="F14" s="2" t="e">
        <f>IF(F$1&lt;Automakers!$D$23,NA(),IF(F$1=Automakers!$D$23,Automakers!$D$24,IF(AND(Automakers!$D$23&lt;=2020,F$1&gt;Automakers!$D$23),Automakers!$D$24*(1-$D$6*F13),IF(AND(Automakers!$D$23&gt;2020,F$1&gt;Automakers!$D$23),Automakers!$D$24*(1-$D$7*F13),NA()))))</f>
        <v>#N/A</v>
      </c>
      <c r="G14" s="2">
        <f>IF(G$1&lt;Automakers!$D$23,NA(),IF(G$1=Automakers!$D$23,Automakers!$D$24,IF(AND(Automakers!$D$23&lt;=2020,G$1&gt;Automakers!$D$23),Automakers!$D$24*(1-$D$6*G13),IF(AND(Automakers!$D$23&gt;2020,G$1&gt;Automakers!$D$23),Automakers!$D$24*(1-$D$7*G13),NA()))))</f>
        <v>100000</v>
      </c>
      <c r="H14" s="2">
        <f>IF(H$1&lt;Automakers!$D$23,NA(),IF(H$1=Automakers!$D$23,Automakers!$D$24,IF(AND(Automakers!$D$23&lt;=2020,H$1&gt;Automakers!$D$23),Automakers!$D$24*(1-$D$6*H13),IF(AND(Automakers!$D$23&gt;2020,H$1&gt;Automakers!$D$23),Automakers!$D$24*(1-$D$7*H13),NA()))))</f>
        <v>95036.363636363647</v>
      </c>
      <c r="I14" s="2">
        <f>IF(I$1&lt;Automakers!$D$23,NA(),IF(I$1=Automakers!$D$23,Automakers!$D$24,IF(AND(Automakers!$D$23&lt;=2020,I$1&gt;Automakers!$D$23),Automakers!$D$24*(1-$D$6*I13),IF(AND(Automakers!$D$23&gt;2020,I$1&gt;Automakers!$D$23),Automakers!$D$24*(1-$D$7*I13),NA()))))</f>
        <v>90072.727272727265</v>
      </c>
      <c r="J14" s="2">
        <f>IF(J$1&lt;Automakers!$D$23,NA(),IF(J$1=Automakers!$D$23,Automakers!$D$24,IF(AND(Automakers!$D$23&lt;=2020,J$1&gt;Automakers!$D$23),Automakers!$D$24*(1-$D$6*J13),IF(AND(Automakers!$D$23&gt;2020,J$1&gt;Automakers!$D$23),Automakers!$D$24*(1-$D$7*J13),NA()))))</f>
        <v>85109.090909090912</v>
      </c>
      <c r="K14" s="2">
        <f>IF(K$1&lt;Automakers!$D$23,NA(),IF(K$1=Automakers!$D$23,Automakers!$D$24,IF(AND(Automakers!$D$23&lt;=2020,K$1&gt;Automakers!$D$23),Automakers!$D$24*(1-$D$6*K13),IF(AND(Automakers!$D$23&gt;2020,K$1&gt;Automakers!$D$23),Automakers!$D$24*(1-$D$7*K13),NA()))))</f>
        <v>80145.454545454544</v>
      </c>
      <c r="L14" s="2">
        <f>IF(L$1&lt;Automakers!$D$23,NA(),IF(L$1=Automakers!$D$23,Automakers!$D$24,IF(AND(Automakers!$D$23&lt;=2020,L$1&gt;Automakers!$D$23),Automakers!$D$24*(1-$D$6*L13),IF(AND(Automakers!$D$23&gt;2020,L$1&gt;Automakers!$D$23),Automakers!$D$24*(1-$D$7*L13),NA()))))</f>
        <v>75181.818181818177</v>
      </c>
      <c r="M14" s="2">
        <f>IF(M$1&lt;Automakers!$D$23,NA(),IF(M$1=Automakers!$D$23,Automakers!$D$24,IF(AND(Automakers!$D$23&lt;=2020,M$1&gt;Automakers!$D$23),Automakers!$D$24*(1-$D$6*M13),IF(AND(Automakers!$D$23&gt;2020,M$1&gt;Automakers!$D$23),Automakers!$D$24*(1-$D$7*M13),NA()))))</f>
        <v>70218.181818181823</v>
      </c>
      <c r="N14" s="2">
        <f>IF(N$1&lt;Automakers!$D$23,NA(),IF(N$1=Automakers!$D$23,Automakers!$D$24,IF(AND(Automakers!$D$23&lt;=2020,N$1&gt;Automakers!$D$23),Automakers!$D$24*(1-$D$6*N13),IF(AND(Automakers!$D$23&gt;2020,N$1&gt;Automakers!$D$23),Automakers!$D$24*(1-$D$7*N13),NA()))))</f>
        <v>65254.545454545456</v>
      </c>
      <c r="O14" s="2">
        <f>IF(O$1&lt;Automakers!$D$23,NA(),IF(O$1=Automakers!$D$23,Automakers!$D$24,IF(AND(Automakers!$D$23&lt;=2020,O$1&gt;Automakers!$D$23),Automakers!$D$24*(1-$D$6*O13),IF(AND(Automakers!$D$23&gt;2020,O$1&gt;Automakers!$D$23),Automakers!$D$24*(1-$D$7*O13),NA()))))</f>
        <v>60290.909090909081</v>
      </c>
      <c r="P14" s="2">
        <f>IF(P$1&lt;Automakers!$D$23,NA(),IF(P$1=Automakers!$D$23,Automakers!$D$24,IF(AND(Automakers!$D$23&lt;=2020,P$1&gt;Automakers!$D$23),Automakers!$D$24*(1-$D$6*P13),IF(AND(Automakers!$D$23&gt;2020,P$1&gt;Automakers!$D$23),Automakers!$D$24*(1-$D$7*P13),NA()))))</f>
        <v>55327.272727272728</v>
      </c>
      <c r="Q14" s="2">
        <f>IF(Q$1&lt;Automakers!$D$23,NA(),IF(Q$1=Automakers!$D$23,Automakers!$D$24,IF(AND(Automakers!$D$23&lt;=2020,Q$1&gt;Automakers!$D$23),Automakers!$D$24*(1-$D$6*Q13),IF(AND(Automakers!$D$23&gt;2020,Q$1&gt;Automakers!$D$23),Automakers!$D$24*(1-$D$7*Q13),NA()))))</f>
        <v>50363.636363636368</v>
      </c>
      <c r="R14" s="2">
        <f>IF(R$1&lt;Automakers!$D$23,NA(),IF(R$1=Automakers!$D$23,Automakers!$D$24,IF(AND(Automakers!$D$23&lt;=2020,R$1&gt;Automakers!$D$23),Automakers!$D$24*(1-$D$6*R13),IF(AND(Automakers!$D$23&gt;2020,R$1&gt;Automakers!$D$23),Automakers!$D$24*(1-$D$7*R13),NA()))))</f>
        <v>45399.999999999993</v>
      </c>
      <c r="S14" s="2">
        <f>IF(S$1&lt;Automakers!$D$23,NA(),IF(S$1=Automakers!$D$23,Automakers!$D$24,IF(AND(Automakers!$D$23&lt;=2020,S$1&gt;Automakers!$D$23),Automakers!$D$24*(1-$D$6*S13),IF(AND(Automakers!$D$23&gt;2020,S$1&gt;Automakers!$D$23),Automakers!$D$24*(1-$D$7*S13),NA()))))</f>
        <v>40436.36363636364</v>
      </c>
      <c r="T14" s="2">
        <f>IF(T$1&lt;Automakers!$D$23,NA(),IF(T$1=Automakers!$D$23,Automakers!$D$24,IF(AND(Automakers!$D$23&lt;=2020,T$1&gt;Automakers!$D$23),Automakers!$D$24*(1-$D$6*T13),IF(AND(Automakers!$D$23&gt;2020,T$1&gt;Automakers!$D$23),Automakers!$D$24*(1-$D$7*T13),NA()))))</f>
        <v>35472.727272727265</v>
      </c>
      <c r="U14" s="2">
        <f>IF(U$1&lt;Automakers!$D$23,NA(),IF(U$1=Automakers!$D$23,Automakers!$D$24,IF(AND(Automakers!$D$23&lt;=2020,U$1&gt;Automakers!$D$23),Automakers!$D$24*(1-$D$6*U13),IF(AND(Automakers!$D$23&gt;2020,U$1&gt;Automakers!$D$23),Automakers!$D$24*(1-$D$7*U13),NA()))))</f>
        <v>30509.090909090908</v>
      </c>
      <c r="V14" s="2">
        <f>IF(V$1&lt;Automakers!$D$23,NA(),IF(V$1=Automakers!$D$23,Automakers!$D$24,IF(AND(Automakers!$D$23&lt;=2020,V$1&gt;Automakers!$D$23),Automakers!$D$24*(1-$D$6*V13),IF(AND(Automakers!$D$23&gt;2020,V$1&gt;Automakers!$D$23),Automakers!$D$24*(1-$D$7*V13),NA()))))</f>
        <v>25545.454545454537</v>
      </c>
      <c r="W14" s="2">
        <f>IF(W$1&lt;Automakers!$D$23,NA(),IF(W$1=Automakers!$D$23,Automakers!$D$24,IF(AND(Automakers!$D$23&lt;=2020,W$1&gt;Automakers!$D$23),Automakers!$D$24*(1-$D$6*W13),IF(AND(Automakers!$D$23&gt;2020,W$1&gt;Automakers!$D$23),Automakers!$D$24*(1-$D$7*W13),NA()))))</f>
        <v>20581.81818181818</v>
      </c>
      <c r="X14" s="2">
        <f>IF(X$1&lt;Automakers!$D$23,NA(),IF(X$1=Automakers!$D$23,Automakers!$D$24,IF(AND(Automakers!$D$23&lt;=2020,X$1&gt;Automakers!$D$23),Automakers!$D$24*(1-$D$6*X13),IF(AND(Automakers!$D$23&gt;2020,X$1&gt;Automakers!$D$23),Automakers!$D$24*(1-$D$7*X13),NA()))))</f>
        <v>15618.18181818182</v>
      </c>
      <c r="Y14" s="2">
        <f>IF(Y$1&lt;Automakers!$D$23,NA(),IF(Y$1=Automakers!$D$23,Automakers!$D$24,IF(AND(Automakers!$D$23&lt;=2020,Y$1&gt;Automakers!$D$23),Automakers!$D$24*(1-$D$6*Y13),IF(AND(Automakers!$D$23&gt;2020,Y$1&gt;Automakers!$D$23),Automakers!$D$24*(1-$D$7*Y13),NA()))))</f>
        <v>10654.54545454545</v>
      </c>
      <c r="Z14" s="2">
        <f>IF(Z$1&lt;Automakers!$D$23,NA(),IF(Z$1=Automakers!$D$23,Automakers!$D$24,IF(AND(Automakers!$D$23&lt;=2020,Z$1&gt;Automakers!$D$23),Automakers!$D$24*(1-$D$6*Z13),IF(AND(Automakers!$D$23&gt;2020,Z$1&gt;Automakers!$D$23),Automakers!$D$24*(1-$D$7*Z13),NA()))))</f>
        <v>5690.909090909091</v>
      </c>
      <c r="AA14" s="2">
        <f>IF(AA$1&lt;Automakers!$D$23,NA(),IF(AA$1=Automakers!$D$23,Automakers!$D$24,IF(AND(Automakers!$D$23&lt;=2020,AA$1&gt;Automakers!$D$23),Automakers!$D$24*(1-$D$6*AA13),IF(AND(Automakers!$D$23&gt;2020,AA$1&gt;Automakers!$D$23),Automakers!$D$24*(1-$D$7*AA13),NA()))))</f>
        <v>727.27272727272089</v>
      </c>
      <c r="AB14" s="2">
        <f>IF(AB$1&lt;Automakers!$D$23,NA(),IF(AB$1=Automakers!$D$23,Automakers!$D$24,IF(AND(Automakers!$D$23&lt;=2020,AB$1&gt;Automakers!$D$23),Automakers!$D$24*(1-$D$6*AB13),IF(AND(Automakers!$D$23&gt;2020,AB$1&gt;Automakers!$D$23),Automakers!$D$24*(1-$D$7*AB13),NA()))))</f>
        <v>-4236.3636363636379</v>
      </c>
      <c r="AC14" s="2">
        <f>IF(AC$1&lt;Automakers!$D$23,NA(),IF(AC$1=Automakers!$D$23,Automakers!$D$24,IF(AND(Automakers!$D$23&lt;=2020,AC$1&gt;Automakers!$D$23),Automakers!$D$24*(1-$D$6*AC13),IF(AND(Automakers!$D$23&gt;2020,AC$1&gt;Automakers!$D$23),Automakers!$D$24*(1-$D$7*AC13),NA()))))</f>
        <v>-9200.0000000000073</v>
      </c>
      <c r="AD14" s="2">
        <f>IF(AD$1&lt;Automakers!$D$23,NA(),IF(AD$1=Automakers!$D$23,Automakers!$D$24,IF(AND(Automakers!$D$23&lt;=2020,AD$1&gt;Automakers!$D$23),Automakers!$D$24*(1-$D$6*AD13),IF(AND(Automakers!$D$23&gt;2020,AD$1&gt;Automakers!$D$23),Automakers!$D$24*(1-$D$7*AD13),NA()))))</f>
        <v>-14163.636363636379</v>
      </c>
      <c r="AE14" s="2">
        <f>IF(AE$1&lt;Automakers!$D$23,NA(),IF(AE$1=Automakers!$D$23,Automakers!$D$24,IF(AND(Automakers!$D$23&lt;=2020,AE$1&gt;Automakers!$D$23),Automakers!$D$24*(1-$D$6*AE13),IF(AND(Automakers!$D$23&gt;2020,AE$1&gt;Automakers!$D$23),Automakers!$D$24*(1-$D$7*AE13),NA()))))</f>
        <v>-19127.272727272724</v>
      </c>
      <c r="AF14" s="2">
        <f>IF(AF$1&lt;Automakers!$D$23,NA(),IF(AF$1=Automakers!$D$23,Automakers!$D$24,IF(AND(Automakers!$D$23&lt;=2020,AF$1&gt;Automakers!$D$23),Automakers!$D$24*(1-$D$6*AF13),IF(AND(Automakers!$D$23&gt;2020,AF$1&gt;Automakers!$D$23),Automakers!$D$24*(1-$D$7*AF13),NA()))))</f>
        <v>-24090.909090909096</v>
      </c>
      <c r="AG14" s="2">
        <f>IF(AG$1&lt;Automakers!$D$23,NA(),IF(AG$1=Automakers!$D$23,Automakers!$D$24,IF(AND(Automakers!$D$23&lt;=2020,AG$1&gt;Automakers!$D$23),Automakers!$D$24*(1-$D$6*AG13),IF(AND(Automakers!$D$23&gt;2020,AG$1&gt;Automakers!$D$23),Automakers!$D$24*(1-$D$7*AG13),NA()))))</f>
        <v>-29054.545454545467</v>
      </c>
      <c r="AH14" s="2">
        <f>IF(AH$1&lt;Automakers!$D$23,NA(),IF(AH$1=Automakers!$D$23,Automakers!$D$24,IF(AND(Automakers!$D$23&lt;=2020,AH$1&gt;Automakers!$D$23),Automakers!$D$24*(1-$D$6*AH13),IF(AND(Automakers!$D$23&gt;2020,AH$1&gt;Automakers!$D$23),Automakers!$D$24*(1-$D$7*AH13),NA()))))</f>
        <v>-34018.181818181816</v>
      </c>
      <c r="AI14" s="2">
        <f>IF(AI$1&lt;Automakers!$D$23,NA(),IF(AI$1=Automakers!$D$23,Automakers!$D$24,IF(AND(Automakers!$D$23&lt;=2020,AI$1&gt;Automakers!$D$23),Automakers!$D$24*(1-$D$6*AI13),IF(AND(Automakers!$D$23&gt;2020,AI$1&gt;Automakers!$D$23),Automakers!$D$24*(1-$D$7*AI13),NA()))))</f>
        <v>-38981.818181818184</v>
      </c>
    </row>
    <row r="15" spans="1:35" s="2" customFormat="1" hidden="1" x14ac:dyDescent="0.15">
      <c r="A15"/>
      <c r="B15" t="s">
        <v>96</v>
      </c>
      <c r="C15" t="s">
        <v>29</v>
      </c>
      <c r="D15" s="174">
        <f>IF(D9&gt;0,D9+(((Automakers!$D$26-Automakers!$D$27)/(2050-Automakers!$D$27))*(D11-D9))-D17,0%)</f>
        <v>0</v>
      </c>
    </row>
    <row r="16" spans="1:35" s="2" customFormat="1" hidden="1" x14ac:dyDescent="0.15">
      <c r="A16"/>
      <c r="B16" t="s">
        <v>98</v>
      </c>
      <c r="C16" t="s">
        <v>47</v>
      </c>
      <c r="D16" s="177">
        <f>IF(Automakers!$D$24&lt;&gt;0,HLOOKUP(Automakers!$D$26,Calculations!$J$1:$AI$22,ROW(Calculations!B14)),"")</f>
        <v>45399.999999999993</v>
      </c>
      <c r="E16" s="178"/>
      <c r="F16" s="178"/>
      <c r="G16" s="178"/>
      <c r="H16" s="178"/>
      <c r="I16" s="178"/>
      <c r="J16" s="178"/>
      <c r="K16" s="178"/>
      <c r="L16" s="17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row>
    <row r="17" spans="1:35" s="2" customFormat="1" hidden="1" x14ac:dyDescent="0.15">
      <c r="A17"/>
      <c r="B17" t="s">
        <v>98</v>
      </c>
      <c r="C17" t="s">
        <v>29</v>
      </c>
      <c r="D17" s="174">
        <f>(1-$D$16/Automakers!$D$24)</f>
        <v>0.54600000000000004</v>
      </c>
      <c r="E17" s="178"/>
      <c r="F17" s="178"/>
      <c r="G17" s="178"/>
      <c r="H17" s="178"/>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row>
    <row r="18" spans="1:35" s="2" customFormat="1" hidden="1" x14ac:dyDescent="0.15">
      <c r="A18"/>
      <c r="B18" t="s">
        <v>97</v>
      </c>
      <c r="C18" t="s">
        <v>29</v>
      </c>
      <c r="D18" s="174">
        <f>IF($D$9&gt;=0.9,$D$9,IF($D$15&gt;0,(1-$D$16/Automakers!$D$24)+$D$15,(1-$D$16/Automakers!$D$24)))</f>
        <v>0.54600000000000004</v>
      </c>
      <c r="E18" s="178"/>
      <c r="F18" s="178"/>
      <c r="G18" s="178"/>
      <c r="H18" s="178"/>
      <c r="I18" s="178"/>
      <c r="J18" s="178"/>
      <c r="K18" s="178"/>
      <c r="L18" s="178"/>
      <c r="M18" s="178"/>
      <c r="N18" s="178"/>
      <c r="O18" s="178"/>
      <c r="P18" s="178"/>
      <c r="Q18" s="178"/>
      <c r="R18" s="178"/>
      <c r="S18" s="178"/>
      <c r="T18" s="178"/>
      <c r="U18" s="178"/>
      <c r="V18" s="178"/>
      <c r="W18" s="178"/>
      <c r="X18" s="178"/>
      <c r="Y18" s="178"/>
      <c r="Z18" s="178"/>
      <c r="AA18" s="178"/>
      <c r="AB18" s="178"/>
      <c r="AC18" s="178"/>
      <c r="AD18" s="178"/>
      <c r="AE18" s="178"/>
      <c r="AF18" s="178"/>
      <c r="AG18" s="178"/>
      <c r="AH18" s="178"/>
      <c r="AI18" s="178"/>
    </row>
    <row r="19" spans="1:35" s="2" customFormat="1" hidden="1" x14ac:dyDescent="0.15">
      <c r="A19"/>
      <c r="B19" t="s">
        <v>151</v>
      </c>
      <c r="C19" t="s">
        <v>47</v>
      </c>
      <c r="D19"/>
      <c r="E19" s="2" t="e">
        <f>IF(E$1&lt;Automakers!$D$23,NA(),IF($D$15&lt;=0,E14,IF(E$1=Automakers!$D$23,Automakers!$D$24,IF(E$1=Automakers!$D$27,Automakers!$D$28,IF(E$1=Automakers!$D$26,Automakers!$H$34,IF(E$1=2050,Automakers!$D$24*(1-$D$11),NA()))))))</f>
        <v>#N/A</v>
      </c>
      <c r="F19" s="2" t="e">
        <f>IF(F$1&lt;Automakers!$D$23,NA(),IF($D$15&lt;=0,F14,IF(F$1=Automakers!$D$23,Automakers!$D$24,IF(F$1=Automakers!$D$27,Automakers!$D$28,IF(F$1=Automakers!$D$26,Automakers!$H$34,IF(F$1=2050,Automakers!$D$24*(1-$D$11),NA()))))))</f>
        <v>#N/A</v>
      </c>
      <c r="G19" s="2">
        <f>IF(G$1&lt;Automakers!$D$23,NA(),IF($D$15&lt;=0,G14,IF(G$1=Automakers!$D$23,Automakers!$D$24,IF(G$1=Automakers!$D$27,Automakers!$D$28,IF(G$1=Automakers!$D$26,Automakers!$H$34,IF(G$1=2050,Automakers!$D$24*(1-$D$11),NA()))))))</f>
        <v>100000</v>
      </c>
      <c r="H19" s="2">
        <f>IF(H$1&lt;Automakers!$D$23,NA(),IF($D$15&lt;=0,H14,IF(H$1=Automakers!$D$23,Automakers!$D$24,IF(H$1=Automakers!$D$27,Automakers!$D$28,IF(H$1=Automakers!$D$26,Automakers!$H$34,IF(H$1=2050,Automakers!$D$24*(1-$D$11),NA()))))))</f>
        <v>95036.363636363647</v>
      </c>
      <c r="I19" s="2">
        <f>IF(I$1&lt;Automakers!$D$23,NA(),IF($D$15&lt;=0,I14,IF(I$1=Automakers!$D$23,Automakers!$D$24,IF(I$1=Automakers!$D$27,Automakers!$D$28,IF(I$1=Automakers!$D$26,Automakers!$H$34,IF(I$1=2050,Automakers!$D$24*(1-$D$11),NA()))))))</f>
        <v>90072.727272727265</v>
      </c>
      <c r="J19" s="2">
        <f>IF(J$1&lt;Automakers!$D$23,NA(),IF($D$15&lt;=0,J14,IF(J$1=Automakers!$D$23,Automakers!$D$24,IF(J$1=Automakers!$D$27,Automakers!$D$28,IF(J$1=Automakers!$D$26,Automakers!$H$34,IF(J$1=2050,Automakers!$D$24*(1-$D$11),NA()))))))</f>
        <v>85109.090909090912</v>
      </c>
      <c r="K19" s="2">
        <f>IF(K$1&lt;Automakers!$D$23,NA(),IF($D$15&lt;=0,K14,IF(K$1=Automakers!$D$23,Automakers!$D$24,IF(K$1=Automakers!$D$27,Automakers!$D$28,IF(K$1=Automakers!$D$26,Automakers!$H$34,IF(K$1=2050,Automakers!$D$24*(1-$D$11),NA()))))))</f>
        <v>80145.454545454544</v>
      </c>
      <c r="L19" s="2">
        <f>IF(L$1&lt;Automakers!$D$23,NA(),IF($D$15&lt;=0,L14,IF(L$1=Automakers!$D$23,Automakers!$D$24,IF(L$1=Automakers!$D$27,Automakers!$D$28,IF(L$1=Automakers!$D$26,Automakers!$H$34,IF(L$1=2050,Automakers!$D$24*(1-$D$11),NA()))))))</f>
        <v>75181.818181818177</v>
      </c>
      <c r="M19" s="2">
        <f>IF(M$1&lt;Automakers!$D$23,NA(),IF($D$15&lt;=0,M14,IF(M$1=Automakers!$D$23,Automakers!$D$24,IF(M$1=Automakers!$D$27,Automakers!$D$28,IF(M$1=Automakers!$D$26,Automakers!$H$34,IF(M$1=2050,Automakers!$D$24*(1-$D$11),NA()))))))</f>
        <v>70218.181818181823</v>
      </c>
      <c r="N19" s="2">
        <f>IF(N$1&lt;Automakers!$D$23,NA(),IF($D$15&lt;=0,N14,IF(N$1=Automakers!$D$23,Automakers!$D$24,IF(N$1=Automakers!$D$27,Automakers!$D$28,IF(N$1=Automakers!$D$26,Automakers!$H$34,IF(N$1=2050,Automakers!$D$24*(1-$D$11),NA()))))))</f>
        <v>65254.545454545456</v>
      </c>
      <c r="O19" s="2">
        <f>IF(O$1&lt;Automakers!$D$23,NA(),IF($D$15&lt;=0,O14,IF(O$1=Automakers!$D$23,Automakers!$D$24,IF(O$1=Automakers!$D$27,Automakers!$D$28,IF(O$1=Automakers!$D$26,Automakers!$H$34,IF(O$1=2050,Automakers!$D$24*(1-$D$11),NA()))))))</f>
        <v>60290.909090909081</v>
      </c>
      <c r="P19" s="2">
        <f>IF(P$1&lt;Automakers!$D$23,NA(),IF($D$15&lt;=0,P14,IF(P$1=Automakers!$D$23,Automakers!$D$24,IF(P$1=Automakers!$D$27,Automakers!$D$28,IF(P$1=Automakers!$D$26,Automakers!$H$34,IF(P$1=2050,Automakers!$D$24*(1-$D$11),NA()))))))</f>
        <v>55327.272727272728</v>
      </c>
      <c r="Q19" s="2">
        <f>IF(Q$1&lt;Automakers!$D$23,NA(),IF($D$15&lt;=0,Q14,IF(Q$1=Automakers!$D$23,Automakers!$D$24,IF(Q$1=Automakers!$D$27,Automakers!$D$28,IF(Q$1=Automakers!$D$26,Automakers!$H$34,IF(Q$1=2050,Automakers!$D$24*(1-$D$11),NA()))))))</f>
        <v>50363.636363636368</v>
      </c>
      <c r="R19" s="2">
        <f>IF(R$1&lt;Automakers!$D$23,NA(),IF($D$15&lt;=0,R14,IF(R$1=Automakers!$D$23,Automakers!$D$24,IF(R$1=Automakers!$D$27,Automakers!$D$28,IF(R$1=Automakers!$D$26,Automakers!$H$34,IF(R$1=2050,Automakers!$D$24*(1-$D$11),NA()))))))</f>
        <v>45399.999999999993</v>
      </c>
      <c r="S19" s="2">
        <f>IF(S$1&lt;Automakers!$D$23,NA(),IF($D$15&lt;=0,S14,IF(S$1=Automakers!$D$23,Automakers!$D$24,IF(S$1=Automakers!$D$27,Automakers!$D$28,IF(S$1=Automakers!$D$26,Automakers!$H$34,IF(S$1=2050,Automakers!$D$24*(1-$D$11),NA()))))))</f>
        <v>40436.36363636364</v>
      </c>
      <c r="T19" s="2">
        <f>IF(T$1&lt;Automakers!$D$23,NA(),IF($D$15&lt;=0,T14,IF(T$1=Automakers!$D$23,Automakers!$D$24,IF(T$1=Automakers!$D$27,Automakers!$D$28,IF(T$1=Automakers!$D$26,Automakers!$H$34,IF(T$1=2050,Automakers!$D$24*(1-$D$11),NA()))))))</f>
        <v>35472.727272727265</v>
      </c>
      <c r="U19" s="2" t="e">
        <f>IF(U$1&lt;Automakers!$D$23,NA(),IF($D$15&lt;0,U14,IF(U$1=Automakers!$D$23,Automakers!$D$24,IF(U$1=Automakers!$D$27,Automakers!$D$28,IF(U$1=Automakers!$D$26,Automakers!$H$34,IF(U$1=2050,Automakers!$D$24*(1-Calculations!$D$11),NA()))))))</f>
        <v>#N/A</v>
      </c>
      <c r="V19" s="2" t="e">
        <f>IF(V$1&lt;Automakers!$D$23,NA(),IF($D$15&lt;0,V14,IF(V$1=Automakers!$D$23,Automakers!$D$24,IF(V$1=Automakers!$D$27,Automakers!$D$28,IF(V$1=Automakers!$D$26,Automakers!$H$34,IF(V$1=2050,Automakers!$D$24*(1-Calculations!$D$11),NA()))))))</f>
        <v>#N/A</v>
      </c>
      <c r="W19" s="2" t="e">
        <f>IF(W$1&lt;Automakers!$D$23,NA(),IF($D$15&lt;0,W14,IF(W$1=Automakers!$D$23,Automakers!$D$24,IF(W$1=Automakers!$D$27,Automakers!$D$28,IF(W$1=Automakers!$D$26,Automakers!$H$34,IF(W$1=2050,Automakers!$D$24*(1-Calculations!$D$11),NA()))))))</f>
        <v>#N/A</v>
      </c>
      <c r="X19" s="2" t="e">
        <f>IF(X$1&lt;Automakers!$D$23,NA(),IF($D$15&lt;0,X14,IF(X$1=Automakers!$D$23,Automakers!$D$24,IF(X$1=Automakers!$D$27,Automakers!$D$28,IF(X$1=Automakers!$D$26,Automakers!$H$34,IF(X$1=2050,Automakers!$D$24*(1-Calculations!$D$11),NA()))))))</f>
        <v>#N/A</v>
      </c>
      <c r="Y19" s="2" t="e">
        <f>IF(Y$1&lt;Automakers!$D$23,NA(),IF($D$15&lt;0,Y14,IF(Y$1=Automakers!$D$23,Automakers!$D$24,IF(Y$1=Automakers!$D$27,Automakers!$D$28,IF(Y$1=Automakers!$D$26,Automakers!$H$34,IF(Y$1=2050,Automakers!$D$24*(1-Calculations!$D$11),NA()))))))</f>
        <v>#N/A</v>
      </c>
      <c r="Z19" s="2" t="e">
        <f>IF(Z$1&lt;Automakers!$D$23,NA(),IF($D$15&lt;0,Z14,IF(Z$1=Automakers!$D$23,Automakers!$D$24,IF(Z$1=Automakers!$D$27,Automakers!$D$28,IF(Z$1=Automakers!$D$26,Automakers!$H$34,IF(Z$1=2050,Automakers!$D$24*(1-Calculations!$D$11),NA()))))))</f>
        <v>#N/A</v>
      </c>
      <c r="AA19" s="2" t="e">
        <f>IF(AA$1&lt;Automakers!$D$23,NA(),IF($D$15&lt;0,AA14,IF(AA$1=Automakers!$D$23,Automakers!$D$24,IF(AA$1=Automakers!$D$27,Automakers!$D$28,IF(AA$1=Automakers!$D$26,Automakers!$H$34,IF(AA$1=2050,Automakers!$D$24*(1-Calculations!$D$11),NA()))))))</f>
        <v>#N/A</v>
      </c>
      <c r="AB19" s="2" t="e">
        <f>IF(AB$1&lt;Automakers!$D$23,NA(),IF($D$15&lt;0,AB14,IF(AB$1=Automakers!$D$23,Automakers!$D$24,IF(AB$1=Automakers!$D$27,Automakers!$D$28,IF(AB$1=Automakers!$D$26,Automakers!$H$34,IF(AB$1=2050,Automakers!$D$24*(1-Calculations!$D$11),NA()))))))</f>
        <v>#N/A</v>
      </c>
      <c r="AC19" s="2" t="e">
        <f>IF(AC$1&lt;Automakers!$D$23,NA(),IF($D$15&lt;0,AC14,IF(AC$1=Automakers!$D$23,Automakers!$D$24,IF(AC$1=Automakers!$D$27,Automakers!$D$28,IF(AC$1=Automakers!$D$26,Automakers!$H$34,IF(AC$1=2050,Automakers!$D$24*(1-Calculations!$D$11),NA()))))))</f>
        <v>#N/A</v>
      </c>
      <c r="AD19" s="2" t="e">
        <f>IF(AD$1&lt;Automakers!$D$23,NA(),IF($D$15&lt;0,AD14,IF(AD$1=Automakers!$D$23,Automakers!$D$24,IF(AD$1=Automakers!$D$27,Automakers!$D$28,IF(AD$1=Automakers!$D$26,Automakers!$H$34,IF(AD$1=2050,Automakers!$D$24*(1-Calculations!$D$11),NA()))))))</f>
        <v>#N/A</v>
      </c>
      <c r="AE19" s="2" t="e">
        <f>IF(AE$1&lt;Automakers!$D$23,NA(),IF($D$15&lt;0,AE14,IF(AE$1=Automakers!$D$23,Automakers!$D$24,IF(AE$1=Automakers!$D$27,Automakers!$D$28,IF(AE$1=Automakers!$D$26,Automakers!$H$34,IF(AE$1=2050,Automakers!$D$24*(1-Calculations!$D$11),NA()))))))</f>
        <v>#N/A</v>
      </c>
      <c r="AF19" s="2" t="e">
        <f>IF(AF$1&lt;Automakers!$D$23,NA(),IF($D$15&lt;0,AF14,IF(AF$1=Automakers!$D$23,Automakers!$D$24,IF(AF$1=Automakers!$D$27,Automakers!$D$28,IF(AF$1=Automakers!$D$26,Automakers!$H$34,IF(AF$1=2050,Automakers!$D$24*(1-Calculations!$D$11),NA()))))))</f>
        <v>#N/A</v>
      </c>
      <c r="AG19" s="2" t="e">
        <f>IF(AG$1&lt;Automakers!$D$23,NA(),IF($D$15&lt;0,AG14,IF(AG$1=Automakers!$D$23,Automakers!$D$24,IF(AG$1=Automakers!$D$27,Automakers!$D$28,IF(AG$1=Automakers!$D$26,Automakers!$H$34,IF(AG$1=2050,Automakers!$D$24*(1-Calculations!$D$11),NA()))))))</f>
        <v>#N/A</v>
      </c>
      <c r="AH19" s="2" t="e">
        <f>IF(AH$1&lt;Automakers!$D$23,NA(),IF($D$15&lt;0,AH14,IF(AH$1=Automakers!$D$23,Automakers!$D$24,IF(AH$1=Automakers!$D$27,Automakers!$D$28,IF(AH$1=Automakers!$D$26,Automakers!$H$34,IF(AH$1=2050,Automakers!$D$24*(1-Calculations!$D$11),NA()))))))</f>
        <v>#N/A</v>
      </c>
      <c r="AI19" s="2">
        <f>IF(AI$1&lt;Automakers!$D$23,NA(),IF($D$15&lt;0,AI14,IF(AI$1=Automakers!$D$23,Automakers!$D$24,IF(AI$1=Automakers!$D$27,Automakers!$D$28,IF(AI$1=Automakers!$D$26,Automakers!$H$34,IF(AI$1=2050,Automakers!$D$24*(1-Calculations!$D$11),NA()))))))</f>
        <v>9999.9999999999982</v>
      </c>
    </row>
    <row r="20" spans="1:35" s="2" customFormat="1" hidden="1" x14ac:dyDescent="0.15">
      <c r="A20"/>
      <c r="B20"/>
      <c r="C20"/>
      <c r="D20"/>
      <c r="E20" s="178"/>
      <c r="F20" s="178"/>
      <c r="G20" s="178"/>
      <c r="H20" s="178"/>
      <c r="I20" s="178"/>
      <c r="J20" s="178"/>
      <c r="K20" s="17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row>
    <row r="21" spans="1:35" s="2" customFormat="1" hidden="1" x14ac:dyDescent="0.15">
      <c r="A21"/>
      <c r="B21" t="s">
        <v>152</v>
      </c>
      <c r="C21" t="s">
        <v>47</v>
      </c>
      <c r="D21"/>
      <c r="E21" s="2" t="e">
        <f>IF(E$1&lt;Automakers!$D$23,NA(),IF(E$1=Automakers!$D$23,Automakers!$D$25,IF(AND(Automakers!$D$23&lt;=2020,E$1&gt;Automakers!$D$23),Automakers!$D$25*(1-$D$6*E13),IF(AND(Automakers!$D$23&gt;2020,E$1&gt;Automakers!$D$23),Automakers!$D$25*(1-$D$7*E13),NA()))))</f>
        <v>#N/A</v>
      </c>
      <c r="F21" s="2" t="e">
        <f>IF(F$1&lt;Automakers!$D$23,NA(),IF(F$1=Automakers!$D$23,Automakers!$D$25,IF(AND(Automakers!$D$23&lt;=2020,F$1&gt;Automakers!$D$23),Automakers!$D$25*(1-$D$6*F13),IF(AND(Automakers!$D$23&gt;2020,F$1&gt;Automakers!$D$23),Automakers!$D$25*(1-$D$7*F13),NA()))))</f>
        <v>#N/A</v>
      </c>
      <c r="G21" s="2">
        <f>IF(G$1&lt;Automakers!$D$23,NA(),IF(G$1=Automakers!$D$23,Automakers!$D$25,IF(AND(Automakers!$D$23&lt;=2020,G$1&gt;Automakers!$D$23),Automakers!$D$25*(1-$D$6*G13),IF(AND(Automakers!$D$23&gt;2020,G$1&gt;Automakers!$D$23),Automakers!$D$25*(1-$D$7*G13),NA()))))</f>
        <v>500000</v>
      </c>
      <c r="H21" s="2">
        <f>IF(H$1&lt;Automakers!$D$23,NA(),IF(H$1=Automakers!$D$23,Automakers!$D$25,IF(AND(Automakers!$D$23&lt;=2020,H$1&gt;Automakers!$D$23),Automakers!$D$25*(1-$D$6*H13),IF(AND(Automakers!$D$23&gt;2020,H$1&gt;Automakers!$D$23),Automakers!$D$25*(1-$D$7*H13),NA()))))</f>
        <v>475181.81818181818</v>
      </c>
      <c r="I21" s="2">
        <f>IF(I$1&lt;Automakers!$D$23,NA(),IF(I$1=Automakers!$D$23,Automakers!$D$25,IF(AND(Automakers!$D$23&lt;=2020,I$1&gt;Automakers!$D$23),Automakers!$D$25*(1-$D$6*I13),IF(AND(Automakers!$D$23&gt;2020,I$1&gt;Automakers!$D$23),Automakers!$D$25*(1-$D$7*I13),NA()))))</f>
        <v>450363.63636363635</v>
      </c>
      <c r="J21" s="2">
        <f>IF(J$1&lt;Automakers!$D$23,NA(),IF(J$1=Automakers!$D$23,Automakers!$D$25,IF(AND(Automakers!$D$23&lt;=2020,J$1&gt;Automakers!$D$23),Automakers!$D$25*(1-$D$6*J13),IF(AND(Automakers!$D$23&gt;2020,J$1&gt;Automakers!$D$23),Automakers!$D$25*(1-$D$7*J13),NA()))))</f>
        <v>425545.45454545459</v>
      </c>
      <c r="K21" s="2">
        <f>IF(K$1&lt;Automakers!$D$23,NA(),IF(K$1=Automakers!$D$23,Automakers!$D$25,IF(AND(Automakers!$D$23&lt;=2020,K$1&gt;Automakers!$D$23),Automakers!$D$25*(1-$D$6*K13),IF(AND(Automakers!$D$23&gt;2020,K$1&gt;Automakers!$D$23),Automakers!$D$25*(1-$D$7*K13),NA()))))</f>
        <v>400727.27272727271</v>
      </c>
      <c r="L21" s="2">
        <f>IF(L$1&lt;Automakers!$D$23,NA(),IF(L$1=Automakers!$D$23,Automakers!$D$25,IF(AND(Automakers!$D$23&lt;=2020,L$1&gt;Automakers!$D$23),Automakers!$D$25*(1-$D$6*L13),IF(AND(Automakers!$D$23&gt;2020,L$1&gt;Automakers!$D$23),Automakers!$D$25*(1-$D$7*L13),NA()))))</f>
        <v>375909.09090909094</v>
      </c>
      <c r="M21" s="2">
        <f>IF(M$1&lt;Automakers!$D$23,NA(),IF(M$1=Automakers!$D$23,Automakers!$D$25,IF(AND(Automakers!$D$23&lt;=2020,M$1&gt;Automakers!$D$23),Automakers!$D$25*(1-$D$6*M13),IF(AND(Automakers!$D$23&gt;2020,M$1&gt;Automakers!$D$23),Automakers!$D$25*(1-$D$7*M13),NA()))))</f>
        <v>351090.90909090912</v>
      </c>
      <c r="N21" s="2">
        <f>IF(N$1&lt;Automakers!$D$23,NA(),IF(N$1=Automakers!$D$23,Automakers!$D$25,IF(AND(Automakers!$D$23&lt;=2020,N$1&gt;Automakers!$D$23),Automakers!$D$25*(1-$D$6*N13),IF(AND(Automakers!$D$23&gt;2020,N$1&gt;Automakers!$D$23),Automakers!$D$25*(1-$D$7*N13),NA()))))</f>
        <v>326272.72727272729</v>
      </c>
      <c r="O21" s="2">
        <f>IF(O$1&lt;Automakers!$D$23,NA(),IF(O$1=Automakers!$D$23,Automakers!$D$25,IF(AND(Automakers!$D$23&lt;=2020,O$1&gt;Automakers!$D$23),Automakers!$D$25*(1-$D$6*O13),IF(AND(Automakers!$D$23&gt;2020,O$1&gt;Automakers!$D$23),Automakers!$D$25*(1-$D$7*O13),NA()))))</f>
        <v>301454.54545454541</v>
      </c>
      <c r="P21" s="2">
        <f>IF(P$1&lt;Automakers!$D$23,NA(),IF(P$1=Automakers!$D$23,Automakers!$D$25,IF(AND(Automakers!$D$23&lt;=2020,P$1&gt;Automakers!$D$23),Automakers!$D$25*(1-$D$6*P13),IF(AND(Automakers!$D$23&gt;2020,P$1&gt;Automakers!$D$23),Automakers!$D$25*(1-$D$7*P13),NA()))))</f>
        <v>276636.36363636365</v>
      </c>
      <c r="Q21" s="2">
        <f>IF(Q$1&lt;Automakers!$D$23,NA(),IF(Q$1=Automakers!$D$23,Automakers!$D$25,IF(AND(Automakers!$D$23&lt;=2020,Q$1&gt;Automakers!$D$23),Automakers!$D$25*(1-$D$6*Q13),IF(AND(Automakers!$D$23&gt;2020,Q$1&gt;Automakers!$D$23),Automakers!$D$25*(1-$D$7*Q13),NA()))))</f>
        <v>251818.18181818182</v>
      </c>
      <c r="R21" s="2">
        <f>IF(R$1&lt;Automakers!$D$23,NA(),IF(R$1=Automakers!$D$23,Automakers!$D$25,IF(AND(Automakers!$D$23&lt;=2020,R$1&gt;Automakers!$D$23),Automakers!$D$25*(1-$D$6*R13),IF(AND(Automakers!$D$23&gt;2020,R$1&gt;Automakers!$D$23),Automakers!$D$25*(1-$D$7*R13),NA()))))</f>
        <v>226999.99999999997</v>
      </c>
      <c r="S21" s="2">
        <f>IF(S$1&lt;Automakers!$D$23,NA(),IF(S$1=Automakers!$D$23,Automakers!$D$25,IF(AND(Automakers!$D$23&lt;=2020,S$1&gt;Automakers!$D$23),Automakers!$D$25*(1-$D$6*S13),IF(AND(Automakers!$D$23&gt;2020,S$1&gt;Automakers!$D$23),Automakers!$D$25*(1-$D$7*S13),NA()))))</f>
        <v>202181.81818181818</v>
      </c>
      <c r="T21" s="2">
        <f>IF(T$1&lt;Automakers!$D$23,NA(),IF(T$1=Automakers!$D$23,Automakers!$D$25,IF(AND(Automakers!$D$23&lt;=2020,T$1&gt;Automakers!$D$23),Automakers!$D$25*(1-$D$6*T13),IF(AND(Automakers!$D$23&gt;2020,T$1&gt;Automakers!$D$23),Automakers!$D$25*(1-$D$7*T13),NA()))))</f>
        <v>177363.63636363632</v>
      </c>
      <c r="U21" s="2">
        <f>IF(U$1&lt;Automakers!$D$23,NA(),IF(U$1=Automakers!$D$23,Automakers!$D$25,IF(AND(Automakers!$D$23&lt;=2020,U$1&gt;Automakers!$D$23),Automakers!$D$25*(1-$D$6*U13),IF(AND(Automakers!$D$23&gt;2020,U$1&gt;Automakers!$D$23),Automakers!$D$25*(1-$D$7*U13),NA()))))</f>
        <v>152545.45454545453</v>
      </c>
      <c r="V21" s="2">
        <f>IF(V$1&lt;Automakers!$D$23,NA(),IF(V$1=Automakers!$D$23,Automakers!$D$25,IF(AND(Automakers!$D$23&lt;=2020,V$1&gt;Automakers!$D$23),Automakers!$D$25*(1-$D$6*V13),IF(AND(Automakers!$D$23&gt;2020,V$1&gt;Automakers!$D$23),Automakers!$D$25*(1-$D$7*V13),NA()))))</f>
        <v>127727.27272727269</v>
      </c>
      <c r="W21" s="2">
        <f>IF(W$1&lt;Automakers!$D$23,NA(),IF(W$1=Automakers!$D$23,Automakers!$D$25,IF(AND(Automakers!$D$23&lt;=2020,W$1&gt;Automakers!$D$23),Automakers!$D$25*(1-$D$6*W13),IF(AND(Automakers!$D$23&gt;2020,W$1&gt;Automakers!$D$23),Automakers!$D$25*(1-$D$7*W13),NA()))))</f>
        <v>102909.0909090909</v>
      </c>
      <c r="X21" s="2">
        <f>IF(X$1&lt;Automakers!$D$23,NA(),IF(X$1=Automakers!$D$23,Automakers!$D$25,IF(AND(Automakers!$D$23&lt;=2020,X$1&gt;Automakers!$D$23),Automakers!$D$25*(1-$D$6*X13),IF(AND(Automakers!$D$23&gt;2020,X$1&gt;Automakers!$D$23),Automakers!$D$25*(1-$D$7*X13),NA()))))</f>
        <v>78090.909090909103</v>
      </c>
      <c r="Y21" s="2">
        <f>IF(Y$1&lt;Automakers!$D$23,NA(),IF(Y$1=Automakers!$D$23,Automakers!$D$25,IF(AND(Automakers!$D$23&lt;=2020,Y$1&gt;Automakers!$D$23),Automakers!$D$25*(1-$D$6*Y13),IF(AND(Automakers!$D$23&gt;2020,Y$1&gt;Automakers!$D$23),Automakers!$D$25*(1-$D$7*Y13),NA()))))</f>
        <v>53272.72727272725</v>
      </c>
      <c r="Z21" s="2">
        <f>IF(Z$1&lt;Automakers!$D$23,NA(),IF(Z$1=Automakers!$D$23,Automakers!$D$25,IF(AND(Automakers!$D$23&lt;=2020,Z$1&gt;Automakers!$D$23),Automakers!$D$25*(1-$D$6*Z13),IF(AND(Automakers!$D$23&gt;2020,Z$1&gt;Automakers!$D$23),Automakers!$D$25*(1-$D$7*Z13),NA()))))</f>
        <v>28454.545454545456</v>
      </c>
      <c r="AA21" s="2">
        <f>IF(AA$1&lt;Automakers!$D$23,NA(),IF(AA$1=Automakers!$D$23,Automakers!$D$25,IF(AND(Automakers!$D$23&lt;=2020,AA$1&gt;Automakers!$D$23),Automakers!$D$25*(1-$D$6*AA13),IF(AND(Automakers!$D$23&gt;2020,AA$1&gt;Automakers!$D$23),Automakers!$D$25*(1-$D$7*AA13),NA()))))</f>
        <v>3636.3636363636042</v>
      </c>
      <c r="AB21" s="2">
        <f>IF(AB$1&lt;Automakers!$D$23,NA(),IF(AB$1=Automakers!$D$23,Automakers!$D$25,IF(AND(Automakers!$D$23&lt;=2020,AB$1&gt;Automakers!$D$23),Automakers!$D$25*(1-$D$6*AB13),IF(AND(Automakers!$D$23&gt;2020,AB$1&gt;Automakers!$D$23),Automakers!$D$25*(1-$D$7*AB13),NA()))))</f>
        <v>-21181.818181818191</v>
      </c>
      <c r="AC21" s="2">
        <f>IF(AC$1&lt;Automakers!$D$23,NA(),IF(AC$1=Automakers!$D$23,Automakers!$D$25,IF(AND(Automakers!$D$23&lt;=2020,AC$1&gt;Automakers!$D$23),Automakers!$D$25*(1-$D$6*AC13),IF(AND(Automakers!$D$23&gt;2020,AC$1&gt;Automakers!$D$23),Automakers!$D$25*(1-$D$7*AC13),NA()))))</f>
        <v>-46000.000000000044</v>
      </c>
      <c r="AD21" s="2">
        <f>IF(AD$1&lt;Automakers!$D$23,NA(),IF(AD$1=Automakers!$D$23,Automakers!$D$25,IF(AND(Automakers!$D$23&lt;=2020,AD$1&gt;Automakers!$D$23),Automakers!$D$25*(1-$D$6*AD13),IF(AND(Automakers!$D$23&gt;2020,AD$1&gt;Automakers!$D$23),Automakers!$D$25*(1-$D$7*AD13),NA()))))</f>
        <v>-70818.181818181896</v>
      </c>
      <c r="AE21" s="2">
        <f>IF(AE$1&lt;Automakers!$D$23,NA(),IF(AE$1=Automakers!$D$23,Automakers!$D$25,IF(AND(Automakers!$D$23&lt;=2020,AE$1&gt;Automakers!$D$23),Automakers!$D$25*(1-$D$6*AE13),IF(AND(Automakers!$D$23&gt;2020,AE$1&gt;Automakers!$D$23),Automakers!$D$25*(1-$D$7*AE13),NA()))))</f>
        <v>-95636.363636363632</v>
      </c>
      <c r="AF21" s="2">
        <f>IF(AF$1&lt;Automakers!$D$23,NA(),IF(AF$1=Automakers!$D$23,Automakers!$D$25,IF(AND(Automakers!$D$23&lt;=2020,AF$1&gt;Automakers!$D$23),Automakers!$D$25*(1-$D$6*AF13),IF(AND(Automakers!$D$23&gt;2020,AF$1&gt;Automakers!$D$23),Automakers!$D$25*(1-$D$7*AF13),NA()))))</f>
        <v>-120454.54545454548</v>
      </c>
      <c r="AG21" s="2">
        <f>IF(AG$1&lt;Automakers!$D$23,NA(),IF(AG$1=Automakers!$D$23,Automakers!$D$25,IF(AND(Automakers!$D$23&lt;=2020,AG$1&gt;Automakers!$D$23),Automakers!$D$25*(1-$D$6*AG13),IF(AND(Automakers!$D$23&gt;2020,AG$1&gt;Automakers!$D$23),Automakers!$D$25*(1-$D$7*AG13),NA()))))</f>
        <v>-145272.72727272732</v>
      </c>
      <c r="AH21" s="2">
        <f>IF(AH$1&lt;Automakers!$D$23,NA(),IF(AH$1=Automakers!$D$23,Automakers!$D$25,IF(AND(Automakers!$D$23&lt;=2020,AH$1&gt;Automakers!$D$23),Automakers!$D$25*(1-$D$6*AH13),IF(AND(Automakers!$D$23&gt;2020,AH$1&gt;Automakers!$D$23),Automakers!$D$25*(1-$D$7*AH13),NA()))))</f>
        <v>-170090.90909090906</v>
      </c>
      <c r="AI21" s="2">
        <f>IF(AI$1&lt;Automakers!$D$23,NA(),IF(AI$1=Automakers!$D$23,Automakers!$D$25,IF(AND(Automakers!$D$23&lt;=2020,AI$1&gt;Automakers!$D$23),Automakers!$D$25*(1-$D$6*AI13),IF(AND(Automakers!$D$23&gt;2020,AI$1&gt;Automakers!$D$23),Automakers!$D$25*(1-$D$7*AI13),NA()))))</f>
        <v>-194909.09090909091</v>
      </c>
    </row>
    <row r="22" spans="1:35" s="2" customFormat="1" hidden="1" x14ac:dyDescent="0.15">
      <c r="A22"/>
      <c r="B22" t="s">
        <v>154</v>
      </c>
      <c r="C22" t="s">
        <v>29</v>
      </c>
      <c r="D22" s="174">
        <f>IF(D10&gt;0,D10+(((Automakers!$D$26-Automakers!$D$27)/(2050-Automakers!$D$27))*(D11-D10))-D24,0)</f>
        <v>0</v>
      </c>
    </row>
    <row r="23" spans="1:35" s="2" customFormat="1" hidden="1" x14ac:dyDescent="0.15">
      <c r="A23"/>
      <c r="B23" t="s">
        <v>99</v>
      </c>
      <c r="C23" t="s">
        <v>47</v>
      </c>
      <c r="D23" s="177">
        <f>IF(Automakers!$D$25&lt;&gt;0,HLOOKUP(Automakers!$D$26,Calculations!$H$1:$AI$25,ROW(Calculations!B21)),0)</f>
        <v>226999.99999999997</v>
      </c>
    </row>
    <row r="24" spans="1:35" s="2" customFormat="1" hidden="1" x14ac:dyDescent="0.15">
      <c r="A24"/>
      <c r="B24" t="s">
        <v>99</v>
      </c>
      <c r="C24" t="s">
        <v>29</v>
      </c>
      <c r="D24" s="174">
        <f>IF(Automakers!$D$25&lt;&gt;0,(1-$D$23/Automakers!$D$25),0)</f>
        <v>0.54600000000000004</v>
      </c>
    </row>
    <row r="25" spans="1:35" s="2" customFormat="1" hidden="1" x14ac:dyDescent="0.15">
      <c r="A25"/>
      <c r="B25" t="s">
        <v>100</v>
      </c>
      <c r="C25" t="s">
        <v>29</v>
      </c>
      <c r="D25" s="174">
        <f>IF($D$10&gt;=0.9,$D$10,IF($D$22&gt;0,$D$24+$D$22,$D$24))</f>
        <v>0.54600000000000004</v>
      </c>
    </row>
    <row r="26" spans="1:35" s="2" customFormat="1" hidden="1" x14ac:dyDescent="0.15">
      <c r="A26"/>
      <c r="B26" t="s">
        <v>153</v>
      </c>
      <c r="C26" t="s">
        <v>47</v>
      </c>
      <c r="D26"/>
      <c r="E26" s="2" t="e">
        <f>IF(E$1&lt;Automakers!$D$23,NA(),IF($D$22&lt;=0,E21,IF(E$1=Automakers!$D$23,Automakers!$D$25,IF(E$1=Automakers!$D$27,Automakers!$D$29,IF(E$1=Automakers!$D$26,Automakers!$H$35,IF(E$1=2050,Automakers!$D$25*(1-Calculations!$D$11),NA()))))))</f>
        <v>#N/A</v>
      </c>
      <c r="F26" s="2" t="e">
        <f>IF(F$1&lt;Automakers!$D$23,NA(),IF($D$22&lt;=0,F21,IF(F$1=Automakers!$D$23,Automakers!$D$25,IF(F$1=Automakers!$D$27,Automakers!$D$29,IF(F$1=Automakers!$D$26,Automakers!$H$35,IF(F$1=2050,Automakers!$D$25*(1-Calculations!$D$11),NA()))))))</f>
        <v>#N/A</v>
      </c>
      <c r="G26" s="2">
        <f>IF(G$1&lt;Automakers!$D$23,NA(),IF($D$22&lt;=0,G21,IF(G$1=Automakers!$D$23,Automakers!$D$25,IF(G$1=Automakers!$D$27,Automakers!$D$29,IF(G$1=Automakers!$D$26,Automakers!$H$35,IF(G$1=2050,Automakers!$D$25*(1-Calculations!$D$11),NA()))))))</f>
        <v>500000</v>
      </c>
      <c r="H26" s="2">
        <f>IF(H$1&lt;Automakers!$D$23,NA(),IF($D$22&lt;=0,H21,IF(H$1=Automakers!$D$23,Automakers!$D$25,IF(H$1=Automakers!$D$27,Automakers!$D$29,IF(H$1=Automakers!$D$26,Automakers!$H$35,IF(H$1=2050,Automakers!$D$25*(1-Calculations!$D$11),NA()))))))</f>
        <v>475181.81818181818</v>
      </c>
      <c r="I26" s="2">
        <f>IF(I$1&lt;Automakers!$D$23,NA(),IF($D$22&lt;=0,I21,IF(I$1=Automakers!$D$23,Automakers!$D$25,IF(I$1=Automakers!$D$27,Automakers!$D$29,IF(I$1=Automakers!$D$26,Automakers!$H$35,IF(I$1=2050,Automakers!$D$25*(1-Calculations!$D$11),NA()))))))</f>
        <v>450363.63636363635</v>
      </c>
      <c r="J26" s="2">
        <f>IF(J$1&lt;Automakers!$D$23,NA(),IF($D$22&lt;=0,J21,IF(J$1=Automakers!$D$23,Automakers!$D$25,IF(J$1=Automakers!$D$27,Automakers!$D$29,IF(J$1=Automakers!$D$26,Automakers!$H$35,IF(J$1=2050,Automakers!$D$25*(1-Calculations!$D$11),NA()))))))</f>
        <v>425545.45454545459</v>
      </c>
      <c r="K26" s="2">
        <f>IF(K$1&lt;Automakers!$D$23,NA(),IF($D$22&lt;=0,K21,IF(K$1=Automakers!$D$23,Automakers!$D$25,IF(K$1=Automakers!$D$27,Automakers!$D$29,IF(K$1=Automakers!$D$26,Automakers!$H$35,IF(K$1=2050,Automakers!$D$25*(1-Calculations!$D$11),NA()))))))</f>
        <v>400727.27272727271</v>
      </c>
      <c r="L26" s="2">
        <f>IF(L$1&lt;Automakers!$D$23,NA(),IF($D$22&lt;=0,L21,IF(L$1=Automakers!$D$23,Automakers!$D$25,IF(L$1=Automakers!$D$27,Automakers!$D$29,IF(L$1=Automakers!$D$26,Automakers!$H$35,IF(L$1=2050,Automakers!$D$25*(1-Calculations!$D$11),NA()))))))</f>
        <v>375909.09090909094</v>
      </c>
      <c r="M26" s="2">
        <f>IF(M$1&lt;Automakers!$D$23,NA(),IF($D$22&lt;=0,M21,IF(M$1=Automakers!$D$23,Automakers!$D$25,IF(M$1=Automakers!$D$27,Automakers!$D$29,IF(M$1=Automakers!$D$26,Automakers!$H$35,IF(M$1=2050,Automakers!$D$25*(1-Calculations!$D$11),NA()))))))</f>
        <v>351090.90909090912</v>
      </c>
      <c r="N26" s="2">
        <f>IF(N$1&lt;Automakers!$D$23,NA(),IF($D$22&lt;=0,N21,IF(N$1=Automakers!$D$23,Automakers!$D$25,IF(N$1=Automakers!$D$27,Automakers!$D$29,IF(N$1=Automakers!$D$26,Automakers!$H$35,IF(N$1=2050,Automakers!$D$25*(1-Calculations!$D$11),NA()))))))</f>
        <v>326272.72727272729</v>
      </c>
      <c r="O26" s="2">
        <f>IF(O$1&lt;Automakers!$D$23,NA(),IF($D$22&lt;=0,O21,IF(O$1=Automakers!$D$23,Automakers!$D$25,IF(O$1=Automakers!$D$27,Automakers!$D$29,IF(O$1=Automakers!$D$26,Automakers!$H$35,IF(O$1=2050,Automakers!$D$25*(1-Calculations!$D$11),NA()))))))</f>
        <v>301454.54545454541</v>
      </c>
      <c r="P26" s="2">
        <f>IF(P$1&lt;Automakers!$D$23,NA(),IF($D$22&lt;=0,P21,IF(P$1=Automakers!$D$23,Automakers!$D$25,IF(P$1=Automakers!$D$27,Automakers!$D$29,IF(P$1=Automakers!$D$26,Automakers!$H$35,IF(P$1=2050,Automakers!$D$25*(1-Calculations!$D$11),NA()))))))</f>
        <v>276636.36363636365</v>
      </c>
      <c r="Q26" s="2">
        <f>IF(Q$1&lt;Automakers!$D$23,NA(),IF($D$22&lt;=0,Q21,IF(Q$1=Automakers!$D$23,Automakers!$D$25,IF(Q$1=Automakers!$D$27,Automakers!$D$29,IF(Q$1=Automakers!$D$26,Automakers!$H$35,IF(Q$1=2050,Automakers!$D$25*(1-Calculations!$D$11),NA()))))))</f>
        <v>251818.18181818182</v>
      </c>
      <c r="R26" s="2">
        <f>IF(R$1&lt;Automakers!$D$23,NA(),IF($D$22&lt;=0,R21,IF(R$1=Automakers!$D$23,Automakers!$D$25,IF(R$1=Automakers!$D$27,Automakers!$D$29,IF(R$1=Automakers!$D$26,Automakers!$H$35,IF(R$1=2050,Automakers!$D$25*(1-Calculations!$D$11),NA()))))))</f>
        <v>226999.99999999997</v>
      </c>
      <c r="S26" s="2">
        <f>IF(S$1&lt;Automakers!$D$23,NA(),IF($D$22&lt;=0,S21,IF(S$1=Automakers!$D$23,Automakers!$D$25,IF(S$1=Automakers!$D$27,Automakers!$D$29,IF(S$1=Automakers!$D$26,Automakers!$H$35,IF(S$1=2050,Automakers!$D$25*(1-Calculations!$D$11),NA()))))))</f>
        <v>202181.81818181818</v>
      </c>
      <c r="T26" s="2">
        <f>IF(T$1&lt;Automakers!$D$23,NA(),IF($D$22&lt;=0,T21,IF(T$1=Automakers!$D$23,Automakers!$D$25,IF(T$1=Automakers!$D$27,Automakers!$D$29,IF(T$1=Automakers!$D$26,Automakers!$H$35,IF(T$1=2050,Automakers!$D$25*(1-Calculations!$D$11),NA()))))))</f>
        <v>177363.63636363632</v>
      </c>
      <c r="U26" s="2" t="e">
        <f>IF(U$1&lt;Automakers!$D$23,NA(),IF($D$22&lt;0,U21,IF(U$1=Automakers!$D$23,Automakers!$D$25,IF(U$1=Automakers!$D$27,Automakers!$D$29,IF(U$1=Automakers!$D$26,Automakers!$H$35,IF(U$1=2050,Automakers!$D$25*(1-Calculations!$D$11),NA()))))))</f>
        <v>#N/A</v>
      </c>
      <c r="V26" s="2" t="e">
        <f>IF(V$1&lt;Automakers!$D$23,NA(),IF($D$22&lt;0,V21,IF(V$1=Automakers!$D$23,Automakers!$D$25,IF(V$1=Automakers!$D$27,Automakers!$D$29,IF(V$1=Automakers!$D$26,Automakers!$H$35,IF(V$1=2050,Automakers!$D$25*(1-Calculations!$D$11),NA()))))))</f>
        <v>#N/A</v>
      </c>
      <c r="W26" s="2" t="e">
        <f>IF(W$1&lt;Automakers!$D$23,NA(),IF($D$22&lt;0,W21,IF(W$1=Automakers!$D$23,Automakers!$D$25,IF(W$1=Automakers!$D$27,Automakers!$D$29,IF(W$1=Automakers!$D$26,Automakers!$H$35,IF(W$1=2050,Automakers!$D$25*(1-Calculations!$D$11),NA()))))))</f>
        <v>#N/A</v>
      </c>
      <c r="X26" s="2" t="e">
        <f>IF(X$1&lt;Automakers!$D$23,NA(),IF($D$22&lt;0,X21,IF(X$1=Automakers!$D$23,Automakers!$D$25,IF(X$1=Automakers!$D$27,Automakers!$D$29,IF(X$1=Automakers!$D$26,Automakers!$H$35,IF(X$1=2050,Automakers!$D$25*(1-Calculations!$D$11),NA()))))))</f>
        <v>#N/A</v>
      </c>
      <c r="Y26" s="2" t="e">
        <f>IF(Y$1&lt;Automakers!$D$23,NA(),IF($D$22&lt;0,Y21,IF(Y$1=Automakers!$D$23,Automakers!$D$25,IF(Y$1=Automakers!$D$27,Automakers!$D$29,IF(Y$1=Automakers!$D$26,Automakers!$H$35,IF(Y$1=2050,Automakers!$D$25*(1-Calculations!$D$11),NA()))))))</f>
        <v>#N/A</v>
      </c>
      <c r="Z26" s="2" t="e">
        <f>IF(Z$1&lt;Automakers!$D$23,NA(),IF($D$22&lt;0,Z21,IF(Z$1=Automakers!$D$23,Automakers!$D$25,IF(Z$1=Automakers!$D$27,Automakers!$D$29,IF(Z$1=Automakers!$D$26,Automakers!$H$35,IF(Z$1=2050,Automakers!$D$25*(1-Calculations!$D$11),NA()))))))</f>
        <v>#N/A</v>
      </c>
      <c r="AA26" s="2" t="e">
        <f>IF(AA$1&lt;Automakers!$D$23,NA(),IF($D$22&lt;0,AA21,IF(AA$1=Automakers!$D$23,Automakers!$D$25,IF(AA$1=Automakers!$D$27,Automakers!$D$29,IF(AA$1=Automakers!$D$26,Automakers!$H$35,IF(AA$1=2050,Automakers!$D$25*(1-Calculations!$D$11),NA()))))))</f>
        <v>#N/A</v>
      </c>
      <c r="AB26" s="2" t="e">
        <f>IF(AB$1&lt;Automakers!$D$23,NA(),IF($D$22&lt;0,AB21,IF(AB$1=Automakers!$D$23,Automakers!$D$25,IF(AB$1=Automakers!$D$27,Automakers!$D$29,IF(AB$1=Automakers!$D$26,Automakers!$H$35,IF(AB$1=2050,Automakers!$D$25*(1-Calculations!$D$11),NA()))))))</f>
        <v>#N/A</v>
      </c>
      <c r="AC26" s="2" t="e">
        <f>IF(AC$1&lt;Automakers!$D$23,NA(),IF($D$22&lt;0,AC21,IF(AC$1=Automakers!$D$23,Automakers!$D$25,IF(AC$1=Automakers!$D$27,Automakers!$D$29,IF(AC$1=Automakers!$D$26,Automakers!$H$35,IF(AC$1=2050,Automakers!$D$25*(1-Calculations!$D$11),NA()))))))</f>
        <v>#N/A</v>
      </c>
      <c r="AD26" s="2" t="e">
        <f>IF(AD$1&lt;Automakers!$D$23,NA(),IF($D$22&lt;0,AD21,IF(AD$1=Automakers!$D$23,Automakers!$D$25,IF(AD$1=Automakers!$D$27,Automakers!$D$29,IF(AD$1=Automakers!$D$26,Automakers!$H$35,IF(AD$1=2050,Automakers!$D$25*(1-Calculations!$D$11),NA()))))))</f>
        <v>#N/A</v>
      </c>
      <c r="AE26" s="2" t="e">
        <f>IF(AE$1&lt;Automakers!$D$23,NA(),IF($D$22&lt;0,AE21,IF(AE$1=Automakers!$D$23,Automakers!$D$25,IF(AE$1=Automakers!$D$27,Automakers!$D$29,IF(AE$1=Automakers!$D$26,Automakers!$H$35,IF(AE$1=2050,Automakers!$D$25*(1-Calculations!$D$11),NA()))))))</f>
        <v>#N/A</v>
      </c>
      <c r="AF26" s="2" t="e">
        <f>IF(AF$1&lt;Automakers!$D$23,NA(),IF($D$22&lt;0,AF21,IF(AF$1=Automakers!$D$23,Automakers!$D$25,IF(AF$1=Automakers!$D$27,Automakers!$D$29,IF(AF$1=Automakers!$D$26,Automakers!$H$35,IF(AF$1=2050,Automakers!$D$25*(1-Calculations!$D$11),NA()))))))</f>
        <v>#N/A</v>
      </c>
      <c r="AG26" s="2" t="e">
        <f>IF(AG$1&lt;Automakers!$D$23,NA(),IF($D$22&lt;0,AG21,IF(AG$1=Automakers!$D$23,Automakers!$D$25,IF(AG$1=Automakers!$D$27,Automakers!$D$29,IF(AG$1=Automakers!$D$26,Automakers!$H$35,IF(AG$1=2050,Automakers!$D$25*(1-Calculations!$D$11),NA()))))))</f>
        <v>#N/A</v>
      </c>
      <c r="AH26" s="2" t="e">
        <f>IF(AH$1&lt;Automakers!$D$23,NA(),IF($D$22&lt;0,AH21,IF(AH$1=Automakers!$D$23,Automakers!$D$25,IF(AH$1=Automakers!$D$27,Automakers!$D$29,IF(AH$1=Automakers!$D$26,Automakers!$H$35,IF(AH$1=2050,Automakers!$D$25*(1-Calculations!$D$11),NA()))))))</f>
        <v>#N/A</v>
      </c>
      <c r="AI26" s="2">
        <f>IF(AI$1&lt;Automakers!$D$23,NA(),IF($D$22&lt;0,AI21,IF(AI$1=Automakers!$D$23,Automakers!$D$25,IF(AI$1=Automakers!$D$27,Automakers!$D$29,IF(AI$1=Automakers!$D$26,Automakers!$H$35,IF(AI$1=2050,Automakers!$D$25*(1-Calculations!$D$11),NA()))))))</f>
        <v>49999.999999999985</v>
      </c>
    </row>
    <row r="27" spans="1:35" hidden="1" x14ac:dyDescent="0.15"/>
    <row r="28" spans="1:35" s="172" customFormat="1" ht="23" x14ac:dyDescent="0.25">
      <c r="A28" s="171" t="s">
        <v>374</v>
      </c>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row>
    <row r="29" spans="1:35" x14ac:dyDescent="0.15">
      <c r="A29" s="1" t="str">
        <f>"Sector: "&amp;Automakers!$D$73&amp;""</f>
        <v xml:space="preserve">Sector: </v>
      </c>
      <c r="E29"/>
      <c r="F29"/>
      <c r="G29"/>
      <c r="H29"/>
      <c r="I29"/>
      <c r="J29"/>
      <c r="K29"/>
      <c r="L29"/>
      <c r="M29"/>
      <c r="N29"/>
      <c r="O29"/>
      <c r="P29"/>
      <c r="Q29"/>
      <c r="R29"/>
      <c r="S29"/>
      <c r="T29"/>
      <c r="U29"/>
      <c r="V29"/>
      <c r="W29"/>
      <c r="X29"/>
      <c r="Y29"/>
      <c r="Z29"/>
      <c r="AA29"/>
      <c r="AB29"/>
      <c r="AC29"/>
      <c r="AD29"/>
      <c r="AE29"/>
      <c r="AF29"/>
      <c r="AG29"/>
      <c r="AH29"/>
      <c r="AI29"/>
    </row>
    <row r="30" spans="1:35" x14ac:dyDescent="0.15">
      <c r="A30" s="1" t="str">
        <f>"Region: "&amp;Automakers!D72&amp;""</f>
        <v xml:space="preserve">Region: </v>
      </c>
      <c r="C30" s="178"/>
      <c r="D30" s="178"/>
      <c r="E30"/>
      <c r="F30"/>
      <c r="G30"/>
      <c r="H30"/>
      <c r="I30"/>
      <c r="J30"/>
      <c r="K30"/>
      <c r="L30"/>
      <c r="M30"/>
      <c r="N30"/>
      <c r="O30"/>
      <c r="P30"/>
      <c r="Q30"/>
      <c r="R30"/>
      <c r="S30"/>
      <c r="T30"/>
      <c r="U30"/>
      <c r="V30"/>
      <c r="W30"/>
      <c r="X30"/>
      <c r="Y30"/>
      <c r="Z30"/>
      <c r="AA30"/>
      <c r="AB30"/>
      <c r="AC30"/>
      <c r="AD30"/>
      <c r="AE30"/>
      <c r="AF30"/>
      <c r="AG30"/>
      <c r="AH30"/>
      <c r="AI30"/>
    </row>
    <row r="31" spans="1:35" x14ac:dyDescent="0.15">
      <c r="A31" s="1"/>
      <c r="B31" t="s">
        <v>30</v>
      </c>
      <c r="E31" s="1"/>
      <c r="F31" s="1"/>
      <c r="G31" s="1">
        <f>IF(AND(G$1&gt;=Automakers!$D$74,G$1&lt;=2050),IF(G$1=Automakers!$D$74,Automakers!$D$74,G$1),NA())</f>
        <v>2022</v>
      </c>
      <c r="H31" s="1">
        <f>IF(AND(H$1&gt;=Automakers!$D$74,H$1&lt;=2050),IF(H$1=Automakers!$D$74,Automakers!$D$74,H$1),NA())</f>
        <v>2023</v>
      </c>
      <c r="I31" s="1">
        <f>IF(AND(I$1&gt;=Automakers!$D$74,I$1&lt;=2050),IF(I$1=Automakers!$D$74,Automakers!$D$74,I$1),NA())</f>
        <v>2024</v>
      </c>
      <c r="J31" s="1">
        <f>IF(AND(J$1&gt;=Automakers!$D$74,J$1&lt;=2050),IF(J$1=Automakers!$D$74,Automakers!$D$74,J$1),NA())</f>
        <v>2025</v>
      </c>
      <c r="K31" s="1">
        <f>IF(AND(K$1&gt;=Automakers!$D$74,K$1&lt;=2050),IF(K$1=Automakers!$D$74,Automakers!$D$74,K$1),NA())</f>
        <v>2026</v>
      </c>
      <c r="L31" s="1">
        <f>IF(AND(L$1&gt;=Automakers!$D$74,L$1&lt;=2050),IF(L$1=Automakers!$D$74,Automakers!$D$74,L$1),NA())</f>
        <v>2027</v>
      </c>
      <c r="M31" s="1">
        <f>IF(AND(M$1&gt;=Automakers!$D$74,M$1&lt;=2050),IF(M$1=Automakers!$D$74,Automakers!$D$74,M$1),NA())</f>
        <v>2028</v>
      </c>
      <c r="N31" s="1">
        <f>IF(AND(N$1&gt;=Automakers!$D$74,N$1&lt;=2050),IF(N$1=Automakers!$D$74,Automakers!$D$74,N$1),NA())</f>
        <v>2029</v>
      </c>
      <c r="O31" s="1">
        <f>IF(AND(O$1&gt;=Automakers!$D$74,O$1&lt;=2050),IF(O$1=Automakers!$D$74,Automakers!$D$74,O$1),NA())</f>
        <v>2030</v>
      </c>
      <c r="P31" s="1">
        <f>IF(AND(P$1&gt;=Automakers!$D$74,P$1&lt;=2050),IF(P$1=Automakers!$D$74,Automakers!$D$74,P$1),NA())</f>
        <v>2031</v>
      </c>
      <c r="Q31" s="1">
        <f>IF(AND(Q$1&gt;=Automakers!$D$74,Q$1&lt;=2050),IF(Q$1=Automakers!$D$74,Automakers!$D$74,Q$1),NA())</f>
        <v>2032</v>
      </c>
      <c r="R31" s="1">
        <f>IF(AND(R$1&gt;=Automakers!$D$74,R$1&lt;=2050),IF(R$1=Automakers!$D$74,Automakers!$D$74,R$1),NA())</f>
        <v>2033</v>
      </c>
      <c r="S31" s="1">
        <f>IF(AND(S$1&gt;=Automakers!$D$74,S$1&lt;=2050),IF(S$1=Automakers!$D$74,Automakers!$D$74,S$1),NA())</f>
        <v>2034</v>
      </c>
      <c r="T31" s="1">
        <f>IF(AND(T$1&gt;=Automakers!$D$74,T$1&lt;=2050),IF(T$1=Automakers!$D$74,Automakers!$D$74,T$1),NA())</f>
        <v>2035</v>
      </c>
      <c r="U31" s="1">
        <f>IF(AND(U$1&gt;=Automakers!$D$74,U$1&lt;=2050),IF(U$1=Automakers!$D$74,Automakers!$D$74,U$1),NA())</f>
        <v>2036</v>
      </c>
      <c r="V31" s="1">
        <f>IF(AND(V$1&gt;=Automakers!$D$74,V$1&lt;=2050),IF(V$1=Automakers!$D$74,Automakers!$D$74,V$1),NA())</f>
        <v>2037</v>
      </c>
      <c r="W31" s="1">
        <f>IF(AND(W$1&gt;=Automakers!$D$74,W$1&lt;=2050),IF(W$1=Automakers!$D$74,Automakers!$D$74,W$1),NA())</f>
        <v>2038</v>
      </c>
      <c r="X31" s="1">
        <f>IF(AND(X$1&gt;=Automakers!$D$74,X$1&lt;=2050),IF(X$1=Automakers!$D$74,Automakers!$D$74,X$1),NA())</f>
        <v>2039</v>
      </c>
      <c r="Y31" s="1">
        <f>IF(AND(Y$1&gt;=Automakers!$D$74,Y$1&lt;=2050),IF(Y$1=Automakers!$D$74,Automakers!$D$74,Y$1),NA())</f>
        <v>2040</v>
      </c>
      <c r="Z31" s="1">
        <f>IF(AND(Z$1&gt;=Automakers!$D$74,Z$1&lt;=2050),IF(Z$1=Automakers!$D$74,Automakers!$D$74,Z$1),NA())</f>
        <v>2041</v>
      </c>
      <c r="AA31" s="1">
        <f>IF(AND(AA$1&gt;=Automakers!$D$74,AA$1&lt;=2050),IF(AA$1=Automakers!$D$74,Automakers!$D$74,AA$1),NA())</f>
        <v>2042</v>
      </c>
      <c r="AB31" s="1">
        <f>IF(AND(AB$1&gt;=Automakers!$D$74,AB$1&lt;=2050),IF(AB$1=Automakers!$D$74,Automakers!$D$74,AB$1),NA())</f>
        <v>2043</v>
      </c>
      <c r="AC31" s="1">
        <f>IF(AND(AC$1&gt;=Automakers!$D$74,AC$1&lt;=2050),IF(AC$1=Automakers!$D$74,Automakers!$D$74,AC$1),NA())</f>
        <v>2044</v>
      </c>
      <c r="AD31" s="1">
        <f>IF(AND(AD$1&gt;=Automakers!$D$74,AD$1&lt;=2050),IF(AD$1=Automakers!$D$74,Automakers!$D$74,AD$1),NA())</f>
        <v>2045</v>
      </c>
      <c r="AE31" s="1">
        <f>IF(AND(AE$1&gt;=Automakers!$D$74,AE$1&lt;=2050),IF(AE$1=Automakers!$D$74,Automakers!$D$74,AE$1),NA())</f>
        <v>2046</v>
      </c>
      <c r="AF31" s="1">
        <f>IF(AND(AF$1&gt;=Automakers!$D$74,AF$1&lt;=2050),IF(AF$1=Automakers!$D$74,Automakers!$D$74,AF$1),NA())</f>
        <v>2047</v>
      </c>
      <c r="AG31" s="1">
        <f>IF(AND(AG$1&gt;=Automakers!$D$74,AG$1&lt;=2050),IF(AG$1=Automakers!$D$74,Automakers!$D$74,AG$1),NA())</f>
        <v>2048</v>
      </c>
      <c r="AH31" s="1">
        <f>IF(AND(AH$1&gt;=Automakers!$D$74,AH$1&lt;=2050),IF(AH$1=Automakers!$D$74,Automakers!$D$74,AH$1),NA())</f>
        <v>2049</v>
      </c>
      <c r="AI31" s="1">
        <f>IF(AND(AI$1&gt;=Automakers!$D$74,AI$1&lt;=2050),IF(AI$1=Automakers!$D$74,Automakers!$D$74,AI$1),NA())</f>
        <v>2050</v>
      </c>
    </row>
    <row r="32" spans="1:35" x14ac:dyDescent="0.15">
      <c r="A32" s="1"/>
      <c r="E32"/>
      <c r="F32"/>
      <c r="G32"/>
      <c r="H32"/>
      <c r="I32"/>
      <c r="J32"/>
      <c r="K32"/>
      <c r="L32"/>
      <c r="M32"/>
      <c r="N32"/>
      <c r="O32"/>
      <c r="P32"/>
      <c r="Q32"/>
      <c r="R32"/>
      <c r="S32"/>
      <c r="T32"/>
      <c r="U32"/>
      <c r="V32"/>
      <c r="W32"/>
      <c r="X32"/>
      <c r="Y32"/>
      <c r="Z32"/>
      <c r="AA32"/>
      <c r="AB32"/>
      <c r="AC32"/>
      <c r="AD32"/>
      <c r="AE32"/>
      <c r="AF32"/>
      <c r="AG32"/>
      <c r="AH32"/>
      <c r="AI32"/>
    </row>
    <row r="33" spans="1:35" x14ac:dyDescent="0.15">
      <c r="A33" s="1" t="s">
        <v>439</v>
      </c>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row>
    <row r="34" spans="1:35" x14ac:dyDescent="0.15">
      <c r="A34" t="s">
        <v>443</v>
      </c>
      <c r="B34" t="s">
        <v>440</v>
      </c>
      <c r="C34" t="s">
        <v>262</v>
      </c>
      <c r="D34" s="180" t="s">
        <v>304</v>
      </c>
      <c r="E34" s="1"/>
      <c r="F34" s="1"/>
      <c r="G34" s="179" t="e" cm="1">
        <f t="array" ref="G34">INDEX(Database!T$2:AX$122,MATCH($A$34&amp;Automakers!$D$72&amp;Automakers!$D$73,Database!$A2:$A122&amp;Database!$C2:$C122&amp;Database!$G2:$G122,0),1)</f>
        <v>#N/A</v>
      </c>
      <c r="H34" s="179" t="e" cm="1">
        <f t="array" ref="H34">INDEX(Database!U$2:AY$122,MATCH($A$34&amp;Automakers!$D$72&amp;Automakers!$D$73,Database!$A2:$A122&amp;Database!$C2:$C122&amp;Database!$G2:$G122,0),1)</f>
        <v>#N/A</v>
      </c>
      <c r="I34" s="179" t="e" cm="1">
        <f t="array" ref="I34">INDEX(Database!V$2:AZ$122,MATCH($A$34&amp;Automakers!$D$72&amp;Automakers!$D$73,Database!$A2:$A122&amp;Database!$C2:$C122&amp;Database!$G2:$G122,0),1)</f>
        <v>#N/A</v>
      </c>
      <c r="J34" s="179" t="e" cm="1">
        <f t="array" ref="J34">INDEX(Database!W$2:BA$122,MATCH($A$34&amp;Automakers!$D$72&amp;Automakers!$D$73,Database!$A2:$A122&amp;Database!$C2:$C122&amp;Database!$G2:$G122,0),1)</f>
        <v>#N/A</v>
      </c>
      <c r="K34" s="179" t="e" cm="1">
        <f t="array" ref="K34">INDEX(Database!X$2:BB$122,MATCH($A$34&amp;Automakers!$D$72&amp;Automakers!$D$73,Database!$A2:$A122&amp;Database!$C2:$C122&amp;Database!$G2:$G122,0),1)</f>
        <v>#N/A</v>
      </c>
      <c r="L34" s="179" t="e" cm="1">
        <f t="array" ref="L34">INDEX(Database!Y$2:BC$122,MATCH($A$34&amp;Automakers!$D$72&amp;Automakers!$D$73,Database!$A2:$A122&amp;Database!$C2:$C122&amp;Database!$G2:$G122,0),1)</f>
        <v>#N/A</v>
      </c>
      <c r="M34" s="179" t="e" cm="1">
        <f t="array" ref="M34">INDEX(Database!Z$2:BD$122,MATCH($A$34&amp;Automakers!$D$72&amp;Automakers!$D$73,Database!$A2:$A122&amp;Database!$C2:$C122&amp;Database!$G2:$G122,0),1)</f>
        <v>#N/A</v>
      </c>
      <c r="N34" s="179" t="e" cm="1">
        <f t="array" ref="N34">INDEX(Database!AA$2:BE$122,MATCH($A$34&amp;Automakers!$D$72&amp;Automakers!$D$73,Database!$A2:$A122&amp;Database!$C2:$C122&amp;Database!$G2:$G122,0),1)</f>
        <v>#N/A</v>
      </c>
      <c r="O34" s="179" t="e" cm="1">
        <f t="array" ref="O34">INDEX(Database!AB$2:BF$122,MATCH($A$34&amp;Automakers!$D$72&amp;Automakers!$D$73,Database!$A2:$A122&amp;Database!$C2:$C122&amp;Database!$G2:$G122,0),1)</f>
        <v>#N/A</v>
      </c>
      <c r="P34" s="179" t="e" cm="1">
        <f t="array" ref="P34">INDEX(Database!AC$2:BG$122,MATCH($A$34&amp;Automakers!$D$72&amp;Automakers!$D$73,Database!$A2:$A122&amp;Database!$C2:$C122&amp;Database!$G2:$G122,0),1)</f>
        <v>#N/A</v>
      </c>
      <c r="Q34" s="179" t="e" cm="1">
        <f t="array" ref="Q34">INDEX(Database!AD$2:BH$122,MATCH($A$34&amp;Automakers!$D$72&amp;Automakers!$D$73,Database!$A2:$A122&amp;Database!$C2:$C122&amp;Database!$G2:$G122,0),1)</f>
        <v>#N/A</v>
      </c>
      <c r="R34" s="179" t="e" cm="1">
        <f t="array" ref="R34">INDEX(Database!AE$2:BI$122,MATCH($A$34&amp;Automakers!$D$72&amp;Automakers!$D$73,Database!$A2:$A122&amp;Database!$C2:$C122&amp;Database!$G2:$G122,0),1)</f>
        <v>#N/A</v>
      </c>
      <c r="S34" s="179" t="e" cm="1">
        <f t="array" ref="S34">INDEX(Database!AF$2:BJ$122,MATCH($A$34&amp;Automakers!$D$72&amp;Automakers!$D$73,Database!$A2:$A122&amp;Database!$C2:$C122&amp;Database!$G2:$G122,0),1)</f>
        <v>#N/A</v>
      </c>
      <c r="T34" s="179" t="e" cm="1">
        <f t="array" ref="T34">INDEX(Database!AG$2:BK$122,MATCH($A$34&amp;Automakers!$D$72&amp;Automakers!$D$73,Database!$A2:$A122&amp;Database!$C2:$C122&amp;Database!$G2:$G122,0),1)</f>
        <v>#N/A</v>
      </c>
      <c r="U34" s="179" t="e" cm="1">
        <f t="array" ref="U34">INDEX(Database!AH$2:BL$122,MATCH($A$34&amp;Automakers!$D$72&amp;Automakers!$D$73,Database!$A2:$A122&amp;Database!$C2:$C122&amp;Database!$G2:$G122,0),1)</f>
        <v>#N/A</v>
      </c>
      <c r="V34" s="179" t="e" cm="1">
        <f t="array" ref="V34">INDEX(Database!AI$2:BM$122,MATCH($A$34&amp;Automakers!$D$72&amp;Automakers!$D$73,Database!$A2:$A122&amp;Database!$C2:$C122&amp;Database!$G2:$G122,0),1)</f>
        <v>#N/A</v>
      </c>
      <c r="W34" s="179" t="e" cm="1">
        <f t="array" ref="W34">INDEX(Database!AJ$2:BN$122,MATCH($A$34&amp;Automakers!$D$72&amp;Automakers!$D$73,Database!$A2:$A122&amp;Database!$C2:$C122&amp;Database!$G2:$G122,0),1)</f>
        <v>#N/A</v>
      </c>
      <c r="X34" s="179" t="e" cm="1">
        <f t="array" ref="X34">INDEX(Database!AK$2:BO$122,MATCH($A$34&amp;Automakers!$D$72&amp;Automakers!$D$73,Database!$A2:$A122&amp;Database!$C2:$C122&amp;Database!$G2:$G122,0),1)</f>
        <v>#N/A</v>
      </c>
      <c r="Y34" s="179" t="e" cm="1">
        <f t="array" ref="Y34">INDEX(Database!AL$2:BP$122,MATCH($A$34&amp;Automakers!$D$72&amp;Automakers!$D$73,Database!$A2:$A122&amp;Database!$C2:$C122&amp;Database!$G2:$G122,0),1)</f>
        <v>#N/A</v>
      </c>
      <c r="Z34" s="179" t="e" cm="1">
        <f t="array" ref="Z34">INDEX(Database!AM$2:BQ$122,MATCH($A$34&amp;Automakers!$D$72&amp;Automakers!$D$73,Database!$A2:$A122&amp;Database!$C2:$C122&amp;Database!$G2:$G122,0),1)</f>
        <v>#N/A</v>
      </c>
      <c r="AA34" s="179" t="e" cm="1">
        <f t="array" ref="AA34">INDEX(Database!AN$2:BR$122,MATCH($A$34&amp;Automakers!$D$72&amp;Automakers!$D$73,Database!$A2:$A122&amp;Database!$C2:$C122&amp;Database!$G2:$G122,0),1)</f>
        <v>#N/A</v>
      </c>
      <c r="AB34" s="179" t="e" cm="1">
        <f t="array" ref="AB34">INDEX(Database!AO$2:BS$122,MATCH($A$34&amp;Automakers!$D$72&amp;Automakers!$D$73,Database!$A2:$A122&amp;Database!$C2:$C122&amp;Database!$G2:$G122,0),1)</f>
        <v>#N/A</v>
      </c>
      <c r="AC34" s="179" t="e" cm="1">
        <f t="array" ref="AC34">INDEX(Database!AP$2:BT$122,MATCH($A$34&amp;Automakers!$D$72&amp;Automakers!$D$73,Database!$A2:$A122&amp;Database!$C2:$C122&amp;Database!$G2:$G122,0),1)</f>
        <v>#N/A</v>
      </c>
      <c r="AD34" s="179" t="e" cm="1">
        <f t="array" ref="AD34">INDEX(Database!AQ$2:BU$122,MATCH($A$34&amp;Automakers!$D$72&amp;Automakers!$D$73,Database!$A2:$A122&amp;Database!$C2:$C122&amp;Database!$G2:$G122,0),1)</f>
        <v>#N/A</v>
      </c>
      <c r="AE34" s="179" t="e" cm="1">
        <f t="array" ref="AE34">INDEX(Database!AR$2:BV$122,MATCH($A$34&amp;Automakers!$D$72&amp;Automakers!$D$73,Database!$A2:$A122&amp;Database!$C2:$C122&amp;Database!$G2:$G122,0),1)</f>
        <v>#N/A</v>
      </c>
      <c r="AF34" s="179" t="e" cm="1">
        <f t="array" ref="AF34">INDEX(Database!AS$2:BW$122,MATCH($A$34&amp;Automakers!$D$72&amp;Automakers!$D$73,Database!$A2:$A122&amp;Database!$C2:$C122&amp;Database!$G2:$G122,0),1)</f>
        <v>#N/A</v>
      </c>
      <c r="AG34" s="179" t="e" cm="1">
        <f t="array" ref="AG34">INDEX(Database!AT$2:BX$122,MATCH($A$34&amp;Automakers!$D$72&amp;Automakers!$D$73,Database!$A2:$A122&amp;Database!$C2:$C122&amp;Database!$G2:$G122,0),1)</f>
        <v>#N/A</v>
      </c>
      <c r="AH34" s="179" t="e" cm="1">
        <f t="array" ref="AH34">INDEX(Database!AU$2:BY$122,MATCH($A$34&amp;Automakers!$D$72&amp;Automakers!$D$73,Database!$A2:$A122&amp;Database!$C2:$C122&amp;Database!$G2:$G122,0),1)</f>
        <v>#N/A</v>
      </c>
      <c r="AI34" s="179" t="e" cm="1">
        <f t="array" ref="AI34">INDEX(Database!AV$2:BZ$122,MATCH($A$34&amp;Automakers!$D$72&amp;Automakers!$D$73,Database!$A2:$A122&amp;Database!$C2:$C122&amp;Database!$G2:$G122,0),1)</f>
        <v>#N/A</v>
      </c>
    </row>
    <row r="35" spans="1:35" x14ac:dyDescent="0.15">
      <c r="A35" t="s">
        <v>276</v>
      </c>
      <c r="B35" t="s">
        <v>277</v>
      </c>
      <c r="C35" t="s">
        <v>262</v>
      </c>
      <c r="D35" s="181" t="e">
        <f>HLOOKUP(Automakers!$D$74,G1:AI44,ROW(A34))</f>
        <v>#N/A</v>
      </c>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row>
    <row r="36" spans="1:35" x14ac:dyDescent="0.15">
      <c r="A36" s="97" t="s">
        <v>270</v>
      </c>
      <c r="B36" t="str">
        <f>IF(ISTEXT(Automakers!$D$73)=TRUE,IF(Automakers!D73=Lists!$B$2,"Passenger cars | Use-phase emissions intensity, in base year",IF(Automakers!$D$73=Lists!$B$3,"LCVs | Use-phase emissions intensity, in base year","select a LDV category")),"select a LDV category")</f>
        <v>select a LDV category</v>
      </c>
      <c r="C36" t="s">
        <v>262</v>
      </c>
      <c r="D36" s="181" t="e">
        <f>IF(Automakers!D76&gt;0,Automakers!D76,NA())</f>
        <v>#N/A</v>
      </c>
      <c r="E36" s="179"/>
      <c r="F36" s="179"/>
      <c r="G36" s="179"/>
      <c r="H36" s="179" t="str">
        <f>IF(H$1&gt;=Automakers!$D$23,IFERROR(#REF!*1000000/H$34,""),NA())</f>
        <v/>
      </c>
      <c r="I36" s="179" t="str">
        <f>IF(I$1&gt;=Automakers!$D$23,IFERROR(#REF!*1000000/I$34,""),NA())</f>
        <v/>
      </c>
      <c r="J36" s="179" t="str">
        <f>IF(J$1&gt;=Automakers!$D$23,IFERROR(#REF!*1000000/J$34,""),NA())</f>
        <v/>
      </c>
      <c r="K36" s="179" t="str">
        <f>IF(K$1&gt;=Automakers!$D$23,IFERROR(#REF!*1000000/K$34,""),NA())</f>
        <v/>
      </c>
      <c r="L36" s="179" t="str">
        <f>IF(L$1&gt;=Automakers!$D$23,IFERROR(#REF!*1000000/L$34,""),NA())</f>
        <v/>
      </c>
      <c r="M36" s="179" t="str">
        <f>IF(M$1&gt;=Automakers!$D$23,IFERROR(#REF!*1000000/M$34,""),NA())</f>
        <v/>
      </c>
      <c r="N36" s="179" t="str">
        <f>IF(N$1&gt;=Automakers!$D$23,IFERROR(#REF!*1000000/N$34,""),NA())</f>
        <v/>
      </c>
      <c r="O36" s="179" t="str">
        <f>IF(O$1&gt;=Automakers!$D$23,IFERROR(#REF!*1000000/O$34,""),NA())</f>
        <v/>
      </c>
      <c r="P36" s="179" t="str">
        <f>IF(P$1&gt;=Automakers!$D$23,IFERROR(#REF!*1000000/P$34,""),NA())</f>
        <v/>
      </c>
      <c r="Q36" s="179" t="str">
        <f>IF(Q$1&gt;=Automakers!$D$23,IFERROR(#REF!*1000000/Q$34,""),NA())</f>
        <v/>
      </c>
      <c r="R36" s="179" t="str">
        <f>IF(R$1&gt;=Automakers!$D$23,IFERROR(#REF!*1000000/R$34,""),NA())</f>
        <v/>
      </c>
      <c r="S36" s="179" t="str">
        <f>IF(S$1&gt;=Automakers!$D$23,IFERROR(#REF!*1000000/S$34,""),NA())</f>
        <v/>
      </c>
      <c r="T36" s="179" t="str">
        <f>IF(T$1&gt;=Automakers!$D$23,IFERROR(#REF!*1000000/T$34,""),NA())</f>
        <v/>
      </c>
      <c r="U36" s="179" t="str">
        <f>IF(U$1&gt;=Automakers!$D$23,IFERROR(#REF!*1000000/U$34,""),NA())</f>
        <v/>
      </c>
      <c r="V36" s="179" t="str">
        <f>IF(V$1&gt;=Automakers!$D$23,IFERROR(#REF!*1000000/V$34,""),NA())</f>
        <v/>
      </c>
      <c r="W36" s="179" t="str">
        <f>IF(W$1&gt;=Automakers!$D$23,IFERROR(#REF!*1000000/W$34,""),NA())</f>
        <v/>
      </c>
      <c r="X36" s="179" t="str">
        <f>IF(X$1&gt;=Automakers!$D$23,IFERROR(#REF!*1000000/X$34,""),NA())</f>
        <v/>
      </c>
      <c r="Y36" s="179" t="str">
        <f>IF(Y$1&gt;=Automakers!$D$23,IFERROR(#REF!*1000000/Y$34,""),NA())</f>
        <v/>
      </c>
      <c r="Z36" s="179" t="str">
        <f>IF(Z$1&gt;=Automakers!$D$23,IFERROR(#REF!*1000000/Z$34,""),NA())</f>
        <v/>
      </c>
      <c r="AA36" s="179" t="str">
        <f>IF(AA$1&gt;=Automakers!$D$23,IFERROR(#REF!*1000000/AA$34,""),NA())</f>
        <v/>
      </c>
      <c r="AB36" s="179" t="str">
        <f>IF(AB$1&gt;=Automakers!$D$23,IFERROR(#REF!*1000000/AB$34,""),NA())</f>
        <v/>
      </c>
      <c r="AC36" s="179" t="str">
        <f>IF(AC$1&gt;=Automakers!$D$23,IFERROR(#REF!*1000000/AC$34,""),NA())</f>
        <v/>
      </c>
      <c r="AD36" s="179" t="str">
        <f>IF(AD$1&gt;=Automakers!$D$23,IFERROR(#REF!*1000000/AD$34,""),NA())</f>
        <v/>
      </c>
      <c r="AE36" s="179" t="str">
        <f>IF(AE$1&gt;=Automakers!$D$23,IFERROR(#REF!*1000000/AE$34,""),NA())</f>
        <v/>
      </c>
      <c r="AF36" s="179" t="str">
        <f>IF(AF$1&gt;=Automakers!$D$23,IFERROR(#REF!*1000000/AF$34,""),NA())</f>
        <v/>
      </c>
      <c r="AG36" s="179" t="str">
        <f>IF(AG$1&gt;=Automakers!$D$23,IFERROR(#REF!*1000000/AG$34,""),NA())</f>
        <v/>
      </c>
      <c r="AH36" s="179" t="str">
        <f>IF(AH$1&gt;=Automakers!$D$23,IFERROR(#REF!*1000000/AH$34,""),NA())</f>
        <v/>
      </c>
      <c r="AI36" s="179" t="str">
        <f>IF(AI$1&gt;=Automakers!$D$23,IFERROR(#REF!*1000000/AI$34,""),NA())</f>
        <v/>
      </c>
    </row>
    <row r="37" spans="1:35" x14ac:dyDescent="0.15">
      <c r="A37" t="s">
        <v>271</v>
      </c>
      <c r="B37" t="str">
        <f>IF(ISTEXT(Automakers!$D$73)=TRUE,IF(Automakers!D73=Lists!$B$2,"Passenger cars | Use-phase emissions intensity, in year y",IF(Automakers!$D$73=Lists!$B$3,"LCVs | Use-phase emissions intensity, in year y","select a LDV category")),"select a LDV category")</f>
        <v>select a LDV category</v>
      </c>
      <c r="C37" t="s">
        <v>262</v>
      </c>
      <c r="D37" s="180"/>
      <c r="E37" s="179"/>
      <c r="F37" s="179"/>
      <c r="G37" s="179" t="e">
        <f>IF(G31=Automakers!$D$74,Automakers!$D$76,IF(AND(G31&gt;Automakers!$D$74,G31&lt;2050),($D$36-$AI$34)*((G34-$AI$34)/($D$35-$AI$34))+$AI$34,G34))</f>
        <v>#N/A</v>
      </c>
      <c r="H37" s="179" t="e">
        <f>IF(H31=Automakers!$D$74,Automakers!$D$76,IF(AND(H31&gt;Automakers!$D$74,H31&lt;2050),($D$36-$AI$34)*((H34-$AI$34)/($D$35-$AI$34))+$AI$34,H34))</f>
        <v>#N/A</v>
      </c>
      <c r="I37" s="179" t="e">
        <f>IF(I31=Automakers!$D$74,Automakers!$D$76,IF(AND(I31&gt;Automakers!$D$74,I31&lt;2050),($D$36-$AI$34)*((I34-$AI$34)/($D$35-$AI$34))+$AI$34,I34))</f>
        <v>#N/A</v>
      </c>
      <c r="J37" s="179" t="e">
        <f>IF(J31=Automakers!$D$74,Automakers!$D$76,IF(AND(J31&gt;Automakers!$D$74,J31&lt;2050),($D$36-$AI$34)*((J34-$AI$34)/($D$35-$AI$34))+$AI$34,J34))</f>
        <v>#N/A</v>
      </c>
      <c r="K37" s="179" t="e">
        <f>IF(K31=Automakers!$D$74,Automakers!$D$76,IF(AND(K31&gt;Automakers!$D$74,K31&lt;2050),($D$36-$AI$34)*((K34-$AI$34)/($D$35-$AI$34))+$AI$34,K34))</f>
        <v>#N/A</v>
      </c>
      <c r="L37" s="179" t="e">
        <f>IF(L31=Automakers!$D$74,Automakers!$D$76,IF(AND(L31&gt;Automakers!$D$74,L31&lt;2050),($D$36-$AI$34)*((L34-$AI$34)/($D$35-$AI$34))+$AI$34,L34))</f>
        <v>#N/A</v>
      </c>
      <c r="M37" s="179" t="e">
        <f>IF(M31=Automakers!$D$74,Automakers!$D$76,IF(AND(M31&gt;Automakers!$D$74,M31&lt;2050),($D$36-$AI$34)*((M34-$AI$34)/($D$35-$AI$34))+$AI$34,M34))</f>
        <v>#N/A</v>
      </c>
      <c r="N37" s="179" t="e">
        <f>IF(N31=Automakers!$D$74,Automakers!$D$76,IF(AND(N31&gt;Automakers!$D$74,N31&lt;2050),($D$36-$AI$34)*((N34-$AI$34)/($D$35-$AI$34))+$AI$34,N34))</f>
        <v>#N/A</v>
      </c>
      <c r="O37" s="179" t="e">
        <f>IF(O31=Automakers!$D$74,Automakers!$D$76,IF(AND(O31&gt;Automakers!$D$74,O31&lt;2050),($D$36-$AI$34)*((O34-$AI$34)/($D$35-$AI$34))+$AI$34,O34))</f>
        <v>#N/A</v>
      </c>
      <c r="P37" s="179" t="e">
        <f>IF(P31=Automakers!$D$74,Automakers!$D$76,IF(AND(P31&gt;Automakers!$D$74,P31&lt;2050),($D$36-$AI$34)*((P34-$AI$34)/($D$35-$AI$34))+$AI$34,P34))</f>
        <v>#N/A</v>
      </c>
      <c r="Q37" s="179" t="e">
        <f>IF(Q31=Automakers!$D$74,Automakers!$D$76,IF(AND(Q31&gt;Automakers!$D$74,Q31&lt;2050),($D$36-$AI$34)*((Q34-$AI$34)/($D$35-$AI$34))+$AI$34,Q34))</f>
        <v>#N/A</v>
      </c>
      <c r="R37" s="179" t="e">
        <f>IF(R31=Automakers!$D$74,Automakers!$D$76,IF(AND(R31&gt;Automakers!$D$74,R31&lt;2050),($D$36-$AI$34)*((R34-$AI$34)/($D$35-$AI$34))+$AI$34,R34))</f>
        <v>#N/A</v>
      </c>
      <c r="S37" s="179" t="e">
        <f>IF(S31=Automakers!$D$74,Automakers!$D$76,IF(AND(S31&gt;Automakers!$D$74,S31&lt;2050),($D$36-$AI$34)*((S34-$AI$34)/($D$35-$AI$34))+$AI$34,S34))</f>
        <v>#N/A</v>
      </c>
      <c r="T37" s="179" t="e">
        <f>IF(T31=Automakers!$D$74,Automakers!$D$76,IF(AND(T31&gt;Automakers!$D$74,T31&lt;2050),($D$36-$AI$34)*((T34-$AI$34)/($D$35-$AI$34))+$AI$34,T34))</f>
        <v>#N/A</v>
      </c>
      <c r="U37" s="179" t="e">
        <f>IF(U31=Automakers!$D$74,Automakers!$D$76,IF(AND(U31&gt;Automakers!$D$74,U31&lt;2050),($D$36-$AI$34)*((U34-$AI$34)/($D$35-$AI$34))+$AI$34,U34))</f>
        <v>#N/A</v>
      </c>
      <c r="V37" s="179" t="e">
        <f>IF(V31=Automakers!$D$74,Automakers!$D$76,IF(AND(V31&gt;Automakers!$D$74,V31&lt;2050),($D$36-$AI$34)*((V34-$AI$34)/($D$35-$AI$34))+$AI$34,V34))</f>
        <v>#N/A</v>
      </c>
      <c r="W37" s="179" t="e">
        <f>IF(W31=Automakers!$D$74,Automakers!$D$76,IF(AND(W31&gt;Automakers!$D$74,W31&lt;2050),($D$36-$AI$34)*((W34-$AI$34)/($D$35-$AI$34))+$AI$34,W34))</f>
        <v>#N/A</v>
      </c>
      <c r="X37" s="179" t="e">
        <f>IF(X31=Automakers!$D$74,Automakers!$D$76,IF(AND(X31&gt;Automakers!$D$74,X31&lt;2050),($D$36-$AI$34)*((X34-$AI$34)/($D$35-$AI$34))+$AI$34,X34))</f>
        <v>#N/A</v>
      </c>
      <c r="Y37" s="179" t="e">
        <f>IF(Y31=Automakers!$D$74,Automakers!$D$76,IF(AND(Y31&gt;Automakers!$D$74,Y31&lt;2050),($D$36-$AI$34)*((Y34-$AI$34)/($D$35-$AI$34))+$AI$34,Y34))</f>
        <v>#N/A</v>
      </c>
      <c r="Z37" s="179" t="e">
        <f>IF(Z31=Automakers!$D$74,Automakers!$D$76,IF(AND(Z31&gt;Automakers!$D$74,Z31&lt;2050),($D$36-$AI$34)*((Z34-$AI$34)/($D$35-$AI$34))+$AI$34,Z34))</f>
        <v>#N/A</v>
      </c>
      <c r="AA37" s="179" t="e">
        <f>IF(AA31=Automakers!$D$74,Automakers!$D$76,IF(AND(AA31&gt;Automakers!$D$74,AA31&lt;2050),($D$36-$AI$34)*((AA34-$AI$34)/($D$35-$AI$34))+$AI$34,AA34))</f>
        <v>#N/A</v>
      </c>
      <c r="AB37" s="179" t="e">
        <f>IF(AB31=Automakers!$D$74,Automakers!$D$76,IF(AND(AB31&gt;Automakers!$D$74,AB31&lt;2050),($D$36-$AI$34)*((AB34-$AI$34)/($D$35-$AI$34))+$AI$34,AB34))</f>
        <v>#N/A</v>
      </c>
      <c r="AC37" s="179" t="e">
        <f>IF(AC31=Automakers!$D$74,Automakers!$D$76,IF(AND(AC31&gt;Automakers!$D$74,AC31&lt;2050),($D$36-$AI$34)*((AC34-$AI$34)/($D$35-$AI$34))+$AI$34,AC34))</f>
        <v>#N/A</v>
      </c>
      <c r="AD37" s="179" t="e">
        <f>IF(AD31=Automakers!$D$74,Automakers!$D$76,IF(AND(AD31&gt;Automakers!$D$74,AD31&lt;2050),($D$36-$AI$34)*((AD34-$AI$34)/($D$35-$AI$34))+$AI$34,AD34))</f>
        <v>#N/A</v>
      </c>
      <c r="AE37" s="179" t="e">
        <f>IF(AE31=Automakers!$D$74,Automakers!$D$76,IF(AND(AE31&gt;Automakers!$D$74,AE31&lt;2050),($D$36-$AI$34)*((AE34-$AI$34)/($D$35-$AI$34))+$AI$34,AE34))</f>
        <v>#N/A</v>
      </c>
      <c r="AF37" s="179" t="e">
        <f>IF(AF31=Automakers!$D$74,Automakers!$D$76,IF(AND(AF31&gt;Automakers!$D$74,AF31&lt;2050),($D$36-$AI$34)*((AF34-$AI$34)/($D$35-$AI$34))+$AI$34,AF34))</f>
        <v>#N/A</v>
      </c>
      <c r="AG37" s="179" t="e">
        <f>IF(AG31=Automakers!$D$74,Automakers!$D$76,IF(AND(AG31&gt;Automakers!$D$74,AG31&lt;2050),($D$36-$AI$34)*((AG34-$AI$34)/($D$35-$AI$34))+$AI$34,AG34))</f>
        <v>#N/A</v>
      </c>
      <c r="AH37" s="179" t="e">
        <f>IF(AH31=Automakers!$D$74,Automakers!$D$76,IF(AND(AH31&gt;Automakers!$D$74,AH31&lt;2050),($D$36-$AI$34)*((AH34-$AI$34)/($D$35-$AI$34))+$AI$34,AH34))</f>
        <v>#N/A</v>
      </c>
      <c r="AI37" s="179" t="e">
        <f>IF(AI31=Automakers!$D$74,Automakers!$D$76,IF(AND(AI31&gt;Automakers!$D$74,AI31&lt;2050),($D$36-$AI$34)*((AI34-$AI$34)/($D$35-$AI$34))+$AI$34,AI34))</f>
        <v>#N/A</v>
      </c>
    </row>
    <row r="38" spans="1:35" x14ac:dyDescent="0.15">
      <c r="B38" t="str">
        <f>IF(ISTEXT(Automakers!$D$73)=TRUE,IF(Automakers!D73=Lists!$B$2,"Passenger cars | Use-phase emissions intensity target",IF(Automakers!$D$73=Lists!$B$3,"LCVs | Use-phase emissions intensity target","select a LDV category")),"select a LDV category")</f>
        <v>select a LDV category</v>
      </c>
      <c r="C38" t="s">
        <v>262</v>
      </c>
      <c r="D38" s="181" t="e">
        <f>HLOOKUP(Automakers!$D$75,G1:AI44,ROW(A37))</f>
        <v>#N/A</v>
      </c>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row>
    <row r="39" spans="1:35" x14ac:dyDescent="0.15">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row>
    <row r="40" spans="1:35" x14ac:dyDescent="0.15">
      <c r="A40" s="1" t="s">
        <v>414</v>
      </c>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row>
    <row r="41" spans="1:35" x14ac:dyDescent="0.15">
      <c r="A41" t="s">
        <v>254</v>
      </c>
      <c r="B41" t="s">
        <v>273</v>
      </c>
      <c r="C41" t="s">
        <v>29</v>
      </c>
      <c r="D41" s="180" t="s">
        <v>304</v>
      </c>
      <c r="E41" s="1"/>
      <c r="F41" s="1"/>
      <c r="G41" s="179" t="e" cm="1">
        <f t="array" ref="G41">INDEX(Database!T$2:AX$122,MATCH($A$41&amp;Automakers!$D$72&amp;Automakers!$D$73,Database!$A2:$A122&amp;Database!$C2:$C122&amp;Database!$G2:$G122,0),1)</f>
        <v>#N/A</v>
      </c>
      <c r="H41" s="179" t="e" cm="1">
        <f t="array" ref="H41">INDEX(Database!U$2:AY$122,MATCH($A$41&amp;Automakers!$D$72&amp;Automakers!$D$73,Database!$A2:$A122&amp;Database!$C2:$C122&amp;Database!$G2:$G122,0),1)</f>
        <v>#N/A</v>
      </c>
      <c r="I41" s="179" t="e" cm="1">
        <f t="array" ref="I41">INDEX(Database!V$2:AZ$122,MATCH($A$41&amp;Automakers!$D$72&amp;Automakers!$D$73,Database!$A2:$A122&amp;Database!$C2:$C122&amp;Database!$G2:$G122,0),1)</f>
        <v>#N/A</v>
      </c>
      <c r="J41" s="179" t="e" cm="1">
        <f t="array" ref="J41">INDEX(Database!W$2:BA$122,MATCH($A$41&amp;Automakers!$D$72&amp;Automakers!$D$73,Database!$A2:$A122&amp;Database!$C2:$C122&amp;Database!$G2:$G122,0),1)</f>
        <v>#N/A</v>
      </c>
      <c r="K41" s="179" t="e" cm="1">
        <f t="array" ref="K41">INDEX(Database!X$2:BB$122,MATCH($A$41&amp;Automakers!$D$72&amp;Automakers!$D$73,Database!$A2:$A122&amp;Database!$C2:$C122&amp;Database!$G2:$G122,0),1)</f>
        <v>#N/A</v>
      </c>
      <c r="L41" s="179" t="e" cm="1">
        <f t="array" ref="L41">INDEX(Database!Y$2:BC$122,MATCH($A$41&amp;Automakers!$D$72&amp;Automakers!$D$73,Database!$A2:$A122&amp;Database!$C2:$C122&amp;Database!$G2:$G122,0),1)</f>
        <v>#N/A</v>
      </c>
      <c r="M41" s="179" t="e" cm="1">
        <f t="array" ref="M41">INDEX(Database!Z$2:BD$122,MATCH($A$41&amp;Automakers!$D$72&amp;Automakers!$D$73,Database!$A2:$A122&amp;Database!$C2:$C122&amp;Database!$G2:$G122,0),1)</f>
        <v>#N/A</v>
      </c>
      <c r="N41" s="179" t="e" cm="1">
        <f t="array" ref="N41">INDEX(Database!AA$2:BE$122,MATCH($A$41&amp;Automakers!$D$72&amp;Automakers!$D$73,Database!$A2:$A122&amp;Database!$C2:$C122&amp;Database!$G2:$G122,0),1)</f>
        <v>#N/A</v>
      </c>
      <c r="O41" s="179" t="e" cm="1">
        <f t="array" ref="O41">INDEX(Database!AB$2:BF$122,MATCH($A$41&amp;Automakers!$D$72&amp;Automakers!$D$73,Database!$A2:$A122&amp;Database!$C2:$C122&amp;Database!$G2:$G122,0),1)</f>
        <v>#N/A</v>
      </c>
      <c r="P41" s="179" t="e" cm="1">
        <f t="array" ref="P41">INDEX(Database!AC$2:BG$122,MATCH($A$41&amp;Automakers!$D$72&amp;Automakers!$D$73,Database!$A2:$A122&amp;Database!$C2:$C122&amp;Database!$G2:$G122,0),1)</f>
        <v>#N/A</v>
      </c>
      <c r="Q41" s="179" t="e" cm="1">
        <f t="array" ref="Q41">INDEX(Database!AD$2:BH$122,MATCH($A$41&amp;Automakers!$D$72&amp;Automakers!$D$73,Database!$A2:$A122&amp;Database!$C2:$C122&amp;Database!$G2:$G122,0),1)</f>
        <v>#N/A</v>
      </c>
      <c r="R41" s="179" t="e" cm="1">
        <f t="array" ref="R41">INDEX(Database!AE$2:BI$122,MATCH($A$41&amp;Automakers!$D$72&amp;Automakers!$D$73,Database!$A2:$A122&amp;Database!$C2:$C122&amp;Database!$G2:$G122,0),1)</f>
        <v>#N/A</v>
      </c>
      <c r="S41" s="179" t="e" cm="1">
        <f t="array" ref="S41">INDEX(Database!AF$2:BJ$122,MATCH($A$41&amp;Automakers!$D$72&amp;Automakers!$D$73,Database!$A2:$A122&amp;Database!$C2:$C122&amp;Database!$G2:$G122,0),1)</f>
        <v>#N/A</v>
      </c>
      <c r="T41" s="179" t="e" cm="1">
        <f t="array" ref="T41">INDEX(Database!AG$2:BK$122,MATCH($A$41&amp;Automakers!$D$72&amp;Automakers!$D$73,Database!$A2:$A122&amp;Database!$C2:$C122&amp;Database!$G2:$G122,0),1)</f>
        <v>#N/A</v>
      </c>
      <c r="U41" s="179" t="e" cm="1">
        <f t="array" ref="U41">INDEX(Database!AH$2:BL$122,MATCH($A$41&amp;Automakers!$D$72&amp;Automakers!$D$73,Database!$A2:$A122&amp;Database!$C2:$C122&amp;Database!$G2:$G122,0),1)</f>
        <v>#N/A</v>
      </c>
      <c r="V41" s="179" t="e" cm="1">
        <f t="array" ref="V41">INDEX(Database!AI$2:BM$122,MATCH($A$41&amp;Automakers!$D$72&amp;Automakers!$D$73,Database!$A2:$A122&amp;Database!$C2:$C122&amp;Database!$G2:$G122,0),1)</f>
        <v>#N/A</v>
      </c>
      <c r="W41" s="179" t="e" cm="1">
        <f t="array" ref="W41">INDEX(Database!AJ$2:BN$122,MATCH($A$41&amp;Automakers!$D$72&amp;Automakers!$D$73,Database!$A2:$A122&amp;Database!$C2:$C122&amp;Database!$G2:$G122,0),1)</f>
        <v>#N/A</v>
      </c>
      <c r="X41" s="179" t="e" cm="1">
        <f t="array" ref="X41">INDEX(Database!AK$2:BO$122,MATCH($A$41&amp;Automakers!$D$72&amp;Automakers!$D$73,Database!$A2:$A122&amp;Database!$C2:$C122&amp;Database!$G2:$G122,0),1)</f>
        <v>#N/A</v>
      </c>
      <c r="Y41" s="179" t="e" cm="1">
        <f t="array" ref="Y41">INDEX(Database!AL$2:BP$122,MATCH($A$41&amp;Automakers!$D$72&amp;Automakers!$D$73,Database!$A2:$A122&amp;Database!$C2:$C122&amp;Database!$G2:$G122,0),1)</f>
        <v>#N/A</v>
      </c>
      <c r="Z41" s="179" t="e" cm="1">
        <f t="array" ref="Z41">INDEX(Database!AM$2:BQ$122,MATCH($A$41&amp;Automakers!$D$72&amp;Automakers!$D$73,Database!$A2:$A122&amp;Database!$C2:$C122&amp;Database!$G2:$G122,0),1)</f>
        <v>#N/A</v>
      </c>
      <c r="AA41" s="179" t="e" cm="1">
        <f t="array" ref="AA41">INDEX(Database!AN$2:BR$122,MATCH($A$41&amp;Automakers!$D$72&amp;Automakers!$D$73,Database!$A2:$A122&amp;Database!$C2:$C122&amp;Database!$G2:$G122,0),1)</f>
        <v>#N/A</v>
      </c>
      <c r="AB41" s="179" t="e" cm="1">
        <f t="array" ref="AB41">INDEX(Database!AO$2:BS$122,MATCH($A$41&amp;Automakers!$D$72&amp;Automakers!$D$73,Database!$A2:$A122&amp;Database!$C2:$C122&amp;Database!$G2:$G122,0),1)</f>
        <v>#N/A</v>
      </c>
      <c r="AC41" s="179" t="e" cm="1">
        <f t="array" ref="AC41">INDEX(Database!AP$2:BT$122,MATCH($A$41&amp;Automakers!$D$72&amp;Automakers!$D$73,Database!$A2:$A122&amp;Database!$C2:$C122&amp;Database!$G2:$G122,0),1)</f>
        <v>#N/A</v>
      </c>
      <c r="AD41" s="179" t="e" cm="1">
        <f t="array" ref="AD41">INDEX(Database!AQ$2:BU$122,MATCH($A$41&amp;Automakers!$D$72&amp;Automakers!$D$73,Database!$A2:$A122&amp;Database!$C2:$C122&amp;Database!$G2:$G122,0),1)</f>
        <v>#N/A</v>
      </c>
      <c r="AE41" s="179" t="e" cm="1">
        <f t="array" ref="AE41">INDEX(Database!AR$2:BV$122,MATCH($A$41&amp;Automakers!$D$72&amp;Automakers!$D$73,Database!$A2:$A122&amp;Database!$C2:$C122&amp;Database!$G2:$G122,0),1)</f>
        <v>#N/A</v>
      </c>
      <c r="AF41" s="179" t="e" cm="1">
        <f t="array" ref="AF41">INDEX(Database!AS$2:BW$122,MATCH($A$41&amp;Automakers!$D$72&amp;Automakers!$D$73,Database!$A2:$A122&amp;Database!$C2:$C122&amp;Database!$G2:$G122,0),1)</f>
        <v>#N/A</v>
      </c>
      <c r="AG41" s="179" t="e" cm="1">
        <f t="array" ref="AG41">INDEX(Database!AT$2:BX$122,MATCH($A$41&amp;Automakers!$D$72&amp;Automakers!$D$73,Database!$A2:$A122&amp;Database!$C2:$C122&amp;Database!$G2:$G122,0),1)</f>
        <v>#N/A</v>
      </c>
      <c r="AH41" s="179" t="e" cm="1">
        <f t="array" ref="AH41">INDEX(Database!AU$2:BY$122,MATCH($A$41&amp;Automakers!$D$72&amp;Automakers!$D$73,Database!$A2:$A122&amp;Database!$C2:$C122&amp;Database!$G2:$G122,0),1)</f>
        <v>#N/A</v>
      </c>
      <c r="AI41" s="179" t="e" cm="1">
        <f t="array" ref="AI41">INDEX(Database!AV$2:BZ$122,MATCH($A$41&amp;Automakers!$D$72&amp;Automakers!$D$73,Database!$A2:$A122&amp;Database!$C2:$C122&amp;Database!$G2:$G122,0),1)</f>
        <v>#N/A</v>
      </c>
    </row>
    <row r="42" spans="1:35" x14ac:dyDescent="0.15">
      <c r="A42" t="s">
        <v>276</v>
      </c>
      <c r="B42" t="s">
        <v>277</v>
      </c>
      <c r="C42" t="s">
        <v>29</v>
      </c>
      <c r="D42" s="181" t="e">
        <f>HLOOKUP(Automakers!$D$74,G1:AI44,ROW(A41))</f>
        <v>#N/A</v>
      </c>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row>
    <row r="43" spans="1:35" x14ac:dyDescent="0.15">
      <c r="A43" s="97" t="s">
        <v>270</v>
      </c>
      <c r="B43" t="str">
        <f>IF(ISTEXT(Automakers!$D$73)=TRUE,IF(Automakers!D73=Lists!$B$2,"Passenger cars | ZEV sales share, in base year",IF(Automakers!$D$73=Lists!$B$3,"LCVs | ZEV sales share, in base year","select a LDV category")),"select a LDV category")</f>
        <v>select a LDV category</v>
      </c>
      <c r="C43" t="s">
        <v>29</v>
      </c>
      <c r="D43" s="181" t="e">
        <f>IF(Automakers!D77&gt;0,Automakers!D77,NA())</f>
        <v>#N/A</v>
      </c>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row>
    <row r="44" spans="1:35" x14ac:dyDescent="0.15">
      <c r="A44" t="s">
        <v>271</v>
      </c>
      <c r="B44" t="str">
        <f>IF(ISTEXT(Automakers!$D$73)=TRUE,IF(Automakers!D73=Lists!$B$2,"Passenger cars | ZEV sales share, in year y",IF(Automakers!$D$73=Lists!$B$3,"LCVs | ZEV sales share, in year y","select a LDV category")),"select a LDV category")</f>
        <v>select a LDV category</v>
      </c>
      <c r="C44" t="s">
        <v>29</v>
      </c>
      <c r="D44" s="180"/>
      <c r="E44" s="179"/>
      <c r="F44" s="179"/>
      <c r="G44" s="179" t="e">
        <f>IF(G31=Automakers!$D$74,Automakers!$D$77,IF(AND(G31&gt;Automakers!$D$74,G31&lt;2050),($D$43-$AI$41)*((G41-$AI$41)/($D$42-$AI$41))+$AI$41,G41))</f>
        <v>#N/A</v>
      </c>
      <c r="H44" s="179" t="e">
        <f>IF(H31=Automakers!$D$74,Automakers!$D$77,IF(AND(H31&gt;Automakers!$D$74,H31&lt;2050),($D$43-$AI$41)*((H41-$AI$41)/($D$42-$AI$41))+$AI$41,H41))</f>
        <v>#N/A</v>
      </c>
      <c r="I44" s="179" t="e">
        <f>IF(I31=Automakers!$D$74,Automakers!$D$77,IF(AND(I31&gt;Automakers!$D$74,I31&lt;2050),($D$43-$AI$41)*((I41-$AI$41)/($D$42-$AI$41))+$AI$41,I41))</f>
        <v>#N/A</v>
      </c>
      <c r="J44" s="179" t="e">
        <f>IF(J31=Automakers!$D$74,Automakers!$D$77,IF(AND(J31&gt;Automakers!$D$74,J31&lt;2050),($D$43-$AI$41)*((J41-$AI$41)/($D$42-$AI$41))+$AI$41,J41))</f>
        <v>#N/A</v>
      </c>
      <c r="K44" s="179" t="e">
        <f>IF(K31=Automakers!$D$74,Automakers!$D$77,IF(AND(K31&gt;Automakers!$D$74,K31&lt;2050),($D$43-$AI$41)*((K41-$AI$41)/($D$42-$AI$41))+$AI$41,K41))</f>
        <v>#N/A</v>
      </c>
      <c r="L44" s="179" t="e">
        <f>IF(L31=Automakers!$D$74,Automakers!$D$77,IF(AND(L31&gt;Automakers!$D$74,L31&lt;2050),($D$43-$AI$41)*((L41-$AI$41)/($D$42-$AI$41))+$AI$41,L41))</f>
        <v>#N/A</v>
      </c>
      <c r="M44" s="179" t="e">
        <f>IF(M31=Automakers!$D$74,Automakers!$D$77,IF(AND(M31&gt;Automakers!$D$74,M31&lt;2050),($D$43-$AI$41)*((M41-$AI$41)/($D$42-$AI$41))+$AI$41,M41))</f>
        <v>#N/A</v>
      </c>
      <c r="N44" s="179" t="e">
        <f>IF(N31=Automakers!$D$74,Automakers!$D$77,IF(AND(N31&gt;Automakers!$D$74,N31&lt;2050),($D$43-$AI$41)*((N41-$AI$41)/($D$42-$AI$41))+$AI$41,N41))</f>
        <v>#N/A</v>
      </c>
      <c r="O44" s="179" t="e">
        <f>IF(O31=Automakers!$D$74,Automakers!$D$77,IF(AND(O31&gt;Automakers!$D$74,O31&lt;2050),($D$43-$AI$41)*((O41-$AI$41)/($D$42-$AI$41))+$AI$41,O41))</f>
        <v>#N/A</v>
      </c>
      <c r="P44" s="179" t="e">
        <f>IF(P31=Automakers!$D$74,Automakers!$D$77,IF(AND(P31&gt;Automakers!$D$74,P31&lt;2050),($D$43-$AI$41)*((P41-$AI$41)/($D$42-$AI$41))+$AI$41,P41))</f>
        <v>#N/A</v>
      </c>
      <c r="Q44" s="179" t="e">
        <f>IF(Q31=Automakers!$D$74,Automakers!$D$77,IF(AND(Q31&gt;Automakers!$D$74,Q31&lt;2050),($D$43-$AI$41)*((Q41-$AI$41)/($D$42-$AI$41))+$AI$41,Q41))</f>
        <v>#N/A</v>
      </c>
      <c r="R44" s="179" t="e">
        <f>IF(R31=Automakers!$D$74,Automakers!$D$77,IF(AND(R31&gt;Automakers!$D$74,R31&lt;2050),($D$43-$AI$41)*((R41-$AI$41)/($D$42-$AI$41))+$AI$41,R41))</f>
        <v>#N/A</v>
      </c>
      <c r="S44" s="179" t="e">
        <f>IF(S31=Automakers!$D$74,Automakers!$D$77,IF(AND(S31&gt;Automakers!$D$74,S31&lt;2050),($D$43-$AI$41)*((S41-$AI$41)/($D$42-$AI$41))+$AI$41,S41))</f>
        <v>#N/A</v>
      </c>
      <c r="T44" s="179" t="e">
        <f>IF(T31=Automakers!$D$74,Automakers!$D$77,IF(AND(T31&gt;Automakers!$D$74,T31&lt;2050),($D$43-$AI$41)*((T41-$AI$41)/($D$42-$AI$41))+$AI$41,T41))</f>
        <v>#N/A</v>
      </c>
      <c r="U44" s="179" t="e">
        <f>IF(U31=Automakers!$D$74,Automakers!$D$77,IF(AND(U31&gt;Automakers!$D$74,U31&lt;2050),($D$43-$AI$41)*((U41-$AI$41)/($D$42-$AI$41))+$AI$41,U41))</f>
        <v>#N/A</v>
      </c>
      <c r="V44" s="179" t="e">
        <f>IF(V31=Automakers!$D$74,Automakers!$D$77,IF(AND(V31&gt;Automakers!$D$74,V31&lt;2050),($D$43-$AI$41)*((V41-$AI$41)/($D$42-$AI$41))+$AI$41,V41))</f>
        <v>#N/A</v>
      </c>
      <c r="W44" s="179" t="e">
        <f>IF(W31=Automakers!$D$74,Automakers!$D$77,IF(AND(W31&gt;Automakers!$D$74,W31&lt;2050),($D$43-$AI$41)*((W41-$AI$41)/($D$42-$AI$41))+$AI$41,W41))</f>
        <v>#N/A</v>
      </c>
      <c r="X44" s="179" t="e">
        <f>IF(X31=Automakers!$D$74,Automakers!$D$77,IF(AND(X31&gt;Automakers!$D$74,X31&lt;2050),($D$43-$AI$41)*((X41-$AI$41)/($D$42-$AI$41))+$AI$41,X41))</f>
        <v>#N/A</v>
      </c>
      <c r="Y44" s="179" t="e">
        <f>IF(Y31=Automakers!$D$74,Automakers!$D$77,IF(AND(Y31&gt;Automakers!$D$74,Y31&lt;2050),($D$43-$AI$41)*((Y41-$AI$41)/($D$42-$AI$41))+$AI$41,Y41))</f>
        <v>#N/A</v>
      </c>
      <c r="Z44" s="179" t="e">
        <f>IF(Z31=Automakers!$D$74,Automakers!$D$77,IF(AND(Z31&gt;Automakers!$D$74,Z31&lt;2050),($D$43-$AI$41)*((Z41-$AI$41)/($D$42-$AI$41))+$AI$41,Z41))</f>
        <v>#N/A</v>
      </c>
      <c r="AA44" s="179" t="e">
        <f>IF(AA31=Automakers!$D$74,Automakers!$D$77,IF(AND(AA31&gt;Automakers!$D$74,AA31&lt;2050),($D$43-$AI$41)*((AA41-$AI$41)/($D$42-$AI$41))+$AI$41,AA41))</f>
        <v>#N/A</v>
      </c>
      <c r="AB44" s="179" t="e">
        <f>IF(AB31=Automakers!$D$74,Automakers!$D$77,IF(AND(AB31&gt;Automakers!$D$74,AB31&lt;2050),($D$43-$AI$41)*((AB41-$AI$41)/($D$42-$AI$41))+$AI$41,AB41))</f>
        <v>#N/A</v>
      </c>
      <c r="AC44" s="179" t="e">
        <f>IF(AC31=Automakers!$D$74,Automakers!$D$77,IF(AND(AC31&gt;Automakers!$D$74,AC31&lt;2050),($D$43-$AI$41)*((AC41-$AI$41)/($D$42-$AI$41))+$AI$41,AC41))</f>
        <v>#N/A</v>
      </c>
      <c r="AD44" s="179" t="e">
        <f>IF(AD31=Automakers!$D$74,Automakers!$D$77,IF(AND(AD31&gt;Automakers!$D$74,AD31&lt;2050),($D$43-$AI$41)*((AD41-$AI$41)/($D$42-$AI$41))+$AI$41,AD41))</f>
        <v>#N/A</v>
      </c>
      <c r="AE44" s="179" t="e">
        <f>IF(AE31=Automakers!$D$74,Automakers!$D$77,IF(AND(AE31&gt;Automakers!$D$74,AE31&lt;2050),($D$43-$AI$41)*((AE41-$AI$41)/($D$42-$AI$41))+$AI$41,AE41))</f>
        <v>#N/A</v>
      </c>
      <c r="AF44" s="179" t="e">
        <f>IF(AF31=Automakers!$D$74,Automakers!$D$77,IF(AND(AF31&gt;Automakers!$D$74,AF31&lt;2050),($D$43-$AI$41)*((AF41-$AI$41)/($D$42-$AI$41))+$AI$41,AF41))</f>
        <v>#N/A</v>
      </c>
      <c r="AG44" s="179" t="e">
        <f>IF(AG31=Automakers!$D$74,Automakers!$D$77,IF(AND(AG31&gt;Automakers!$D$74,AG31&lt;2050),($D$43-$AI$41)*((AG41-$AI$41)/($D$42-$AI$41))+$AI$41,AG41))</f>
        <v>#N/A</v>
      </c>
      <c r="AH44" s="179" t="e">
        <f>IF(AH31=Automakers!$D$74,Automakers!$D$77,IF(AND(AH31&gt;Automakers!$D$74,AH31&lt;2050),($D$43-$AI$41)*((AH41-$AI$41)/($D$42-$AI$41))+$AI$41,AH41))</f>
        <v>#N/A</v>
      </c>
      <c r="AI44" s="179" t="e">
        <f>IF(AI31=Automakers!$D$74,Automakers!$D$77,IF(AND(AI31&gt;Automakers!$D$74,AI31&lt;2050),($D$43-$AI$41)*((AI41-$AI$41)/($D$42-$AI$41))+$AI$41,AI41))</f>
        <v>#N/A</v>
      </c>
    </row>
    <row r="45" spans="1:35" x14ac:dyDescent="0.15">
      <c r="B45" t="str">
        <f>IF(ISTEXT(Automakers!$D$73)=TRUE,IF(Automakers!D73=Lists!$B$2,"Passenger cars | ZEV sales share target",IF(Automakers!$D$73=Lists!$B$3,"LCVs | ZEV sales share target","select a LDV category")),"select a LDV category")</f>
        <v>select a LDV category</v>
      </c>
      <c r="C45" t="s">
        <v>29</v>
      </c>
      <c r="D45" s="182" t="e">
        <f>HLOOKUP(Automakers!$D$75,G1:AI44,ROW(A44))</f>
        <v>#N/A</v>
      </c>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row>
    <row r="46" spans="1:35" x14ac:dyDescent="0.15">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row>
    <row r="47" spans="1:35" s="172" customFormat="1" ht="23" x14ac:dyDescent="0.25">
      <c r="A47" s="171" t="s">
        <v>347</v>
      </c>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row>
    <row r="48" spans="1:35" x14ac:dyDescent="0.15">
      <c r="A48" s="1" t="str">
        <f>"Sector: "&amp;Automakers!$D$114&amp;""</f>
        <v xml:space="preserve">Sector: </v>
      </c>
      <c r="E48"/>
      <c r="F48"/>
      <c r="G48"/>
      <c r="H48"/>
      <c r="I48"/>
      <c r="J48"/>
      <c r="K48"/>
      <c r="L48"/>
      <c r="M48"/>
      <c r="N48"/>
      <c r="O48"/>
      <c r="P48"/>
      <c r="Q48"/>
      <c r="R48"/>
      <c r="S48"/>
      <c r="T48"/>
      <c r="U48"/>
      <c r="V48"/>
      <c r="W48"/>
      <c r="X48"/>
      <c r="Y48"/>
      <c r="Z48"/>
      <c r="AA48"/>
      <c r="AB48"/>
      <c r="AC48"/>
      <c r="AD48"/>
      <c r="AE48"/>
      <c r="AF48"/>
      <c r="AG48"/>
      <c r="AH48"/>
      <c r="AI48"/>
    </row>
    <row r="49" spans="1:35" x14ac:dyDescent="0.15">
      <c r="A49" s="1" t="str">
        <f>"Region: "&amp;Automakers!D113&amp;""</f>
        <v xml:space="preserve">Region: </v>
      </c>
      <c r="C49" s="178"/>
      <c r="D49" s="178"/>
      <c r="E49"/>
      <c r="F49"/>
      <c r="G49"/>
      <c r="H49"/>
      <c r="I49"/>
      <c r="J49"/>
      <c r="K49"/>
      <c r="L49"/>
      <c r="M49"/>
      <c r="N49"/>
      <c r="O49"/>
      <c r="P49"/>
      <c r="Q49"/>
      <c r="R49"/>
      <c r="S49"/>
      <c r="T49"/>
      <c r="U49"/>
      <c r="V49"/>
      <c r="W49"/>
      <c r="X49"/>
      <c r="Y49"/>
      <c r="Z49"/>
      <c r="AA49"/>
      <c r="AB49"/>
      <c r="AC49"/>
      <c r="AD49"/>
      <c r="AE49"/>
      <c r="AF49"/>
      <c r="AG49"/>
      <c r="AH49"/>
      <c r="AI49"/>
    </row>
    <row r="50" spans="1:35" x14ac:dyDescent="0.15">
      <c r="A50" s="1"/>
      <c r="B50" t="s">
        <v>30</v>
      </c>
      <c r="E50" s="1"/>
      <c r="F50" s="1"/>
      <c r="G50" s="1">
        <f>IF(AND(G$1&gt;=Automakers!$D$115,G$1&lt;=2050),IF(G$1=Automakers!$D$115,Automakers!$D$115,G$1),NA())</f>
        <v>2022</v>
      </c>
      <c r="H50" s="1">
        <f>IF(AND(H$1&gt;=Automakers!$D$115,H$1&lt;=2050),IF(H$1=Automakers!$D$115,Automakers!$D$115,H$1),NA())</f>
        <v>2023</v>
      </c>
      <c r="I50" s="1">
        <f>IF(AND(I$1&gt;=Automakers!$D$115,I$1&lt;=2050),IF(I$1=Automakers!$D$115,Automakers!$D$115,I$1),NA())</f>
        <v>2024</v>
      </c>
      <c r="J50" s="1">
        <f>IF(AND(J$1&gt;=Automakers!$D$115,J$1&lt;=2050),IF(J$1=Automakers!$D$115,Automakers!$D$115,J$1),NA())</f>
        <v>2025</v>
      </c>
      <c r="K50" s="1">
        <f>IF(AND(K$1&gt;=Automakers!$D$115,K$1&lt;=2050),IF(K$1=Automakers!$D$115,Automakers!$D$115,K$1),NA())</f>
        <v>2026</v>
      </c>
      <c r="L50" s="1">
        <f>IF(AND(L$1&gt;=Automakers!$D$115,L$1&lt;=2050),IF(L$1=Automakers!$D$115,Automakers!$D$115,L$1),NA())</f>
        <v>2027</v>
      </c>
      <c r="M50" s="1">
        <f>IF(AND(M$1&gt;=Automakers!$D$115,M$1&lt;=2050),IF(M$1=Automakers!$D$115,Automakers!$D$115,M$1),NA())</f>
        <v>2028</v>
      </c>
      <c r="N50" s="1">
        <f>IF(AND(N$1&gt;=Automakers!$D$115,N$1&lt;=2050),IF(N$1=Automakers!$D$115,Automakers!$D$115,N$1),NA())</f>
        <v>2029</v>
      </c>
      <c r="O50" s="1">
        <f>IF(AND(O$1&gt;=Automakers!$D$115,O$1&lt;=2050),IF(O$1=Automakers!$D$115,Automakers!$D$115,O$1),NA())</f>
        <v>2030</v>
      </c>
      <c r="P50" s="1">
        <f>IF(AND(P$1&gt;=Automakers!$D$115,P$1&lt;=2050),IF(P$1=Automakers!$D$115,Automakers!$D$115,P$1),NA())</f>
        <v>2031</v>
      </c>
      <c r="Q50" s="1">
        <f>IF(AND(Q$1&gt;=Automakers!$D$115,Q$1&lt;=2050),IF(Q$1=Automakers!$D$115,Automakers!$D$115,Q$1),NA())</f>
        <v>2032</v>
      </c>
      <c r="R50" s="1">
        <f>IF(AND(R$1&gt;=Automakers!$D$115,R$1&lt;=2050),IF(R$1=Automakers!$D$115,Automakers!$D$115,R$1),NA())</f>
        <v>2033</v>
      </c>
      <c r="S50" s="1">
        <f>IF(AND(S$1&gt;=Automakers!$D$115,S$1&lt;=2050),IF(S$1=Automakers!$D$115,Automakers!$D$115,S$1),NA())</f>
        <v>2034</v>
      </c>
      <c r="T50" s="1">
        <f>IF(AND(T$1&gt;=Automakers!$D$115,T$1&lt;=2050),IF(T$1=Automakers!$D$115,Automakers!$D$115,T$1),NA())</f>
        <v>2035</v>
      </c>
      <c r="U50" s="1">
        <f>IF(AND(U$1&gt;=Automakers!$D$115,U$1&lt;=2050),IF(U$1=Automakers!$D$115,Automakers!$D$115,U$1),NA())</f>
        <v>2036</v>
      </c>
      <c r="V50" s="1">
        <f>IF(AND(V$1&gt;=Automakers!$D$115,V$1&lt;=2050),IF(V$1=Automakers!$D$115,Automakers!$D$115,V$1),NA())</f>
        <v>2037</v>
      </c>
      <c r="W50" s="1">
        <f>IF(AND(W$1&gt;=Automakers!$D$115,W$1&lt;=2050),IF(W$1=Automakers!$D$115,Automakers!$D$115,W$1),NA())</f>
        <v>2038</v>
      </c>
      <c r="X50" s="1">
        <f>IF(AND(X$1&gt;=Automakers!$D$115,X$1&lt;=2050),IF(X$1=Automakers!$D$115,Automakers!$D$115,X$1),NA())</f>
        <v>2039</v>
      </c>
      <c r="Y50" s="1">
        <f>IF(AND(Y$1&gt;=Automakers!$D$115,Y$1&lt;=2050),IF(Y$1=Automakers!$D$115,Automakers!$D$115,Y$1),NA())</f>
        <v>2040</v>
      </c>
      <c r="Z50" s="1">
        <f>IF(AND(Z$1&gt;=Automakers!$D$115,Z$1&lt;=2050),IF(Z$1=Automakers!$D$115,Automakers!$D$115,Z$1),NA())</f>
        <v>2041</v>
      </c>
      <c r="AA50" s="1">
        <f>IF(AND(AA$1&gt;=Automakers!$D$115,AA$1&lt;=2050),IF(AA$1=Automakers!$D$115,Automakers!$D$115,AA$1),NA())</f>
        <v>2042</v>
      </c>
      <c r="AB50" s="1">
        <f>IF(AND(AB$1&gt;=Automakers!$D$115,AB$1&lt;=2050),IF(AB$1=Automakers!$D$115,Automakers!$D$115,AB$1),NA())</f>
        <v>2043</v>
      </c>
      <c r="AC50" s="1">
        <f>IF(AND(AC$1&gt;=Automakers!$D$115,AC$1&lt;=2050),IF(AC$1=Automakers!$D$115,Automakers!$D$115,AC$1),NA())</f>
        <v>2044</v>
      </c>
      <c r="AD50" s="1">
        <f>IF(AND(AD$1&gt;=Automakers!$D$115,AD$1&lt;=2050),IF(AD$1=Automakers!$D$115,Automakers!$D$115,AD$1),NA())</f>
        <v>2045</v>
      </c>
      <c r="AE50" s="1">
        <f>IF(AND(AE$1&gt;=Automakers!$D$115,AE$1&lt;=2050),IF(AE$1=Automakers!$D$115,Automakers!$D$115,AE$1),NA())</f>
        <v>2046</v>
      </c>
      <c r="AF50" s="1">
        <f>IF(AND(AF$1&gt;=Automakers!$D$115,AF$1&lt;=2050),IF(AF$1=Automakers!$D$115,Automakers!$D$115,AF$1),NA())</f>
        <v>2047</v>
      </c>
      <c r="AG50" s="1">
        <f>IF(AND(AG$1&gt;=Automakers!$D$115,AG$1&lt;=2050),IF(AG$1=Automakers!$D$115,Automakers!$D$115,AG$1),NA())</f>
        <v>2048</v>
      </c>
      <c r="AH50" s="1">
        <f>IF(AND(AH$1&gt;=Automakers!$D$115,AH$1&lt;=2050),IF(AH$1=Automakers!$D$115,Automakers!$D$115,AH$1),NA())</f>
        <v>2049</v>
      </c>
      <c r="AI50" s="1">
        <f>IF(AND(AI$1&gt;=Automakers!$D$115,AI$1&lt;=2050),IF(AI$1=Automakers!$D$115,Automakers!$D$115,AI$1),NA())</f>
        <v>2050</v>
      </c>
    </row>
    <row r="51" spans="1:35" x14ac:dyDescent="0.15">
      <c r="A51" s="1"/>
      <c r="E51"/>
      <c r="F51"/>
      <c r="G51"/>
      <c r="H51"/>
      <c r="I51"/>
      <c r="J51"/>
      <c r="K51"/>
      <c r="L51"/>
      <c r="M51"/>
      <c r="N51"/>
      <c r="O51"/>
      <c r="P51"/>
      <c r="Q51"/>
      <c r="R51"/>
      <c r="S51"/>
      <c r="T51"/>
      <c r="U51"/>
      <c r="V51"/>
      <c r="W51"/>
      <c r="X51"/>
      <c r="Y51"/>
      <c r="Z51"/>
      <c r="AA51"/>
      <c r="AB51"/>
      <c r="AC51"/>
      <c r="AD51"/>
      <c r="AE51"/>
      <c r="AF51"/>
      <c r="AG51"/>
      <c r="AH51"/>
      <c r="AI51"/>
    </row>
    <row r="52" spans="1:35" x14ac:dyDescent="0.15">
      <c r="A52" s="1" t="s">
        <v>445</v>
      </c>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row>
    <row r="53" spans="1:35" x14ac:dyDescent="0.15">
      <c r="A53" t="s">
        <v>443</v>
      </c>
      <c r="B53" t="s">
        <v>272</v>
      </c>
      <c r="C53" t="s">
        <v>262</v>
      </c>
      <c r="D53" s="180" t="s">
        <v>304</v>
      </c>
      <c r="E53" s="1"/>
      <c r="F53" s="1"/>
      <c r="G53" s="179" t="e" cm="1">
        <f t="array" ref="G53">INDEX(Database!T$2:AX$122,MATCH($A$53&amp;Automakers!$D$113&amp;Automakers!$D$114,Database!$A2:$A122&amp;Database!$C2:$C122&amp;Database!$G2:$G122,0),1)</f>
        <v>#N/A</v>
      </c>
      <c r="H53" s="179" t="e" cm="1">
        <f t="array" ref="H53">INDEX(Database!U$2:AY$122,MATCH($A$53&amp;Automakers!$D$113&amp;Automakers!$D$114,Database!$A2:$A122&amp;Database!$C2:$C122&amp;Database!$G2:$G122,0),1)</f>
        <v>#N/A</v>
      </c>
      <c r="I53" s="179" t="e" cm="1">
        <f t="array" ref="I53">INDEX(Database!V$2:AZ$122,MATCH($A$53&amp;Automakers!$D$113&amp;Automakers!$D$114,Database!$A2:$A122&amp;Database!$C2:$C122&amp;Database!$G2:$G122,0),1)</f>
        <v>#N/A</v>
      </c>
      <c r="J53" s="179" t="e" cm="1">
        <f t="array" ref="J53">INDEX(Database!W$2:BA$122,MATCH($A$53&amp;Automakers!$D$113&amp;Automakers!$D$114,Database!$A2:$A122&amp;Database!$C2:$C122&amp;Database!$G2:$G122,0),1)</f>
        <v>#N/A</v>
      </c>
      <c r="K53" s="179" t="e" cm="1">
        <f t="array" ref="K53">INDEX(Database!X$2:BB$122,MATCH($A$53&amp;Automakers!$D$113&amp;Automakers!$D$114,Database!$A2:$A122&amp;Database!$C2:$C122&amp;Database!$G2:$G122,0),1)</f>
        <v>#N/A</v>
      </c>
      <c r="L53" s="179" t="e" cm="1">
        <f t="array" ref="L53">INDEX(Database!Y$2:BC$122,MATCH($A$53&amp;Automakers!$D$113&amp;Automakers!$D$114,Database!$A2:$A122&amp;Database!$C2:$C122&amp;Database!$G2:$G122,0),1)</f>
        <v>#N/A</v>
      </c>
      <c r="M53" s="179" t="e" cm="1">
        <f t="array" ref="M53">INDEX(Database!Z$2:BD$122,MATCH($A$53&amp;Automakers!$D$113&amp;Automakers!$D$114,Database!$A2:$A122&amp;Database!$C2:$C122&amp;Database!$G2:$G122,0),1)</f>
        <v>#N/A</v>
      </c>
      <c r="N53" s="179" t="e" cm="1">
        <f t="array" ref="N53">INDEX(Database!AA$2:BE$122,MATCH($A$53&amp;Automakers!$D$113&amp;Automakers!$D$114,Database!$A2:$A122&amp;Database!$C2:$C122&amp;Database!$G2:$G122,0),1)</f>
        <v>#N/A</v>
      </c>
      <c r="O53" s="179" t="e" cm="1">
        <f t="array" ref="O53">INDEX(Database!AB$2:BF$122,MATCH($A$53&amp;Automakers!$D$113&amp;Automakers!$D$114,Database!$A2:$A122&amp;Database!$C2:$C122&amp;Database!$G2:$G122,0),1)</f>
        <v>#N/A</v>
      </c>
      <c r="P53" s="179" t="e" cm="1">
        <f t="array" ref="P53">INDEX(Database!AC$2:BG$122,MATCH($A$53&amp;Automakers!$D$113&amp;Automakers!$D$114,Database!$A2:$A122&amp;Database!$C2:$C122&amp;Database!$G2:$G122,0),1)</f>
        <v>#N/A</v>
      </c>
      <c r="Q53" s="179" t="e" cm="1">
        <f t="array" ref="Q53">INDEX(Database!AD$2:BH$122,MATCH($A$53&amp;Automakers!$D$113&amp;Automakers!$D$114,Database!$A2:$A122&amp;Database!$C2:$C122&amp;Database!$G2:$G122,0),1)</f>
        <v>#N/A</v>
      </c>
      <c r="R53" s="179" t="e" cm="1">
        <f t="array" ref="R53">INDEX(Database!AE$2:BI$122,MATCH($A$53&amp;Automakers!$D$113&amp;Automakers!$D$114,Database!$A2:$A122&amp;Database!$C2:$C122&amp;Database!$G2:$G122,0),1)</f>
        <v>#N/A</v>
      </c>
      <c r="S53" s="179" t="e" cm="1">
        <f t="array" ref="S53">INDEX(Database!AF$2:BJ$122,MATCH($A$53&amp;Automakers!$D$113&amp;Automakers!$D$114,Database!$A2:$A122&amp;Database!$C2:$C122&amp;Database!$G2:$G122,0),1)</f>
        <v>#N/A</v>
      </c>
      <c r="T53" s="179" t="e" cm="1">
        <f t="array" ref="T53">INDEX(Database!AG$2:BK$122,MATCH($A$53&amp;Automakers!$D$113&amp;Automakers!$D$114,Database!$A2:$A122&amp;Database!$C2:$C122&amp;Database!$G2:$G122,0),1)</f>
        <v>#N/A</v>
      </c>
      <c r="U53" s="179" t="e" cm="1">
        <f t="array" ref="U53">INDEX(Database!AH$2:BL$122,MATCH($A$53&amp;Automakers!$D$113&amp;Automakers!$D$114,Database!$A2:$A122&amp;Database!$C2:$C122&amp;Database!$G2:$G122,0),1)</f>
        <v>#N/A</v>
      </c>
      <c r="V53" s="179" t="e" cm="1">
        <f t="array" ref="V53">INDEX(Database!AI$2:BM$122,MATCH($A$53&amp;Automakers!$D$113&amp;Automakers!$D$114,Database!$A2:$A122&amp;Database!$C2:$C122&amp;Database!$G2:$G122,0),1)</f>
        <v>#N/A</v>
      </c>
      <c r="W53" s="179" t="e" cm="1">
        <f t="array" ref="W53">INDEX(Database!AJ$2:BN$122,MATCH($A$53&amp;Automakers!$D$113&amp;Automakers!$D$114,Database!$A2:$A122&amp;Database!$C2:$C122&amp;Database!$G2:$G122,0),1)</f>
        <v>#N/A</v>
      </c>
      <c r="X53" s="179" t="e" cm="1">
        <f t="array" ref="X53">INDEX(Database!AK$2:BO$122,MATCH($A$53&amp;Automakers!$D$113&amp;Automakers!$D$114,Database!$A2:$A122&amp;Database!$C2:$C122&amp;Database!$G2:$G122,0),1)</f>
        <v>#N/A</v>
      </c>
      <c r="Y53" s="179" t="e" cm="1">
        <f t="array" ref="Y53">INDEX(Database!AL$2:BP$122,MATCH($A$53&amp;Automakers!$D$113&amp;Automakers!$D$114,Database!$A2:$A122&amp;Database!$C2:$C122&amp;Database!$G2:$G122,0),1)</f>
        <v>#N/A</v>
      </c>
      <c r="Z53" s="179" t="e" cm="1">
        <f t="array" ref="Z53">INDEX(Database!AM$2:BQ$122,MATCH($A$53&amp;Automakers!$D$113&amp;Automakers!$D$114,Database!$A2:$A122&amp;Database!$C2:$C122&amp;Database!$G2:$G122,0),1)</f>
        <v>#N/A</v>
      </c>
      <c r="AA53" s="179" t="e" cm="1">
        <f t="array" ref="AA53">INDEX(Database!AN$2:BR$122,MATCH($A$53&amp;Automakers!$D$113&amp;Automakers!$D$114,Database!$A2:$A122&amp;Database!$C2:$C122&amp;Database!$G2:$G122,0),1)</f>
        <v>#N/A</v>
      </c>
      <c r="AB53" s="179" t="e" cm="1">
        <f t="array" ref="AB53">INDEX(Database!AO$2:BS$122,MATCH($A$53&amp;Automakers!$D$113&amp;Automakers!$D$114,Database!$A2:$A122&amp;Database!$C2:$C122&amp;Database!$G2:$G122,0),1)</f>
        <v>#N/A</v>
      </c>
      <c r="AC53" s="179" t="e" cm="1">
        <f t="array" ref="AC53">INDEX(Database!AP$2:BT$122,MATCH($A$53&amp;Automakers!$D$113&amp;Automakers!$D$114,Database!$A2:$A122&amp;Database!$C2:$C122&amp;Database!$G2:$G122,0),1)</f>
        <v>#N/A</v>
      </c>
      <c r="AD53" s="179" t="e" cm="1">
        <f t="array" ref="AD53">INDEX(Database!AQ$2:BU$122,MATCH($A$53&amp;Automakers!$D$113&amp;Automakers!$D$114,Database!$A2:$A122&amp;Database!$C2:$C122&amp;Database!$G2:$G122,0),1)</f>
        <v>#N/A</v>
      </c>
      <c r="AE53" s="179" t="e" cm="1">
        <f t="array" ref="AE53">INDEX(Database!AR$2:BV$122,MATCH($A$53&amp;Automakers!$D$113&amp;Automakers!$D$114,Database!$A2:$A122&amp;Database!$C2:$C122&amp;Database!$G2:$G122,0),1)</f>
        <v>#N/A</v>
      </c>
      <c r="AF53" s="179" t="e" cm="1">
        <f t="array" ref="AF53">INDEX(Database!AS$2:BW$122,MATCH($A$53&amp;Automakers!$D$113&amp;Automakers!$D$114,Database!$A2:$A122&amp;Database!$C2:$C122&amp;Database!$G2:$G122,0),1)</f>
        <v>#N/A</v>
      </c>
      <c r="AG53" s="179" t="e" cm="1">
        <f t="array" ref="AG53">INDEX(Database!AT$2:BX$122,MATCH($A$53&amp;Automakers!$D$113&amp;Automakers!$D$114,Database!$A2:$A122&amp;Database!$C2:$C122&amp;Database!$G2:$G122,0),1)</f>
        <v>#N/A</v>
      </c>
      <c r="AH53" s="179" t="e" cm="1">
        <f t="array" ref="AH53">INDEX(Database!AU$2:BY$122,MATCH($A$53&amp;Automakers!$D$113&amp;Automakers!$D$114,Database!$A2:$A122&amp;Database!$C2:$C122&amp;Database!$G2:$G122,0),1)</f>
        <v>#N/A</v>
      </c>
      <c r="AI53" s="179" t="e" cm="1">
        <f t="array" ref="AI53">INDEX(Database!AV$2:BZ$122,MATCH($A$53&amp;Automakers!$D$113&amp;Automakers!$D$114,Database!$A2:$A122&amp;Database!$C2:$C122&amp;Database!$G2:$G122,0),1)</f>
        <v>#N/A</v>
      </c>
    </row>
    <row r="54" spans="1:35" x14ac:dyDescent="0.15">
      <c r="A54" t="s">
        <v>276</v>
      </c>
      <c r="B54" t="s">
        <v>277</v>
      </c>
      <c r="C54" t="s">
        <v>262</v>
      </c>
      <c r="D54" s="181" t="e">
        <f>HLOOKUP(Automakers!$D$115,G1:AI63,ROW(A53))</f>
        <v>#N/A</v>
      </c>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row>
    <row r="55" spans="1:35" x14ac:dyDescent="0.15">
      <c r="A55" t="s">
        <v>270</v>
      </c>
      <c r="B55" t="str">
        <f>IF(ISTEXT(Automakers!$D$114)=TRUE,Automakers!D114&amp;" | Use-phase emissions intensity, in base year","select a vehicle category")</f>
        <v>select a vehicle category</v>
      </c>
      <c r="C55" t="s">
        <v>262</v>
      </c>
      <c r="D55" s="181" t="e">
        <f>IF(Automakers!D117&gt;0,Automakers!D117,NA())</f>
        <v>#N/A</v>
      </c>
    </row>
    <row r="56" spans="1:35" x14ac:dyDescent="0.15">
      <c r="A56" t="s">
        <v>271</v>
      </c>
      <c r="B56" t="str">
        <f>IF(ISTEXT(Automakers!$D$114)=TRUE,Automakers!D114&amp;" | Use-phase emissions intensity, in year y","select a vehicle category")</f>
        <v>select a vehicle category</v>
      </c>
      <c r="C56" t="s">
        <v>262</v>
      </c>
      <c r="G56" s="2" t="e">
        <f>IF(G50=Automakers!$D$115,Automakers!$D$117,IF(AND(G50&gt;Automakers!$D$115,G50&lt;2050),$D55*G53/$D54,NA()))</f>
        <v>#N/A</v>
      </c>
      <c r="H56" s="2" t="e">
        <f>IF(H50=Automakers!$D$115,Automakers!$D$117,IF(AND(H50&gt;Automakers!$D$115,H50&lt;2050),$D55*H53/$D54,NA()))</f>
        <v>#N/A</v>
      </c>
      <c r="I56" s="2" t="e">
        <f>IF(I50=Automakers!$D$115,Automakers!$D$117,IF(AND(I50&gt;Automakers!$D$115,I50&lt;2050),$D55*I53/$D54,NA()))</f>
        <v>#N/A</v>
      </c>
      <c r="J56" s="2" t="e">
        <f>IF(J50=Automakers!$D$115,Automakers!$D$117,IF(AND(J50&gt;Automakers!$D$115,J50&lt;2050),$D55*J53/$D54,NA()))</f>
        <v>#N/A</v>
      </c>
      <c r="K56" s="2" t="e">
        <f>IF(K50=Automakers!$D$115,Automakers!$D$117,IF(AND(K50&gt;Automakers!$D$115,K50&lt;2050),$D55*K53/$D54,NA()))</f>
        <v>#N/A</v>
      </c>
      <c r="L56" s="2" t="e">
        <f>IF(L50=Automakers!$D$115,Automakers!$D$117,IF(AND(L50&gt;Automakers!$D$115,L50&lt;2050),$D55*L53/$D54,NA()))</f>
        <v>#N/A</v>
      </c>
      <c r="M56" s="2" t="e">
        <f>IF(M50=Automakers!$D$115,Automakers!$D$117,IF(AND(M50&gt;Automakers!$D$115,M50&lt;2050),$D55*M53/$D54,NA()))</f>
        <v>#N/A</v>
      </c>
      <c r="N56" s="2" t="e">
        <f>IF(N50=Automakers!$D$115,Automakers!$D$117,IF(AND(N50&gt;Automakers!$D$115,N50&lt;2050),$D55*N53/$D54,NA()))</f>
        <v>#N/A</v>
      </c>
      <c r="O56" s="2" t="e">
        <f>IF(O50=Automakers!$D$115,Automakers!$D$117,IF(AND(O50&gt;Automakers!$D$115,O50&lt;2050),$D55*O53/$D54,NA()))</f>
        <v>#N/A</v>
      </c>
      <c r="P56" s="2" t="e">
        <f>IF(P50=Automakers!$D$115,Automakers!$D$117,IF(AND(P50&gt;Automakers!$D$115,P50&lt;2050),$D55*P53/$D54,NA()))</f>
        <v>#N/A</v>
      </c>
      <c r="Q56" s="2" t="e">
        <f>IF(Q50=Automakers!$D$115,Automakers!$D$117,IF(AND(Q50&gt;Automakers!$D$115,Q50&lt;2050),$D55*Q53/$D54,NA()))</f>
        <v>#N/A</v>
      </c>
      <c r="R56" s="2" t="e">
        <f>IF(R50=Automakers!$D$115,Automakers!$D$117,IF(AND(R50&gt;Automakers!$D$115,R50&lt;2050),$D55*R53/$D54,NA()))</f>
        <v>#N/A</v>
      </c>
      <c r="S56" s="2" t="e">
        <f>IF(S50=Automakers!$D$115,Automakers!$D$117,IF(AND(S50&gt;Automakers!$D$115,S50&lt;2050),$D55*S53/$D54,NA()))</f>
        <v>#N/A</v>
      </c>
      <c r="T56" s="2" t="e">
        <f>IF(T50=Automakers!$D$115,Automakers!$D$117,IF(AND(T50&gt;Automakers!$D$115,T50&lt;2050),$D55*T53/$D54,NA()))</f>
        <v>#N/A</v>
      </c>
      <c r="U56" s="2" t="e">
        <f>IF(U50=Automakers!$D$115,Automakers!$D$117,IF(AND(U50&gt;Automakers!$D$115,U50&lt;2050),$D55*U53/$D54,NA()))</f>
        <v>#N/A</v>
      </c>
      <c r="V56" s="2" t="e">
        <f>IF(V50=Automakers!$D$115,Automakers!$D$117,IF(AND(V50&gt;Automakers!$D$115,V50&lt;2050),$D55*V53/$D54,NA()))</f>
        <v>#N/A</v>
      </c>
      <c r="W56" s="2" t="e">
        <f>IF(W50=Automakers!$D$115,Automakers!$D$117,IF(AND(W50&gt;Automakers!$D$115,W50&lt;2050),$D55*W53/$D54,NA()))</f>
        <v>#N/A</v>
      </c>
      <c r="X56" s="2" t="e">
        <f>IF(X50=Automakers!$D$115,Automakers!$D$117,IF(AND(X50&gt;Automakers!$D$115,X50&lt;2050),$D55*X53/$D54,NA()))</f>
        <v>#N/A</v>
      </c>
      <c r="Y56" s="2" t="e">
        <f>IF(Y50=Automakers!$D$115,Automakers!$D$117,IF(AND(Y50&gt;Automakers!$D$115,Y50&lt;2050),$D55*Y53/$D54,NA()))</f>
        <v>#N/A</v>
      </c>
      <c r="Z56" s="2" t="e">
        <f>IF(Z50=Automakers!$D$115,Automakers!$D$117,IF(AND(Z50&gt;Automakers!$D$115,Z50&lt;2050),$D55*Z53/$D54,NA()))</f>
        <v>#N/A</v>
      </c>
      <c r="AA56" s="2" t="e">
        <f>IF(AA50=Automakers!$D$115,Automakers!$D$117,IF(AND(AA50&gt;Automakers!$D$115,AA50&lt;2050),$D55*AA53/$D54,NA()))</f>
        <v>#N/A</v>
      </c>
      <c r="AB56" s="2" t="e">
        <f>IF(AB50=Automakers!$D$115,Automakers!$D$117,IF(AND(AB50&gt;Automakers!$D$115,AB50&lt;2050),$D55*AB53/$D54,NA()))</f>
        <v>#N/A</v>
      </c>
      <c r="AC56" s="2" t="e">
        <f>IF(AC50=Automakers!$D$115,Automakers!$D$117,IF(AND(AC50&gt;Automakers!$D$115,AC50&lt;2050),$D55*AC53/$D54,NA()))</f>
        <v>#N/A</v>
      </c>
      <c r="AD56" s="2" t="e">
        <f>IF(AD50=Automakers!$D$115,Automakers!$D$117,IF(AND(AD50&gt;Automakers!$D$115,AD50&lt;2050),$D55*AD53/$D54,NA()))</f>
        <v>#N/A</v>
      </c>
      <c r="AE56" s="2" t="e">
        <f>IF(AE50=Automakers!$D$115,Automakers!$D$117,IF(AND(AE50&gt;Automakers!$D$115,AE50&lt;2050),$D55*AE53/$D54,NA()))</f>
        <v>#N/A</v>
      </c>
      <c r="AF56" s="2" t="e">
        <f>IF(AF50=Automakers!$D$115,Automakers!$D$117,IF(AND(AF50&gt;Automakers!$D$115,AF50&lt;2050),$D55*AF53/$D54,NA()))</f>
        <v>#N/A</v>
      </c>
      <c r="AG56" s="2" t="e">
        <f>IF(AG50=Automakers!$D$115,Automakers!$D$117,IF(AND(AG50&gt;Automakers!$D$115,AG50&lt;2050),$D55*AG53/$D54,NA()))</f>
        <v>#N/A</v>
      </c>
      <c r="AH56" s="2" t="e">
        <f>IF(AH50=Automakers!$D$115,Automakers!$D$117,IF(AND(AH50&gt;Automakers!$D$115,AH50&lt;2050),$D55*AH53/$D54,NA()))</f>
        <v>#N/A</v>
      </c>
      <c r="AI56" s="2" t="e">
        <f>IF(AI50=Automakers!$D$115,Automakers!$D$117,IF(AND(AI50&gt;Automakers!$D$115,AI50&lt;2050),$D55*AI53/$D54,NA()))</f>
        <v>#N/A</v>
      </c>
    </row>
    <row r="57" spans="1:35" x14ac:dyDescent="0.15">
      <c r="B57" t="str">
        <f>IF(ISTEXT(Automakers!$D$114)=TRUE,Automakers!D114&amp;" | Use-phase emissions intensity target","select a vehicle category")</f>
        <v>select a vehicle category</v>
      </c>
      <c r="C57" t="s">
        <v>262</v>
      </c>
      <c r="D57" s="181" t="e">
        <f>HLOOKUP(Automakers!$D$116,G1:AI63,ROW(A56))</f>
        <v>#N/A</v>
      </c>
    </row>
    <row r="59" spans="1:35" x14ac:dyDescent="0.15">
      <c r="A59" s="1" t="s">
        <v>306</v>
      </c>
      <c r="D59" s="179"/>
      <c r="E59" s="179"/>
    </row>
    <row r="60" spans="1:35" x14ac:dyDescent="0.15">
      <c r="A60" t="s">
        <v>254</v>
      </c>
      <c r="B60" t="s">
        <v>273</v>
      </c>
      <c r="C60" t="s">
        <v>29</v>
      </c>
      <c r="D60" s="180" t="s">
        <v>304</v>
      </c>
      <c r="E60" s="179"/>
      <c r="F60" s="179"/>
      <c r="G60" s="2" t="e" cm="1">
        <f t="array" ref="G60">INDEX(Database!T$2:AX$122,MATCH($A$60&amp;Automakers!$D$113&amp;Automakers!$D$114,Database!$A2:$A122&amp;Database!$C2:$C122&amp;Database!$G2:$G122,0),1)</f>
        <v>#N/A</v>
      </c>
      <c r="H60" s="2" t="e" cm="1">
        <f t="array" ref="H60">INDEX(Database!U$2:AY$122,MATCH($A$60&amp;Automakers!$D$113&amp;Automakers!$D$114,Database!$A2:$A122&amp;Database!$C2:$C122&amp;Database!$G2:$G122,0),1)</f>
        <v>#N/A</v>
      </c>
      <c r="I60" s="2" t="e" cm="1">
        <f t="array" ref="I60">INDEX(Database!V$2:AZ$122,MATCH($A$60&amp;Automakers!$D$113&amp;Automakers!$D$114,Database!$A2:$A122&amp;Database!$C2:$C122&amp;Database!$G2:$G122,0),1)</f>
        <v>#N/A</v>
      </c>
      <c r="J60" s="2" t="e" cm="1">
        <f t="array" ref="J60">INDEX(Database!W$2:BA$122,MATCH($A$60&amp;Automakers!$D$113&amp;Automakers!$D$114,Database!$A2:$A122&amp;Database!$C2:$C122&amp;Database!$G2:$G122,0),1)</f>
        <v>#N/A</v>
      </c>
      <c r="K60" s="2" t="e" cm="1">
        <f t="array" ref="K60">INDEX(Database!X$2:BB$122,MATCH($A$60&amp;Automakers!$D$113&amp;Automakers!$D$114,Database!$A2:$A122&amp;Database!$C2:$C122&amp;Database!$G2:$G122,0),1)</f>
        <v>#N/A</v>
      </c>
      <c r="L60" s="2" t="e" cm="1">
        <f t="array" ref="L60">INDEX(Database!Y$2:BC$122,MATCH($A$60&amp;Automakers!$D$113&amp;Automakers!$D$114,Database!$A2:$A122&amp;Database!$C2:$C122&amp;Database!$G2:$G122,0),1)</f>
        <v>#N/A</v>
      </c>
      <c r="M60" s="2" t="e" cm="1">
        <f t="array" ref="M60">INDEX(Database!Z$2:BD$122,MATCH($A$60&amp;Automakers!$D$113&amp;Automakers!$D$114,Database!$A2:$A122&amp;Database!$C2:$C122&amp;Database!$G2:$G122,0),1)</f>
        <v>#N/A</v>
      </c>
      <c r="N60" s="2" t="e" cm="1">
        <f t="array" ref="N60">INDEX(Database!AA$2:BE$122,MATCH($A$60&amp;Automakers!$D$113&amp;Automakers!$D$114,Database!$A2:$A122&amp;Database!$C2:$C122&amp;Database!$G2:$G122,0),1)</f>
        <v>#N/A</v>
      </c>
      <c r="O60" s="2" t="e" cm="1">
        <f t="array" ref="O60">INDEX(Database!AB$2:BF$122,MATCH($A$60&amp;Automakers!$D$113&amp;Automakers!$D$114,Database!$A2:$A122&amp;Database!$C2:$C122&amp;Database!$G2:$G122,0),1)</f>
        <v>#N/A</v>
      </c>
      <c r="P60" s="2" t="e" cm="1">
        <f t="array" ref="P60">INDEX(Database!AC$2:BG$122,MATCH($A$60&amp;Automakers!$D$113&amp;Automakers!$D$114,Database!$A2:$A122&amp;Database!$C2:$C122&amp;Database!$G2:$G122,0),1)</f>
        <v>#N/A</v>
      </c>
      <c r="Q60" s="2" t="e" cm="1">
        <f t="array" ref="Q60">INDEX(Database!AD$2:BH$122,MATCH($A$60&amp;Automakers!$D$113&amp;Automakers!$D$114,Database!$A2:$A122&amp;Database!$C2:$C122&amp;Database!$G2:$G122,0),1)</f>
        <v>#N/A</v>
      </c>
      <c r="R60" s="2" t="e" cm="1">
        <f t="array" ref="R60">INDEX(Database!AE$2:BI$122,MATCH($A$60&amp;Automakers!$D$113&amp;Automakers!$D$114,Database!$A2:$A122&amp;Database!$C2:$C122&amp;Database!$G2:$G122,0),1)</f>
        <v>#N/A</v>
      </c>
      <c r="S60" s="2" t="e" cm="1">
        <f t="array" ref="S60">INDEX(Database!AF$2:BJ$122,MATCH($A$60&amp;Automakers!$D$113&amp;Automakers!$D$114,Database!$A2:$A122&amp;Database!$C2:$C122&amp;Database!$G2:$G122,0),1)</f>
        <v>#N/A</v>
      </c>
      <c r="T60" s="2" t="e" cm="1">
        <f t="array" ref="T60">INDEX(Database!AG$2:BK$122,MATCH($A$60&amp;Automakers!$D$113&amp;Automakers!$D$114,Database!$A2:$A122&amp;Database!$C2:$C122&amp;Database!$G2:$G122,0),1)</f>
        <v>#N/A</v>
      </c>
      <c r="U60" s="2" t="e" cm="1">
        <f t="array" ref="U60">INDEX(Database!AH$2:BL$122,MATCH($A$60&amp;Automakers!$D$113&amp;Automakers!$D$114,Database!$A2:$A122&amp;Database!$C2:$C122&amp;Database!$G2:$G122,0),1)</f>
        <v>#N/A</v>
      </c>
      <c r="V60" s="2" t="e" cm="1">
        <f t="array" ref="V60">INDEX(Database!AI$2:BM$122,MATCH($A$60&amp;Automakers!$D$113&amp;Automakers!$D$114,Database!$A2:$A122&amp;Database!$C2:$C122&amp;Database!$G2:$G122,0),1)</f>
        <v>#N/A</v>
      </c>
      <c r="W60" s="2" t="e" cm="1">
        <f t="array" ref="W60">INDEX(Database!AJ$2:BN$122,MATCH($A$60&amp;Automakers!$D$113&amp;Automakers!$D$114,Database!$A2:$A122&amp;Database!$C2:$C122&amp;Database!$G2:$G122,0),1)</f>
        <v>#N/A</v>
      </c>
      <c r="X60" s="2" t="e" cm="1">
        <f t="array" ref="X60">INDEX(Database!AK$2:BO$122,MATCH($A$60&amp;Automakers!$D$113&amp;Automakers!$D$114,Database!$A2:$A122&amp;Database!$C2:$C122&amp;Database!$G2:$G122,0),1)</f>
        <v>#N/A</v>
      </c>
      <c r="Y60" s="2" t="e" cm="1">
        <f t="array" ref="Y60">INDEX(Database!AL$2:BP$122,MATCH($A$60&amp;Automakers!$D$113&amp;Automakers!$D$114,Database!$A2:$A122&amp;Database!$C2:$C122&amp;Database!$G2:$G122,0),1)</f>
        <v>#N/A</v>
      </c>
      <c r="Z60" s="2" t="e" cm="1">
        <f t="array" ref="Z60">INDEX(Database!AM$2:BQ$122,MATCH($A$60&amp;Automakers!$D$113&amp;Automakers!$D$114,Database!$A2:$A122&amp;Database!$C2:$C122&amp;Database!$G2:$G122,0),1)</f>
        <v>#N/A</v>
      </c>
      <c r="AA60" s="2" t="e" cm="1">
        <f t="array" ref="AA60">INDEX(Database!AN$2:BR$122,MATCH($A$60&amp;Automakers!$D$113&amp;Automakers!$D$114,Database!$A2:$A122&amp;Database!$C2:$C122&amp;Database!$G2:$G122,0),1)</f>
        <v>#N/A</v>
      </c>
      <c r="AB60" s="2" t="e" cm="1">
        <f t="array" ref="AB60">INDEX(Database!AO$2:BS$122,MATCH($A$60&amp;Automakers!$D$113&amp;Automakers!$D$114,Database!$A2:$A122&amp;Database!$C2:$C122&amp;Database!$G2:$G122,0),1)</f>
        <v>#N/A</v>
      </c>
      <c r="AC60" s="2" t="e" cm="1">
        <f t="array" ref="AC60">INDEX(Database!AP$2:BT$122,MATCH($A$60&amp;Automakers!$D$113&amp;Automakers!$D$114,Database!$A2:$A122&amp;Database!$C2:$C122&amp;Database!$G2:$G122,0),1)</f>
        <v>#N/A</v>
      </c>
      <c r="AD60" s="2" t="e" cm="1">
        <f t="array" ref="AD60">INDEX(Database!AQ$2:BU$122,MATCH($A$60&amp;Automakers!$D$113&amp;Automakers!$D$114,Database!$A2:$A122&amp;Database!$C2:$C122&amp;Database!$G2:$G122,0),1)</f>
        <v>#N/A</v>
      </c>
      <c r="AE60" s="2" t="e" cm="1">
        <f t="array" ref="AE60">INDEX(Database!AR$2:BV$122,MATCH($A$60&amp;Automakers!$D$113&amp;Automakers!$D$114,Database!$A2:$A122&amp;Database!$C2:$C122&amp;Database!$G2:$G122,0),1)</f>
        <v>#N/A</v>
      </c>
      <c r="AF60" s="2" t="e" cm="1">
        <f t="array" ref="AF60">INDEX(Database!AS$2:BW$122,MATCH($A$60&amp;Automakers!$D$113&amp;Automakers!$D$114,Database!$A2:$A122&amp;Database!$C2:$C122&amp;Database!$G2:$G122,0),1)</f>
        <v>#N/A</v>
      </c>
      <c r="AG60" s="2" t="e" cm="1">
        <f t="array" ref="AG60">INDEX(Database!AT$2:BX$122,MATCH($A$60&amp;Automakers!$D$113&amp;Automakers!$D$114,Database!$A2:$A122&amp;Database!$C2:$C122&amp;Database!$G2:$G122,0),1)</f>
        <v>#N/A</v>
      </c>
      <c r="AH60" s="2" t="e" cm="1">
        <f t="array" ref="AH60">INDEX(Database!AU$2:BY$122,MATCH($A$60&amp;Automakers!$D$113&amp;Automakers!$D$114,Database!$A2:$A122&amp;Database!$C2:$C122&amp;Database!$G2:$G122,0),1)</f>
        <v>#N/A</v>
      </c>
      <c r="AI60" s="2" t="e" cm="1">
        <f t="array" ref="AI60">INDEX(Database!AV$2:BZ$122,MATCH($A$60&amp;Automakers!$D$113&amp;Automakers!$D$114,Database!$A2:$A122&amp;Database!$C2:$C122&amp;Database!$G2:$G122,0),1)</f>
        <v>#N/A</v>
      </c>
    </row>
    <row r="61" spans="1:35" x14ac:dyDescent="0.15">
      <c r="A61" t="s">
        <v>276</v>
      </c>
      <c r="B61" t="s">
        <v>277</v>
      </c>
      <c r="C61" t="s">
        <v>29</v>
      </c>
      <c r="D61" s="181" t="e">
        <f>HLOOKUP(Automakers!$D$115,G1:AI63,ROW(A60))</f>
        <v>#N/A</v>
      </c>
      <c r="E61" s="179"/>
    </row>
    <row r="62" spans="1:35" x14ac:dyDescent="0.15">
      <c r="A62" s="97" t="s">
        <v>270</v>
      </c>
      <c r="B62" t="str">
        <f>IF(ISTEXT(Automakers!$D$114)=TRUE,Automakers!D114&amp;" | ZEV sales share, in base year","select a vehicle category")</f>
        <v>select a vehicle category</v>
      </c>
      <c r="C62" t="s">
        <v>29</v>
      </c>
      <c r="D62" s="181" t="e">
        <f>IF(Automakers!D118&gt;0,Automakers!D118,NA())</f>
        <v>#N/A</v>
      </c>
      <c r="E62" s="179"/>
    </row>
    <row r="63" spans="1:35" x14ac:dyDescent="0.15">
      <c r="A63" t="s">
        <v>271</v>
      </c>
      <c r="B63" t="str">
        <f>IF(ISTEXT(Automakers!$D$114)=TRUE,Automakers!D114&amp;" | ZEV sales share, in year y","select a vehicle category")</f>
        <v>select a vehicle category</v>
      </c>
      <c r="C63" t="s">
        <v>29</v>
      </c>
      <c r="D63" s="179"/>
      <c r="G63" s="2" t="e">
        <f>IF(G50=Automakers!$D$115,Automakers!$D$118,IF(AND(G50&gt;Automakers!$D$115,G50&lt;2050),($D$62-$AI$60)*((G60-$AI$60)/($D$61-$AI$60))+$AI$60,G60))</f>
        <v>#N/A</v>
      </c>
      <c r="H63" s="2" t="e">
        <f>IF(H50=Automakers!$D$115,Automakers!$D$118,IF(AND(H50&gt;Automakers!$D$115,H50&lt;2050),($D$62-$AI$60)*((H60-$AI$60)/($D$61-$AI$60))+$AI$60,H60))</f>
        <v>#N/A</v>
      </c>
      <c r="I63" s="2" t="e">
        <f>IF(I50=Automakers!$D$115,Automakers!$D$118,IF(AND(I50&gt;Automakers!$D$115,I50&lt;2050),($D$62-$AI$60)*((I60-$AI$60)/($D$61-$AI$60))+$AI$60,I60))</f>
        <v>#N/A</v>
      </c>
      <c r="J63" s="2" t="e">
        <f>IF(J50=Automakers!$D$115,Automakers!$D$118,IF(AND(J50&gt;Automakers!$D$115,J50&lt;2050),($D$62-$AI$60)*((J60-$AI$60)/($D$61-$AI$60))+$AI$60,J60))</f>
        <v>#N/A</v>
      </c>
      <c r="K63" s="2" t="e">
        <f>IF(K50=Automakers!$D$115,Automakers!$D$118,IF(AND(K50&gt;Automakers!$D$115,K50&lt;2050),($D$62-$AI$60)*((K60-$AI$60)/($D$61-$AI$60))+$AI$60,K60))</f>
        <v>#N/A</v>
      </c>
      <c r="L63" s="2" t="e">
        <f>IF(L50=Automakers!$D$115,Automakers!$D$118,IF(AND(L50&gt;Automakers!$D$115,L50&lt;2050),($D$62-$AI$60)*((L60-$AI$60)/($D$61-$AI$60))+$AI$60,L60))</f>
        <v>#N/A</v>
      </c>
      <c r="M63" s="2" t="e">
        <f>IF(M50=Automakers!$D$115,Automakers!$D$118,IF(AND(M50&gt;Automakers!$D$115,M50&lt;2050),($D$62-$AI$60)*((M60-$AI$60)/($D$61-$AI$60))+$AI$60,M60))</f>
        <v>#N/A</v>
      </c>
      <c r="N63" s="2" t="e">
        <f>IF(N50=Automakers!$D$115,Automakers!$D$118,IF(AND(N50&gt;Automakers!$D$115,N50&lt;2050),($D$62-$AI$60)*((N60-$AI$60)/($D$61-$AI$60))+$AI$60,N60))</f>
        <v>#N/A</v>
      </c>
      <c r="O63" s="2" t="e">
        <f>IF(O50=Automakers!$D$115,Automakers!$D$118,IF(AND(O50&gt;Automakers!$D$115,O50&lt;2050),($D$62-$AI$60)*((O60-$AI$60)/($D$61-$AI$60))+$AI$60,O60))</f>
        <v>#N/A</v>
      </c>
      <c r="P63" s="2" t="e">
        <f>IF(P50=Automakers!$D$115,Automakers!$D$118,IF(AND(P50&gt;Automakers!$D$115,P50&lt;2050),($D$62-$AI$60)*((P60-$AI$60)/($D$61-$AI$60))+$AI$60,P60))</f>
        <v>#N/A</v>
      </c>
      <c r="Q63" s="2" t="e">
        <f>IF(Q50=Automakers!$D$115,Automakers!$D$118,IF(AND(Q50&gt;Automakers!$D$115,Q50&lt;2050),($D$62-$AI$60)*((Q60-$AI$60)/($D$61-$AI$60))+$AI$60,Q60))</f>
        <v>#N/A</v>
      </c>
      <c r="R63" s="2" t="e">
        <f>IF(R50=Automakers!$D$115,Automakers!$D$118,IF(AND(R50&gt;Automakers!$D$115,R50&lt;2050),($D$62-$AI$60)*((R60-$AI$60)/($D$61-$AI$60))+$AI$60,R60))</f>
        <v>#N/A</v>
      </c>
      <c r="S63" s="2" t="e">
        <f>IF(S50=Automakers!$D$115,Automakers!$D$118,IF(AND(S50&gt;Automakers!$D$115,S50&lt;2050),($D$62-$AI$60)*((S60-$AI$60)/($D$61-$AI$60))+$AI$60,S60))</f>
        <v>#N/A</v>
      </c>
      <c r="T63" s="2" t="e">
        <f>IF(T50=Automakers!$D$115,Automakers!$D$118,IF(AND(T50&gt;Automakers!$D$115,T50&lt;2050),($D$62-$AI$60)*((T60-$AI$60)/($D$61-$AI$60))+$AI$60,T60))</f>
        <v>#N/A</v>
      </c>
      <c r="U63" s="2" t="e">
        <f>IF(U50=Automakers!$D$115,Automakers!$D$118,IF(AND(U50&gt;Automakers!$D$115,U50&lt;2050),($D$62-$AI$60)*((U60-$AI$60)/($D$61-$AI$60))+$AI$60,U60))</f>
        <v>#N/A</v>
      </c>
      <c r="V63" s="2" t="e">
        <f>IF(V50=Automakers!$D$115,Automakers!$D$118,IF(AND(V50&gt;Automakers!$D$115,V50&lt;2050),($D$62-$AI$60)*((V60-$AI$60)/($D$61-$AI$60))+$AI$60,V60))</f>
        <v>#N/A</v>
      </c>
      <c r="W63" s="2" t="e">
        <f>IF(W50=Automakers!$D$115,Automakers!$D$118,IF(AND(W50&gt;Automakers!$D$115,W50&lt;2050),($D$62-$AI$60)*((W60-$AI$60)/($D$61-$AI$60))+$AI$60,W60))</f>
        <v>#N/A</v>
      </c>
      <c r="X63" s="2" t="e">
        <f>IF(X50=Automakers!$D$115,Automakers!$D$118,IF(AND(X50&gt;Automakers!$D$115,X50&lt;2050),($D$62-$AI$60)*((X60-$AI$60)/($D$61-$AI$60))+$AI$60,X60))</f>
        <v>#N/A</v>
      </c>
      <c r="Y63" s="2" t="e">
        <f>IF(Y50=Automakers!$D$115,Automakers!$D$118,IF(AND(Y50&gt;Automakers!$D$115,Y50&lt;2050),($D$62-$AI$60)*((Y60-$AI$60)/($D$61-$AI$60))+$AI$60,Y60))</f>
        <v>#N/A</v>
      </c>
      <c r="Z63" s="2" t="e">
        <f>IF(Z50=Automakers!$D$115,Automakers!$D$118,IF(AND(Z50&gt;Automakers!$D$115,Z50&lt;2050),($D$62-$AI$60)*((Z60-$AI$60)/($D$61-$AI$60))+$AI$60,Z60))</f>
        <v>#N/A</v>
      </c>
      <c r="AA63" s="2" t="e">
        <f>IF(AA50=Automakers!$D$115,Automakers!$D$118,IF(AND(AA50&gt;Automakers!$D$115,AA50&lt;2050),($D$62-$AI$60)*((AA60-$AI$60)/($D$61-$AI$60))+$AI$60,AA60))</f>
        <v>#N/A</v>
      </c>
      <c r="AB63" s="2" t="e">
        <f>IF(AB50=Automakers!$D$115,Automakers!$D$118,IF(AND(AB50&gt;Automakers!$D$115,AB50&lt;2050),($D$62-$AI$60)*((AB60-$AI$60)/($D$61-$AI$60))+$AI$60,AB60))</f>
        <v>#N/A</v>
      </c>
      <c r="AC63" s="2" t="e">
        <f>IF(AC50=Automakers!$D$115,Automakers!$D$118,IF(AND(AC50&gt;Automakers!$D$115,AC50&lt;2050),($D$62-$AI$60)*((AC60-$AI$60)/($D$61-$AI$60))+$AI$60,AC60))</f>
        <v>#N/A</v>
      </c>
      <c r="AD63" s="2" t="e">
        <f>IF(AD50=Automakers!$D$115,Automakers!$D$118,IF(AND(AD50&gt;Automakers!$D$115,AD50&lt;2050),($D$62-$AI$60)*((AD60-$AI$60)/($D$61-$AI$60))+$AI$60,AD60))</f>
        <v>#N/A</v>
      </c>
      <c r="AE63" s="2" t="e">
        <f>IF(AE50=Automakers!$D$115,Automakers!$D$118,IF(AND(AE50&gt;Automakers!$D$115,AE50&lt;2050),($D$62-$AI$60)*((AE60-$AI$60)/($D$61-$AI$60))+$AI$60,AE60))</f>
        <v>#N/A</v>
      </c>
      <c r="AF63" s="2" t="e">
        <f>IF(AF50=Automakers!$D$115,Automakers!$D$118,IF(AND(AF50&gt;Automakers!$D$115,AF50&lt;2050),($D$62-$AI$60)*((AF60-$AI$60)/($D$61-$AI$60))+$AI$60,AF60))</f>
        <v>#N/A</v>
      </c>
      <c r="AG63" s="2" t="e">
        <f>IF(AG50=Automakers!$D$115,Automakers!$D$118,IF(AND(AG50&gt;Automakers!$D$115,AG50&lt;2050),($D$62-$AI$60)*((AG60-$AI$60)/($D$61-$AI$60))+$AI$60,AG60))</f>
        <v>#N/A</v>
      </c>
      <c r="AH63" s="2" t="e">
        <f>IF(AH50=Automakers!$D$115,Automakers!$D$118,IF(AND(AH50&gt;Automakers!$D$115,AH50&lt;2050),($D$62-$AI$60)*((AH60-$AI$60)/($D$61-$AI$60))+$AI$60,AH60))</f>
        <v>#N/A</v>
      </c>
      <c r="AI63" s="2" t="e">
        <f>IF(AI50=Automakers!$D$115,Automakers!$D$118,IF(AND(AI50&gt;Automakers!$D$115,AI50&lt;2050),($D$62-$AI$60)*((AI60-$AI$60)/($D$61-$AI$60))+$AI$60,AI60))</f>
        <v>#N/A</v>
      </c>
    </row>
    <row r="64" spans="1:35" x14ac:dyDescent="0.15">
      <c r="B64" t="str">
        <f>IF(ISTEXT(Automakers!$D$114)=TRUE,Automakers!D114&amp;" | ZEV sales share target","select a vehicle category")</f>
        <v>select a vehicle category</v>
      </c>
      <c r="C64" t="s">
        <v>29</v>
      </c>
      <c r="D64" s="182" t="e">
        <f>HLOOKUP(Automakers!$D$116,G1:AI63,ROW(A63))</f>
        <v>#N/A</v>
      </c>
      <c r="E64" s="179"/>
    </row>
    <row r="66" spans="1:35" s="172" customFormat="1" ht="23" x14ac:dyDescent="0.25">
      <c r="A66" s="171" t="s">
        <v>348</v>
      </c>
      <c r="E66" s="173"/>
      <c r="F66" s="173"/>
      <c r="G66" s="173"/>
      <c r="H66" s="173"/>
      <c r="I66" s="173"/>
      <c r="J66" s="173"/>
      <c r="K66" s="173"/>
      <c r="L66" s="173"/>
      <c r="M66" s="173"/>
      <c r="N66" s="173"/>
      <c r="O66" s="173"/>
      <c r="P66" s="173"/>
      <c r="Q66" s="173"/>
      <c r="R66" s="173"/>
      <c r="S66" s="173"/>
      <c r="T66" s="173"/>
      <c r="U66" s="173"/>
      <c r="V66" s="173"/>
      <c r="W66" s="173"/>
      <c r="X66" s="173"/>
      <c r="Y66" s="173"/>
      <c r="Z66" s="173"/>
      <c r="AA66" s="173"/>
      <c r="AB66" s="173"/>
      <c r="AC66" s="173"/>
      <c r="AD66" s="173"/>
      <c r="AE66" s="173"/>
      <c r="AF66" s="173"/>
      <c r="AG66" s="173"/>
      <c r="AH66" s="173"/>
      <c r="AI66" s="173"/>
    </row>
    <row r="67" spans="1:35" x14ac:dyDescent="0.15">
      <c r="A67" s="1"/>
    </row>
    <row r="68" spans="1:35" x14ac:dyDescent="0.15">
      <c r="A68" s="1"/>
    </row>
    <row r="69" spans="1:35" x14ac:dyDescent="0.15">
      <c r="B69" t="s">
        <v>30</v>
      </c>
      <c r="D69" s="1"/>
      <c r="E69" s="1"/>
      <c r="F69" s="1"/>
      <c r="G69" s="1">
        <f>IF(AND(G$1&gt;=Autoparts!$D$24,G$1&lt;=2050),IF(G$1=Autoparts!$D$24,Autoparts!$D$24,G$1),NA())</f>
        <v>2022</v>
      </c>
      <c r="H69" s="1">
        <f>IF(AND(H$1&gt;=Autoparts!$D$24,H$1&lt;=2050),IF(H$1=Autoparts!$D$24,Autoparts!$D$24,H$1),NA())</f>
        <v>2023</v>
      </c>
      <c r="I69" s="1">
        <f>IF(AND(I$1&gt;=Autoparts!$D$24,I$1&lt;=2050),IF(I$1=Autoparts!$D$24,Autoparts!$D$24,I$1),NA())</f>
        <v>2024</v>
      </c>
      <c r="J69" s="1">
        <f>IF(AND(J$1&gt;=Autoparts!$D$24,J$1&lt;=2050),IF(J$1=Autoparts!$D$24,Autoparts!$D$24,J$1),NA())</f>
        <v>2025</v>
      </c>
      <c r="K69" s="1">
        <f>IF(AND(K$1&gt;=Autoparts!$D$24,K$1&lt;=2050),IF(K$1=Autoparts!$D$24,Autoparts!$D$24,K$1),NA())</f>
        <v>2026</v>
      </c>
      <c r="L69" s="1">
        <f>IF(AND(L$1&gt;=Autoparts!$D$24,L$1&lt;=2050),IF(L$1=Autoparts!$D$24,Autoparts!$D$24,L$1),NA())</f>
        <v>2027</v>
      </c>
      <c r="M69" s="1">
        <f>IF(AND(M$1&gt;=Autoparts!$D$24,M$1&lt;=2050),IF(M$1=Autoparts!$D$24,Autoparts!$D$24,M$1),NA())</f>
        <v>2028</v>
      </c>
      <c r="N69" s="1">
        <f>IF(AND(N$1&gt;=Autoparts!$D$24,N$1&lt;=2050),IF(N$1=Autoparts!$D$24,Autoparts!$D$24,N$1),NA())</f>
        <v>2029</v>
      </c>
      <c r="O69" s="1">
        <f>IF(AND(O$1&gt;=Autoparts!$D$24,O$1&lt;=2050),IF(O$1=Autoparts!$D$24,Autoparts!$D$24,O$1),NA())</f>
        <v>2030</v>
      </c>
      <c r="P69" s="1">
        <f>IF(AND(P$1&gt;=Autoparts!$D$24,P$1&lt;=2050),IF(P$1=Autoparts!$D$24,Autoparts!$D$24,P$1),NA())</f>
        <v>2031</v>
      </c>
      <c r="Q69" s="1">
        <f>IF(AND(Q$1&gt;=Autoparts!$D$24,Q$1&lt;=2050),IF(Q$1=Autoparts!$D$24,Autoparts!$D$24,Q$1),NA())</f>
        <v>2032</v>
      </c>
      <c r="R69" s="1">
        <f>IF(AND(R$1&gt;=Autoparts!$D$24,R$1&lt;=2050),IF(R$1=Autoparts!$D$24,Autoparts!$D$24,R$1),NA())</f>
        <v>2033</v>
      </c>
      <c r="S69" s="1">
        <f>IF(AND(S$1&gt;=Autoparts!$D$24,S$1&lt;=2050),IF(S$1=Autoparts!$D$24,Autoparts!$D$24,S$1),NA())</f>
        <v>2034</v>
      </c>
      <c r="T69" s="1">
        <f>IF(AND(T$1&gt;=Autoparts!$D$24,T$1&lt;=2050),IF(T$1=Autoparts!$D$24,Autoparts!$D$24,T$1),NA())</f>
        <v>2035</v>
      </c>
      <c r="U69" s="1">
        <f>IF(AND(U$1&gt;=Autoparts!$D$24,U$1&lt;=2050),IF(U$1=Autoparts!$D$24,Autoparts!$D$24,U$1),NA())</f>
        <v>2036</v>
      </c>
      <c r="V69" s="1">
        <f>IF(AND(V$1&gt;=Autoparts!$D$24,V$1&lt;=2050),IF(V$1=Autoparts!$D$24,Autoparts!$D$24,V$1),NA())</f>
        <v>2037</v>
      </c>
      <c r="W69" s="1">
        <f>IF(AND(W$1&gt;=Autoparts!$D$24,W$1&lt;=2050),IF(W$1=Autoparts!$D$24,Autoparts!$D$24,W$1),NA())</f>
        <v>2038</v>
      </c>
      <c r="X69" s="1">
        <f>IF(AND(X$1&gt;=Autoparts!$D$24,X$1&lt;=2050),IF(X$1=Autoparts!$D$24,Autoparts!$D$24,X$1),NA())</f>
        <v>2039</v>
      </c>
      <c r="Y69" s="1">
        <f>IF(AND(Y$1&gt;=Autoparts!$D$24,Y$1&lt;=2050),IF(Y$1=Autoparts!$D$24,Autoparts!$D$24,Y$1),NA())</f>
        <v>2040</v>
      </c>
      <c r="Z69" s="1">
        <f>IF(AND(Z$1&gt;=Autoparts!$D$24,Z$1&lt;=2050),IF(Z$1=Autoparts!$D$24,Autoparts!$D$24,Z$1),NA())</f>
        <v>2041</v>
      </c>
      <c r="AA69" s="1">
        <f>IF(AND(AA$1&gt;=Autoparts!$D$24,AA$1&lt;=2050),IF(AA$1=Autoparts!$D$24,Autoparts!$D$24,AA$1),NA())</f>
        <v>2042</v>
      </c>
      <c r="AB69" s="1">
        <f>IF(AND(AB$1&gt;=Autoparts!$D$24,AB$1&lt;=2050),IF(AB$1=Autoparts!$D$24,Autoparts!$D$24,AB$1),NA())</f>
        <v>2043</v>
      </c>
      <c r="AC69" s="1">
        <f>IF(AND(AC$1&gt;=Autoparts!$D$24,AC$1&lt;=2050),IF(AC$1=Autoparts!$D$24,Autoparts!$D$24,AC$1),NA())</f>
        <v>2044</v>
      </c>
      <c r="AD69" s="1">
        <f>IF(AND(AD$1&gt;=Autoparts!$D$24,AD$1&lt;=2050),IF(AD$1=Autoparts!$D$24,Autoparts!$D$24,AD$1),NA())</f>
        <v>2045</v>
      </c>
      <c r="AE69" s="1">
        <f>IF(AND(AE$1&gt;=Autoparts!$D$24,AE$1&lt;=2050),IF(AE$1=Autoparts!$D$24,Autoparts!$D$24,AE$1),NA())</f>
        <v>2046</v>
      </c>
      <c r="AF69" s="1">
        <f>IF(AND(AF$1&gt;=Autoparts!$D$24,AF$1&lt;=2050),IF(AF$1=Autoparts!$D$24,Autoparts!$D$24,AF$1),NA())</f>
        <v>2047</v>
      </c>
      <c r="AG69" s="1">
        <f>IF(AND(AG$1&gt;=Autoparts!$D$24,AG$1&lt;=2050),IF(AG$1=Autoparts!$D$24,Autoparts!$D$24,AG$1),NA())</f>
        <v>2048</v>
      </c>
      <c r="AH69" s="1">
        <f>IF(AND(AH$1&gt;=Autoparts!$D$24,AH$1&lt;=2050),IF(AH$1=Autoparts!$D$24,Autoparts!$D$24,AH$1),NA())</f>
        <v>2049</v>
      </c>
      <c r="AI69" s="1">
        <f>IF(AND(AI$1&gt;=Autoparts!$D$24,AI$1&lt;=2050),IF(AI$1=Autoparts!$D$24,Autoparts!$D$24,AI$1),NA())</f>
        <v>2050</v>
      </c>
    </row>
    <row r="71" spans="1:35" x14ac:dyDescent="0.15">
      <c r="A71" s="1" t="s">
        <v>415</v>
      </c>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row>
    <row r="72" spans="1:35" x14ac:dyDescent="0.15">
      <c r="A72" t="s">
        <v>446</v>
      </c>
      <c r="B72" t="s">
        <v>376</v>
      </c>
      <c r="C72" t="s">
        <v>262</v>
      </c>
      <c r="D72" s="180" t="s">
        <v>304</v>
      </c>
      <c r="E72" s="1"/>
      <c r="F72" s="1"/>
      <c r="G72" s="179" t="e">
        <f t="array" ref="G72">INDEX(Database!T$2:AX$122,MATCH($A$72&amp;Autoparts!$D$22&amp;Autoparts!$D$23,Database!$A2:$A122&amp;Database!$C2:$C122&amp;Database!$G2:$G122,0),1)</f>
        <v>#N/A</v>
      </c>
      <c r="H72" s="179" t="e">
        <f t="array" ref="H72">INDEX(Database!U$2:AY$122,MATCH($A$72&amp;Autoparts!$D$22&amp;Autoparts!$D$23,Database!$A2:$A122&amp;Database!$C2:$C122&amp;Database!$G2:$G122,0),1)</f>
        <v>#N/A</v>
      </c>
      <c r="I72" s="179" t="e">
        <f t="array" ref="I72">INDEX(Database!V$2:AZ$122,MATCH($A$72&amp;Autoparts!$D$22&amp;Autoparts!$D$23,Database!$A2:$A122&amp;Database!$C2:$C122&amp;Database!$G2:$G122,0),1)</f>
        <v>#N/A</v>
      </c>
      <c r="J72" s="179" t="e">
        <f t="array" ref="J72">INDEX(Database!W$2:BA$122,MATCH($A$72&amp;Autoparts!$D$22&amp;Autoparts!$D$23,Database!$A2:$A122&amp;Database!$C2:$C122&amp;Database!$G2:$G122,0),1)</f>
        <v>#N/A</v>
      </c>
      <c r="K72" s="179" t="e">
        <f t="array" ref="K72">INDEX(Database!X$2:BB$122,MATCH($A$72&amp;Autoparts!$D$22&amp;Autoparts!$D$23,Database!$A2:$A122&amp;Database!$C2:$C122&amp;Database!$G2:$G122,0),1)</f>
        <v>#N/A</v>
      </c>
      <c r="L72" s="179" t="e">
        <f t="array" ref="L72">INDEX(Database!Y$2:BC$122,MATCH($A$72&amp;Autoparts!$D$22&amp;Autoparts!$D$23,Database!$A2:$A122&amp;Database!$C2:$C122&amp;Database!$G2:$G122,0),1)</f>
        <v>#N/A</v>
      </c>
      <c r="M72" s="179" t="e">
        <f t="array" ref="M72">INDEX(Database!Z$2:BD$122,MATCH($A$72&amp;Autoparts!$D$22&amp;Autoparts!$D$23,Database!$A2:$A122&amp;Database!$C2:$C122&amp;Database!$G2:$G122,0),1)</f>
        <v>#N/A</v>
      </c>
      <c r="N72" s="179" t="e">
        <f t="array" ref="N72">INDEX(Database!AA$2:BE$122,MATCH($A$72&amp;Autoparts!$D$22&amp;Autoparts!$D$23,Database!$A2:$A122&amp;Database!$C2:$C122&amp;Database!$G2:$G122,0),1)</f>
        <v>#N/A</v>
      </c>
      <c r="O72" s="179" t="e">
        <f t="array" ref="O72">INDEX(Database!AB$2:BF$122,MATCH($A$72&amp;Autoparts!$D$22&amp;Autoparts!$D$23,Database!$A2:$A122&amp;Database!$C2:$C122&amp;Database!$G2:$G122,0),1)</f>
        <v>#N/A</v>
      </c>
      <c r="P72" s="179" t="e">
        <f t="array" ref="P72">INDEX(Database!AC$2:BG$122,MATCH($A$72&amp;Autoparts!$D$22&amp;Autoparts!$D$23,Database!$A2:$A122&amp;Database!$C2:$C122&amp;Database!$G2:$G122,0),1)</f>
        <v>#N/A</v>
      </c>
      <c r="Q72" s="179" t="e">
        <f t="array" ref="Q72">INDEX(Database!AD$2:BH$122,MATCH($A$72&amp;Autoparts!$D$22&amp;Autoparts!$D$23,Database!$A2:$A122&amp;Database!$C2:$C122&amp;Database!$G2:$G122,0),1)</f>
        <v>#N/A</v>
      </c>
      <c r="R72" s="179" t="e">
        <f t="array" ref="R72">INDEX(Database!AE$2:BI$122,MATCH($A$72&amp;Autoparts!$D$22&amp;Autoparts!$D$23,Database!$A2:$A122&amp;Database!$C2:$C122&amp;Database!$G2:$G122,0),1)</f>
        <v>#N/A</v>
      </c>
      <c r="S72" s="179" t="e">
        <f t="array" ref="S72">INDEX(Database!AF$2:BJ$122,MATCH($A$72&amp;Autoparts!$D$22&amp;Autoparts!$D$23,Database!$A2:$A122&amp;Database!$C2:$C122&amp;Database!$G2:$G122,0),1)</f>
        <v>#N/A</v>
      </c>
      <c r="T72" s="179" t="e">
        <f t="array" ref="T72">INDEX(Database!AG$2:BK$122,MATCH($A$72&amp;Autoparts!$D$22&amp;Autoparts!$D$23,Database!$A2:$A122&amp;Database!$C2:$C122&amp;Database!$G2:$G122,0),1)</f>
        <v>#N/A</v>
      </c>
      <c r="U72" s="179" t="e">
        <f t="array" ref="U72">INDEX(Database!AH$2:BL$122,MATCH($A$72&amp;Autoparts!$D$22&amp;Autoparts!$D$23,Database!$A2:$A122&amp;Database!$C2:$C122&amp;Database!$G2:$G122,0),1)</f>
        <v>#N/A</v>
      </c>
      <c r="V72" s="179" t="e">
        <f t="array" ref="V72">INDEX(Database!AI$2:BM$122,MATCH($A$72&amp;Autoparts!$D$22&amp;Autoparts!$D$23,Database!$A2:$A122&amp;Database!$C2:$C122&amp;Database!$G2:$G122,0),1)</f>
        <v>#N/A</v>
      </c>
      <c r="W72" s="179" t="e">
        <f t="array" ref="W72">INDEX(Database!AJ$2:BN$122,MATCH($A$72&amp;Autoparts!$D$22&amp;Autoparts!$D$23,Database!$A2:$A122&amp;Database!$C2:$C122&amp;Database!$G2:$G122,0),1)</f>
        <v>#N/A</v>
      </c>
      <c r="X72" s="179" t="e">
        <f t="array" ref="X72">INDEX(Database!AK$2:BO$122,MATCH($A$72&amp;Autoparts!$D$22&amp;Autoparts!$D$23,Database!$A2:$A122&amp;Database!$C2:$C122&amp;Database!$G2:$G122,0),1)</f>
        <v>#N/A</v>
      </c>
      <c r="Y72" s="179" t="e">
        <f t="array" ref="Y72">INDEX(Database!AL$2:BP$122,MATCH($A$72&amp;Autoparts!$D$22&amp;Autoparts!$D$23,Database!$A2:$A122&amp;Database!$C2:$C122&amp;Database!$G2:$G122,0),1)</f>
        <v>#N/A</v>
      </c>
      <c r="Z72" s="179" t="e">
        <f t="array" ref="Z72">INDEX(Database!AM$2:BQ$122,MATCH($A$72&amp;Autoparts!$D$22&amp;Autoparts!$D$23,Database!$A2:$A122&amp;Database!$C2:$C122&amp;Database!$G2:$G122,0),1)</f>
        <v>#N/A</v>
      </c>
      <c r="AA72" s="179" t="e">
        <f t="array" ref="AA72">INDEX(Database!AN$2:BR$122,MATCH($A$72&amp;Autoparts!$D$22&amp;Autoparts!$D$23,Database!$A2:$A122&amp;Database!$C2:$C122&amp;Database!$G2:$G122,0),1)</f>
        <v>#N/A</v>
      </c>
      <c r="AB72" s="179" t="e">
        <f t="array" ref="AB72">INDEX(Database!AO$2:BS$122,MATCH($A$72&amp;Autoparts!$D$22&amp;Autoparts!$D$23,Database!$A2:$A122&amp;Database!$C2:$C122&amp;Database!$G2:$G122,0),1)</f>
        <v>#N/A</v>
      </c>
      <c r="AC72" s="179" t="e">
        <f t="array" ref="AC72">INDEX(Database!AP$2:BT$122,MATCH($A$72&amp;Autoparts!$D$22&amp;Autoparts!$D$23,Database!$A2:$A122&amp;Database!$C2:$C122&amp;Database!$G2:$G122,0),1)</f>
        <v>#N/A</v>
      </c>
      <c r="AD72" s="179" t="e">
        <f t="array" ref="AD72">INDEX(Database!AQ$2:BU$122,MATCH($A$72&amp;Autoparts!$D$22&amp;Autoparts!$D$23,Database!$A2:$A122&amp;Database!$C2:$C122&amp;Database!$G2:$G122,0),1)</f>
        <v>#N/A</v>
      </c>
      <c r="AE72" s="179" t="e">
        <f t="array" ref="AE72">INDEX(Database!AR$2:BV$122,MATCH($A$72&amp;Autoparts!$D$22&amp;Autoparts!$D$23,Database!$A2:$A122&amp;Database!$C2:$C122&amp;Database!$G2:$G122,0),1)</f>
        <v>#N/A</v>
      </c>
      <c r="AF72" s="179" t="e">
        <f t="array" ref="AF72">INDEX(Database!AS$2:BW$122,MATCH($A$72&amp;Autoparts!$D$22&amp;Autoparts!$D$23,Database!$A2:$A122&amp;Database!$C2:$C122&amp;Database!$G2:$G122,0),1)</f>
        <v>#N/A</v>
      </c>
      <c r="AG72" s="179" t="e">
        <f t="array" ref="AG72">INDEX(Database!AT$2:BX$122,MATCH($A$72&amp;Autoparts!$D$22&amp;Autoparts!$D$23,Database!$A2:$A122&amp;Database!$C2:$C122&amp;Database!$G2:$G122,0),1)</f>
        <v>#N/A</v>
      </c>
      <c r="AH72" s="179" t="e">
        <f t="array" ref="AH72">INDEX(Database!AU$2:BY$122,MATCH($A$72&amp;Autoparts!$D$22&amp;Autoparts!$D$23,Database!$A2:$A122&amp;Database!$C2:$C122&amp;Database!$G2:$G122,0),1)</f>
        <v>#N/A</v>
      </c>
      <c r="AI72" s="179" t="e">
        <f t="array" ref="AI72">INDEX(Database!AV$2:BZ$122,MATCH($A$72&amp;Autoparts!$D$22&amp;Autoparts!$D$23,Database!$A2:$A122&amp;Database!$C2:$C122&amp;Database!$G2:$G122,0),1)</f>
        <v>#N/A</v>
      </c>
    </row>
    <row r="73" spans="1:35" x14ac:dyDescent="0.15">
      <c r="A73" t="s">
        <v>276</v>
      </c>
      <c r="B73" t="s">
        <v>277</v>
      </c>
      <c r="C73" t="s">
        <v>262</v>
      </c>
      <c r="D73" s="181" t="e">
        <f>HLOOKUP(Autoparts!D24,G1:AI84,ROW(A72))</f>
        <v>#N/A</v>
      </c>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row>
    <row r="74" spans="1:35" x14ac:dyDescent="0.15">
      <c r="A74" s="97" t="s">
        <v>270</v>
      </c>
      <c r="B74" t="s">
        <v>416</v>
      </c>
      <c r="C74" t="s">
        <v>262</v>
      </c>
      <c r="D74" s="181" t="e">
        <f>IF(Autoparts!D26&gt;0,Autoparts!D26,NA())</f>
        <v>#N/A</v>
      </c>
      <c r="E74" s="179"/>
      <c r="F74" s="179"/>
      <c r="G74" s="179"/>
      <c r="H74" s="179" t="str">
        <f>IF(H$1&gt;=Automakers!$D$23,IFERROR(#REF!*1000000/H$34,""),NA())</f>
        <v/>
      </c>
      <c r="I74" s="179" t="str">
        <f>IF(I$1&gt;=Automakers!$D$23,IFERROR(#REF!*1000000/I$34,""),NA())</f>
        <v/>
      </c>
      <c r="J74" s="179" t="str">
        <f>IF(J$1&gt;=Automakers!$D$23,IFERROR(#REF!*1000000/J$34,""),NA())</f>
        <v/>
      </c>
      <c r="K74" s="179" t="str">
        <f>IF(K$1&gt;=Automakers!$D$23,IFERROR(#REF!*1000000/K$34,""),NA())</f>
        <v/>
      </c>
      <c r="L74" s="179" t="str">
        <f>IF(L$1&gt;=Automakers!$D$23,IFERROR(#REF!*1000000/L$34,""),NA())</f>
        <v/>
      </c>
      <c r="M74" s="179" t="str">
        <f>IF(M$1&gt;=Automakers!$D$23,IFERROR(#REF!*1000000/M$34,""),NA())</f>
        <v/>
      </c>
      <c r="N74" s="179" t="str">
        <f>IF(N$1&gt;=Automakers!$D$23,IFERROR(#REF!*1000000/N$34,""),NA())</f>
        <v/>
      </c>
      <c r="O74" s="179" t="str">
        <f>IF(O$1&gt;=Automakers!$D$23,IFERROR(#REF!*1000000/O$34,""),NA())</f>
        <v/>
      </c>
      <c r="P74" s="179" t="str">
        <f>IF(P$1&gt;=Automakers!$D$23,IFERROR(#REF!*1000000/P$34,""),NA())</f>
        <v/>
      </c>
      <c r="Q74" s="179" t="str">
        <f>IF(Q$1&gt;=Automakers!$D$23,IFERROR(#REF!*1000000/Q$34,""),NA())</f>
        <v/>
      </c>
      <c r="R74" s="179" t="str">
        <f>IF(R$1&gt;=Automakers!$D$23,IFERROR(#REF!*1000000/R$34,""),NA())</f>
        <v/>
      </c>
      <c r="S74" s="179" t="str">
        <f>IF(S$1&gt;=Automakers!$D$23,IFERROR(#REF!*1000000/S$34,""),NA())</f>
        <v/>
      </c>
      <c r="T74" s="179" t="str">
        <f>IF(T$1&gt;=Automakers!$D$23,IFERROR(#REF!*1000000/T$34,""),NA())</f>
        <v/>
      </c>
      <c r="U74" s="179" t="str">
        <f>IF(U$1&gt;=Automakers!$D$23,IFERROR(#REF!*1000000/U$34,""),NA())</f>
        <v/>
      </c>
      <c r="V74" s="179" t="str">
        <f>IF(V$1&gt;=Automakers!$D$23,IFERROR(#REF!*1000000/V$34,""),NA())</f>
        <v/>
      </c>
      <c r="W74" s="179" t="str">
        <f>IF(W$1&gt;=Automakers!$D$23,IFERROR(#REF!*1000000/W$34,""),NA())</f>
        <v/>
      </c>
      <c r="X74" s="179" t="str">
        <f>IF(X$1&gt;=Automakers!$D$23,IFERROR(#REF!*1000000/X$34,""),NA())</f>
        <v/>
      </c>
      <c r="Y74" s="179" t="str">
        <f>IF(Y$1&gt;=Automakers!$D$23,IFERROR(#REF!*1000000/Y$34,""),NA())</f>
        <v/>
      </c>
      <c r="Z74" s="179" t="str">
        <f>IF(Z$1&gt;=Automakers!$D$23,IFERROR(#REF!*1000000/Z$34,""),NA())</f>
        <v/>
      </c>
      <c r="AA74" s="179" t="str">
        <f>IF(AA$1&gt;=Automakers!$D$23,IFERROR(#REF!*1000000/AA$34,""),NA())</f>
        <v/>
      </c>
      <c r="AB74" s="179" t="str">
        <f>IF(AB$1&gt;=Automakers!$D$23,IFERROR(#REF!*1000000/AB$34,""),NA())</f>
        <v/>
      </c>
      <c r="AC74" s="179" t="str">
        <f>IF(AC$1&gt;=Automakers!$D$23,IFERROR(#REF!*1000000/AC$34,""),NA())</f>
        <v/>
      </c>
      <c r="AD74" s="179" t="str">
        <f>IF(AD$1&gt;=Automakers!$D$23,IFERROR(#REF!*1000000/AD$34,""),NA())</f>
        <v/>
      </c>
      <c r="AE74" s="179" t="str">
        <f>IF(AE$1&gt;=Automakers!$D$23,IFERROR(#REF!*1000000/AE$34,""),NA())</f>
        <v/>
      </c>
      <c r="AF74" s="179" t="str">
        <f>IF(AF$1&gt;=Automakers!$D$23,IFERROR(#REF!*1000000/AF$34,""),NA())</f>
        <v/>
      </c>
      <c r="AG74" s="179" t="str">
        <f>IF(AG$1&gt;=Automakers!$D$23,IFERROR(#REF!*1000000/AG$34,""),NA())</f>
        <v/>
      </c>
      <c r="AH74" s="179" t="str">
        <f>IF(AH$1&gt;=Automakers!$D$23,IFERROR(#REF!*1000000/AH$34,""),NA())</f>
        <v/>
      </c>
      <c r="AI74" s="179" t="str">
        <f>IF(AI$1&gt;=Automakers!$D$23,IFERROR(#REF!*1000000/AI$34,""),NA())</f>
        <v/>
      </c>
    </row>
    <row r="75" spans="1:35" x14ac:dyDescent="0.15">
      <c r="A75" t="s">
        <v>271</v>
      </c>
      <c r="B75" t="s">
        <v>417</v>
      </c>
      <c r="C75" t="s">
        <v>262</v>
      </c>
      <c r="D75" s="180"/>
      <c r="E75" s="179"/>
      <c r="F75" s="179"/>
      <c r="G75" s="179" t="e">
        <f>IF(G69=Autoparts!$D$24,Autoparts!$D$26,IF(AND(G69&gt;Autoparts!$D$24,G69&lt;2050),($D$74-$AI$72)*((G72-$AI$72)/($D$73-$AI$72))+$AI$72,G72))</f>
        <v>#N/A</v>
      </c>
      <c r="H75" s="179" t="e">
        <f>IF(H69=Autoparts!$D$24,Autoparts!$D$26,IF(AND(H69&gt;Autoparts!$D$24,H69&lt;2050),($D$74-$AI$72)*((H72-$AI$72)/($D$73-$AI$72))+$AI$72,H72))</f>
        <v>#N/A</v>
      </c>
      <c r="I75" s="179" t="e">
        <f>IF(I69=Autoparts!$D$24,Autoparts!$D$26,IF(AND(I69&gt;Autoparts!$D$24,I69&lt;2050),($D$74-$AI$72)*((I72-$AI$72)/($D$73-$AI$72))+$AI$72,I72))</f>
        <v>#N/A</v>
      </c>
      <c r="J75" s="179" t="e">
        <f>IF(J69=Autoparts!$D$24,Autoparts!$D$26,IF(AND(J69&gt;Autoparts!$D$24,J69&lt;2050),($D$74-$AI$72)*((J72-$AI$72)/($D$73-$AI$72))+$AI$72,J72))</f>
        <v>#N/A</v>
      </c>
      <c r="K75" s="179" t="e">
        <f>IF(K69=Autoparts!$D$24,Autoparts!$D$26,IF(AND(K69&gt;Autoparts!$D$24,K69&lt;2050),($D$74-$AI$72)*((K72-$AI$72)/($D$73-$AI$72))+$AI$72,K72))</f>
        <v>#N/A</v>
      </c>
      <c r="L75" s="179" t="e">
        <f>IF(L69=Autoparts!$D$24,Autoparts!$D$26,IF(AND(L69&gt;Autoparts!$D$24,L69&lt;2050),($D$74-$AI$72)*((L72-$AI$72)/($D$73-$AI$72))+$AI$72,L72))</f>
        <v>#N/A</v>
      </c>
      <c r="M75" s="179" t="e">
        <f>IF(M69=Autoparts!$D$24,Autoparts!$D$26,IF(AND(M69&gt;Autoparts!$D$24,M69&lt;2050),($D$74-$AI$72)*((M72-$AI$72)/($D$73-$AI$72))+$AI$72,M72))</f>
        <v>#N/A</v>
      </c>
      <c r="N75" s="179" t="e">
        <f>IF(N69=Autoparts!$D$24,Autoparts!$D$26,IF(AND(N69&gt;Autoparts!$D$24,N69&lt;2050),($D$74-$AI$72)*((N72-$AI$72)/($D$73-$AI$72))+$AI$72,N72))</f>
        <v>#N/A</v>
      </c>
      <c r="O75" s="179" t="e">
        <f>IF(O69=Autoparts!$D$24,Autoparts!$D$26,IF(AND(O69&gt;Autoparts!$D$24,O69&lt;2050),($D$74-$AI$72)*((O72-$AI$72)/($D$73-$AI$72))+$AI$72,O72))</f>
        <v>#N/A</v>
      </c>
      <c r="P75" s="179" t="e">
        <f>IF(P69=Autoparts!$D$24,Autoparts!$D$26,IF(AND(P69&gt;Autoparts!$D$24,P69&lt;2050),($D$74-$AI$72)*((P72-$AI$72)/($D$73-$AI$72))+$AI$72,P72))</f>
        <v>#N/A</v>
      </c>
      <c r="Q75" s="179" t="e">
        <f>IF(Q69=Autoparts!$D$24,Autoparts!$D$26,IF(AND(Q69&gt;Autoparts!$D$24,Q69&lt;2050),($D$74-$AI$72)*((Q72-$AI$72)/($D$73-$AI$72))+$AI$72,Q72))</f>
        <v>#N/A</v>
      </c>
      <c r="R75" s="179" t="e">
        <f>IF(R69=Autoparts!$D$24,Autoparts!$D$26,IF(AND(R69&gt;Autoparts!$D$24,R69&lt;2050),($D$74-$AI$72)*((R72-$AI$72)/($D$73-$AI$72))+$AI$72,R72))</f>
        <v>#N/A</v>
      </c>
      <c r="S75" s="179" t="e">
        <f>IF(S69=Autoparts!$D$24,Autoparts!$D$26,IF(AND(S69&gt;Autoparts!$D$24,S69&lt;2050),($D$74-$AI$72)*((S72-$AI$72)/($D$73-$AI$72))+$AI$72,S72))</f>
        <v>#N/A</v>
      </c>
      <c r="T75" s="179" t="e">
        <f>IF(T69=Autoparts!$D$24,Autoparts!$D$26,IF(AND(T69&gt;Autoparts!$D$24,T69&lt;2050),($D$74-$AI$72)*((T72-$AI$72)/($D$73-$AI$72))+$AI$72,T72))</f>
        <v>#N/A</v>
      </c>
      <c r="U75" s="179" t="e">
        <f>IF(U69=Autoparts!$D$24,Autoparts!$D$26,IF(AND(U69&gt;Autoparts!$D$24,U69&lt;2050),($D$74-$AI$72)*((U72-$AI$72)/($D$73-$AI$72))+$AI$72,U72))</f>
        <v>#N/A</v>
      </c>
      <c r="V75" s="179" t="e">
        <f>IF(V69=Autoparts!$D$24,Autoparts!$D$26,IF(AND(V69&gt;Autoparts!$D$24,V69&lt;2050),($D$74-$AI$72)*((V72-$AI$72)/($D$73-$AI$72))+$AI$72,V72))</f>
        <v>#N/A</v>
      </c>
      <c r="W75" s="179" t="e">
        <f>IF(W69=Autoparts!$D$24,Autoparts!$D$26,IF(AND(W69&gt;Autoparts!$D$24,W69&lt;2050),($D$74-$AI$72)*((W72-$AI$72)/($D$73-$AI$72))+$AI$72,W72))</f>
        <v>#N/A</v>
      </c>
      <c r="X75" s="179" t="e">
        <f>IF(X69=Autoparts!$D$24,Autoparts!$D$26,IF(AND(X69&gt;Autoparts!$D$24,X69&lt;2050),($D$74-$AI$72)*((X72-$AI$72)/($D$73-$AI$72))+$AI$72,X72))</f>
        <v>#N/A</v>
      </c>
      <c r="Y75" s="179" t="e">
        <f>IF(Y69=Autoparts!$D$24,Autoparts!$D$26,IF(AND(Y69&gt;Autoparts!$D$24,Y69&lt;2050),($D$74-$AI$72)*((Y72-$AI$72)/($D$73-$AI$72))+$AI$72,Y72))</f>
        <v>#N/A</v>
      </c>
      <c r="Z75" s="179" t="e">
        <f>IF(Z69=Autoparts!$D$24,Autoparts!$D$26,IF(AND(Z69&gt;Autoparts!$D$24,Z69&lt;2050),($D$74-$AI$72)*((Z72-$AI$72)/($D$73-$AI$72))+$AI$72,Z72))</f>
        <v>#N/A</v>
      </c>
      <c r="AA75" s="179" t="e">
        <f>IF(AA69=Autoparts!$D$24,Autoparts!$D$26,IF(AND(AA69&gt;Autoparts!$D$24,AA69&lt;2050),($D$74-$AI$72)*((AA72-$AI$72)/($D$73-$AI$72))+$AI$72,AA72))</f>
        <v>#N/A</v>
      </c>
      <c r="AB75" s="179" t="e">
        <f>IF(AB69=Autoparts!$D$24,Autoparts!$D$26,IF(AND(AB69&gt;Autoparts!$D$24,AB69&lt;2050),($D$74-$AI$72)*((AB72-$AI$72)/($D$73-$AI$72))+$AI$72,AB72))</f>
        <v>#N/A</v>
      </c>
      <c r="AC75" s="179" t="e">
        <f>IF(AC69=Autoparts!$D$24,Autoparts!$D$26,IF(AND(AC69&gt;Autoparts!$D$24,AC69&lt;2050),($D$74-$AI$72)*((AC72-$AI$72)/($D$73-$AI$72))+$AI$72,AC72))</f>
        <v>#N/A</v>
      </c>
      <c r="AD75" s="179" t="e">
        <f>IF(AD69=Autoparts!$D$24,Autoparts!$D$26,IF(AND(AD69&gt;Autoparts!$D$24,AD69&lt;2050),($D$74-$AI$72)*((AD72-$AI$72)/($D$73-$AI$72))+$AI$72,AD72))</f>
        <v>#N/A</v>
      </c>
      <c r="AE75" s="179" t="e">
        <f>IF(AE69=Autoparts!$D$24,Autoparts!$D$26,IF(AND(AE69&gt;Autoparts!$D$24,AE69&lt;2050),($D$74-$AI$72)*((AE72-$AI$72)/($D$73-$AI$72))+$AI$72,AE72))</f>
        <v>#N/A</v>
      </c>
      <c r="AF75" s="179" t="e">
        <f>IF(AF69=Autoparts!$D$24,Autoparts!$D$26,IF(AND(AF69&gt;Autoparts!$D$24,AF69&lt;2050),($D$74-$AI$72)*((AF72-$AI$72)/($D$73-$AI$72))+$AI$72,AF72))</f>
        <v>#N/A</v>
      </c>
      <c r="AG75" s="179" t="e">
        <f>IF(AG69=Autoparts!$D$24,Autoparts!$D$26,IF(AND(AG69&gt;Autoparts!$D$24,AG69&lt;2050),($D$74-$AI$72)*((AG72-$AI$72)/($D$73-$AI$72))+$AI$72,AG72))</f>
        <v>#N/A</v>
      </c>
      <c r="AH75" s="179" t="e">
        <f>IF(AH69=Autoparts!$D$24,Autoparts!$D$26,IF(AND(AH69&gt;Autoparts!$D$24,AH69&lt;2050),($D$74-$AI$72)*((AH72-$AI$72)/($D$73-$AI$72))+$AI$72,AH72))</f>
        <v>#N/A</v>
      </c>
      <c r="AI75" s="179" t="e">
        <f>IF(AI69=Autoparts!$D$24,Autoparts!$D$26,IF(AND(AI69&gt;Autoparts!$D$24,AI69&lt;2050),($D$74-$AI$72)*((AI72-$AI$72)/($D$73-$AI$72))+$AI$72,AI72))</f>
        <v>#N/A</v>
      </c>
    </row>
    <row r="76" spans="1:35" x14ac:dyDescent="0.15">
      <c r="B76" t="s">
        <v>418</v>
      </c>
      <c r="C76" t="s">
        <v>262</v>
      </c>
      <c r="D76" s="181" t="e">
        <f>HLOOKUP(Autoparts!$D$25,G1:AI84,ROW(A75))</f>
        <v>#N/A</v>
      </c>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row>
    <row r="77" spans="1:35" x14ac:dyDescent="0.15">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row>
    <row r="78" spans="1:35" x14ac:dyDescent="0.15">
      <c r="A78" s="1" t="s">
        <v>419</v>
      </c>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row>
    <row r="79" spans="1:35" x14ac:dyDescent="0.15">
      <c r="A79" t="s">
        <v>446</v>
      </c>
      <c r="B79" t="s">
        <v>376</v>
      </c>
      <c r="C79" t="s">
        <v>262</v>
      </c>
      <c r="D79" s="180" t="s">
        <v>304</v>
      </c>
      <c r="E79" s="1"/>
      <c r="F79" s="1"/>
      <c r="G79" s="179" t="e">
        <f t="array" ref="G79">INDEX(Database!T$2:AX$122,MATCH($A$79&amp;Autoparts!$D$60&amp;Autoparts!$D$61,Database!$A2:$A126&amp;Database!$C2:$C126&amp;Database!$G2:$G126,0),1)</f>
        <v>#N/A</v>
      </c>
      <c r="H79" s="179" t="e">
        <f t="array" ref="H79">INDEX(Database!U$2:AY$122,MATCH($A$79&amp;Autoparts!$D$60&amp;Autoparts!$D$61,Database!$A2:$A126&amp;Database!$C2:$C126&amp;Database!$G2:$G126,0),1)</f>
        <v>#N/A</v>
      </c>
      <c r="I79" s="179" t="e">
        <f t="array" ref="I79">INDEX(Database!V$2:AZ$122,MATCH($A$79&amp;Autoparts!$D$60&amp;Autoparts!$D$61,Database!$A2:$A126&amp;Database!$C2:$C126&amp;Database!$G2:$G126,0),1)</f>
        <v>#N/A</v>
      </c>
      <c r="J79" s="179" t="e">
        <f t="array" ref="J79">INDEX(Database!W$2:BA$122,MATCH($A$79&amp;Autoparts!$D$60&amp;Autoparts!$D$61,Database!$A2:$A126&amp;Database!$C2:$C126&amp;Database!$G2:$G126,0),1)</f>
        <v>#N/A</v>
      </c>
      <c r="K79" s="179" t="e">
        <f t="array" ref="K79">INDEX(Database!X$2:BB$122,MATCH($A$79&amp;Autoparts!$D$60&amp;Autoparts!$D$61,Database!$A2:$A126&amp;Database!$C2:$C126&amp;Database!$G2:$G126,0),1)</f>
        <v>#N/A</v>
      </c>
      <c r="L79" s="179" t="e">
        <f t="array" ref="L79">INDEX(Database!Y$2:BC$122,MATCH($A$79&amp;Autoparts!$D$60&amp;Autoparts!$D$61,Database!$A2:$A126&amp;Database!$C2:$C126&amp;Database!$G2:$G126,0),1)</f>
        <v>#N/A</v>
      </c>
      <c r="M79" s="179" t="e">
        <f t="array" ref="M79">INDEX(Database!Z$2:BD$122,MATCH($A$79&amp;Autoparts!$D$60&amp;Autoparts!$D$61,Database!$A2:$A126&amp;Database!$C2:$C126&amp;Database!$G2:$G126,0),1)</f>
        <v>#N/A</v>
      </c>
      <c r="N79" s="179" t="e">
        <f t="array" ref="N79">INDEX(Database!AA$2:BE$122,MATCH($A$79&amp;Autoparts!$D$60&amp;Autoparts!$D$61,Database!$A2:$A126&amp;Database!$C2:$C126&amp;Database!$G2:$G126,0),1)</f>
        <v>#N/A</v>
      </c>
      <c r="O79" s="179" t="e">
        <f t="array" ref="O79">INDEX(Database!AB$2:BF$122,MATCH($A$79&amp;Autoparts!$D$60&amp;Autoparts!$D$61,Database!$A2:$A126&amp;Database!$C2:$C126&amp;Database!$G2:$G126,0),1)</f>
        <v>#N/A</v>
      </c>
      <c r="P79" s="179" t="e">
        <f t="array" ref="P79">INDEX(Database!AC$2:BG$122,MATCH($A$79&amp;Autoparts!$D$60&amp;Autoparts!$D$61,Database!$A2:$A126&amp;Database!$C2:$C126&amp;Database!$G2:$G126,0),1)</f>
        <v>#N/A</v>
      </c>
      <c r="Q79" s="179" t="e">
        <f t="array" ref="Q79">INDEX(Database!AD$2:BH$122,MATCH($A$79&amp;Autoparts!$D$60&amp;Autoparts!$D$61,Database!$A2:$A126&amp;Database!$C2:$C126&amp;Database!$G2:$G126,0),1)</f>
        <v>#N/A</v>
      </c>
      <c r="R79" s="179" t="e">
        <f t="array" ref="R79">INDEX(Database!AE$2:BI$122,MATCH($A$79&amp;Autoparts!$D$60&amp;Autoparts!$D$61,Database!$A2:$A126&amp;Database!$C2:$C126&amp;Database!$G2:$G126,0),1)</f>
        <v>#N/A</v>
      </c>
      <c r="S79" s="179" t="e">
        <f t="array" ref="S79">INDEX(Database!AF$2:BJ$122,MATCH($A$79&amp;Autoparts!$D$60&amp;Autoparts!$D$61,Database!$A2:$A126&amp;Database!$C2:$C126&amp;Database!$G2:$G126,0),1)</f>
        <v>#N/A</v>
      </c>
      <c r="T79" s="179" t="e">
        <f t="array" ref="T79">INDEX(Database!AG$2:BK$122,MATCH($A$79&amp;Autoparts!$D$60&amp;Autoparts!$D$61,Database!$A2:$A126&amp;Database!$C2:$C126&amp;Database!$G2:$G126,0),1)</f>
        <v>#N/A</v>
      </c>
      <c r="U79" s="179" t="e">
        <f t="array" ref="U79">INDEX(Database!AH$2:BL$122,MATCH($A$79&amp;Autoparts!$D$60&amp;Autoparts!$D$61,Database!$A2:$A126&amp;Database!$C2:$C126&amp;Database!$G2:$G126,0),1)</f>
        <v>#N/A</v>
      </c>
      <c r="V79" s="179" t="e">
        <f t="array" ref="V79">INDEX(Database!AI$2:BM$122,MATCH($A$79&amp;Autoparts!$D$60&amp;Autoparts!$D$61,Database!$A2:$A126&amp;Database!$C2:$C126&amp;Database!$G2:$G126,0),1)</f>
        <v>#N/A</v>
      </c>
      <c r="W79" s="179" t="e">
        <f t="array" ref="W79">INDEX(Database!AJ$2:BN$122,MATCH($A$79&amp;Autoparts!$D$60&amp;Autoparts!$D$61,Database!$A2:$A126&amp;Database!$C2:$C126&amp;Database!$G2:$G126,0),1)</f>
        <v>#N/A</v>
      </c>
      <c r="X79" s="179" t="e">
        <f t="array" ref="X79">INDEX(Database!AK$2:BO$122,MATCH($A$79&amp;Autoparts!$D$60&amp;Autoparts!$D$61,Database!$A2:$A126&amp;Database!$C2:$C126&amp;Database!$G2:$G126,0),1)</f>
        <v>#N/A</v>
      </c>
      <c r="Y79" s="179" t="e">
        <f t="array" ref="Y79">INDEX(Database!AL$2:BP$122,MATCH($A$79&amp;Autoparts!$D$60&amp;Autoparts!$D$61,Database!$A2:$A126&amp;Database!$C2:$C126&amp;Database!$G2:$G126,0),1)</f>
        <v>#N/A</v>
      </c>
      <c r="Z79" s="179" t="e">
        <f t="array" ref="Z79">INDEX(Database!AM$2:BQ$122,MATCH($A$79&amp;Autoparts!$D$60&amp;Autoparts!$D$61,Database!$A2:$A126&amp;Database!$C2:$C126&amp;Database!$G2:$G126,0),1)</f>
        <v>#N/A</v>
      </c>
      <c r="AA79" s="179" t="e">
        <f t="array" ref="AA79">INDEX(Database!AN$2:BR$122,MATCH($A$79&amp;Autoparts!$D$60&amp;Autoparts!$D$61,Database!$A2:$A126&amp;Database!$C2:$C126&amp;Database!$G2:$G126,0),1)</f>
        <v>#N/A</v>
      </c>
      <c r="AB79" s="179" t="e">
        <f t="array" ref="AB79">INDEX(Database!AO$2:BS$122,MATCH($A$79&amp;Autoparts!$D$60&amp;Autoparts!$D$61,Database!$A2:$A126&amp;Database!$C2:$C126&amp;Database!$G2:$G126,0),1)</f>
        <v>#N/A</v>
      </c>
      <c r="AC79" s="179" t="e">
        <f t="array" ref="AC79">INDEX(Database!AP$2:BT$122,MATCH($A$79&amp;Autoparts!$D$60&amp;Autoparts!$D$61,Database!$A2:$A126&amp;Database!$C2:$C126&amp;Database!$G2:$G126,0),1)</f>
        <v>#N/A</v>
      </c>
      <c r="AD79" s="179" t="e">
        <f t="array" ref="AD79">INDEX(Database!AQ$2:BU$122,MATCH($A$79&amp;Autoparts!$D$60&amp;Autoparts!$D$61,Database!$A2:$A126&amp;Database!$C2:$C126&amp;Database!$G2:$G126,0),1)</f>
        <v>#N/A</v>
      </c>
      <c r="AE79" s="179" t="e">
        <f t="array" ref="AE79">INDEX(Database!AR$2:BV$122,MATCH($A$79&amp;Autoparts!$D$60&amp;Autoparts!$D$61,Database!$A2:$A126&amp;Database!$C2:$C126&amp;Database!$G2:$G126,0),1)</f>
        <v>#N/A</v>
      </c>
      <c r="AF79" s="179" t="e">
        <f t="array" ref="AF79">INDEX(Database!AS$2:BW$122,MATCH($A$79&amp;Autoparts!$D$60&amp;Autoparts!$D$61,Database!$A2:$A126&amp;Database!$C2:$C126&amp;Database!$G2:$G126,0),1)</f>
        <v>#N/A</v>
      </c>
      <c r="AG79" s="179" t="e">
        <f t="array" ref="AG79">INDEX(Database!AT$2:BX$122,MATCH($A$79&amp;Autoparts!$D$60&amp;Autoparts!$D$61,Database!$A2:$A126&amp;Database!$C2:$C126&amp;Database!$G2:$G126,0),1)</f>
        <v>#N/A</v>
      </c>
      <c r="AH79" s="179" t="e">
        <f t="array" ref="AH79">INDEX(Database!AU$2:BY$122,MATCH($A$79&amp;Autoparts!$D$60&amp;Autoparts!$D$61,Database!$A2:$A126&amp;Database!$C2:$C126&amp;Database!$G2:$G126,0),1)</f>
        <v>#N/A</v>
      </c>
      <c r="AI79" s="179" t="e">
        <f t="array" ref="AI79">INDEX(Database!AV$2:BZ$122,MATCH($A$79&amp;Autoparts!$D$60&amp;Autoparts!$D$61,Database!$A2:$A126&amp;Database!$C2:$C126&amp;Database!$G2:$G126,0),1)</f>
        <v>#N/A</v>
      </c>
    </row>
    <row r="80" spans="1:35" x14ac:dyDescent="0.15">
      <c r="A80" t="s">
        <v>276</v>
      </c>
      <c r="B80" t="s">
        <v>277</v>
      </c>
      <c r="C80" t="s">
        <v>262</v>
      </c>
      <c r="D80" s="181" t="e">
        <f>HLOOKUP(Autoparts!D62,G1:AI91,ROW(A79))</f>
        <v>#N/A</v>
      </c>
      <c r="E80" s="179"/>
      <c r="F80" s="179"/>
      <c r="G80" s="179"/>
      <c r="H80" s="179"/>
      <c r="I80" s="179"/>
      <c r="J80" s="179"/>
      <c r="K80" s="179"/>
      <c r="L80" s="179"/>
      <c r="M80" s="179"/>
      <c r="N80" s="179"/>
      <c r="O80" s="179"/>
      <c r="P80" s="179"/>
      <c r="Q80" s="179"/>
      <c r="R80" s="179"/>
      <c r="S80" s="179"/>
      <c r="T80" s="179"/>
      <c r="U80" s="179"/>
      <c r="V80" s="179"/>
      <c r="W80" s="179"/>
      <c r="X80" s="179"/>
      <c r="Y80" s="179"/>
      <c r="Z80" s="179"/>
      <c r="AA80" s="179"/>
      <c r="AB80" s="179"/>
      <c r="AC80" s="179"/>
      <c r="AD80" s="179"/>
      <c r="AE80" s="179"/>
      <c r="AF80" s="179"/>
      <c r="AG80" s="179"/>
      <c r="AH80" s="179"/>
      <c r="AI80" s="179"/>
    </row>
    <row r="81" spans="1:35" x14ac:dyDescent="0.15">
      <c r="A81" s="97" t="s">
        <v>270</v>
      </c>
      <c r="B81" t="s">
        <v>416</v>
      </c>
      <c r="C81" t="s">
        <v>262</v>
      </c>
      <c r="D81" s="181" t="e">
        <f>IF(Autoparts!D64&gt;0,Autoparts!D64,NA())</f>
        <v>#N/A</v>
      </c>
      <c r="E81" s="179"/>
      <c r="F81" s="179"/>
      <c r="G81" s="179"/>
      <c r="H81" s="179" t="str">
        <f>IF(H$1&gt;=Automakers!$D$23,IFERROR(#REF!*1000000/H$34,""),NA())</f>
        <v/>
      </c>
      <c r="I81" s="179" t="str">
        <f>IF(I$1&gt;=Automakers!$D$23,IFERROR(#REF!*1000000/I$34,""),NA())</f>
        <v/>
      </c>
      <c r="J81" s="179" t="str">
        <f>IF(J$1&gt;=Automakers!$D$23,IFERROR(#REF!*1000000/J$34,""),NA())</f>
        <v/>
      </c>
      <c r="K81" s="179" t="str">
        <f>IF(K$1&gt;=Automakers!$D$23,IFERROR(#REF!*1000000/K$34,""),NA())</f>
        <v/>
      </c>
      <c r="L81" s="179" t="str">
        <f>IF(L$1&gt;=Automakers!$D$23,IFERROR(#REF!*1000000/L$34,""),NA())</f>
        <v/>
      </c>
      <c r="M81" s="179" t="str">
        <f>IF(M$1&gt;=Automakers!$D$23,IFERROR(#REF!*1000000/M$34,""),NA())</f>
        <v/>
      </c>
      <c r="N81" s="179" t="str">
        <f>IF(N$1&gt;=Automakers!$D$23,IFERROR(#REF!*1000000/N$34,""),NA())</f>
        <v/>
      </c>
      <c r="O81" s="179" t="str">
        <f>IF(O$1&gt;=Automakers!$D$23,IFERROR(#REF!*1000000/O$34,""),NA())</f>
        <v/>
      </c>
      <c r="P81" s="179" t="str">
        <f>IF(P$1&gt;=Automakers!$D$23,IFERROR(#REF!*1000000/P$34,""),NA())</f>
        <v/>
      </c>
      <c r="Q81" s="179" t="str">
        <f>IF(Q$1&gt;=Automakers!$D$23,IFERROR(#REF!*1000000/Q$34,""),NA())</f>
        <v/>
      </c>
      <c r="R81" s="179" t="str">
        <f>IF(R$1&gt;=Automakers!$D$23,IFERROR(#REF!*1000000/R$34,""),NA())</f>
        <v/>
      </c>
      <c r="S81" s="179" t="str">
        <f>IF(S$1&gt;=Automakers!$D$23,IFERROR(#REF!*1000000/S$34,""),NA())</f>
        <v/>
      </c>
      <c r="T81" s="179" t="str">
        <f>IF(T$1&gt;=Automakers!$D$23,IFERROR(#REF!*1000000/T$34,""),NA())</f>
        <v/>
      </c>
      <c r="U81" s="179" t="str">
        <f>IF(U$1&gt;=Automakers!$D$23,IFERROR(#REF!*1000000/U$34,""),NA())</f>
        <v/>
      </c>
      <c r="V81" s="179" t="str">
        <f>IF(V$1&gt;=Automakers!$D$23,IFERROR(#REF!*1000000/V$34,""),NA())</f>
        <v/>
      </c>
      <c r="W81" s="179" t="str">
        <f>IF(W$1&gt;=Automakers!$D$23,IFERROR(#REF!*1000000/W$34,""),NA())</f>
        <v/>
      </c>
      <c r="X81" s="179" t="str">
        <f>IF(X$1&gt;=Automakers!$D$23,IFERROR(#REF!*1000000/X$34,""),NA())</f>
        <v/>
      </c>
      <c r="Y81" s="179" t="str">
        <f>IF(Y$1&gt;=Automakers!$D$23,IFERROR(#REF!*1000000/Y$34,""),NA())</f>
        <v/>
      </c>
      <c r="Z81" s="179" t="str">
        <f>IF(Z$1&gt;=Automakers!$D$23,IFERROR(#REF!*1000000/Z$34,""),NA())</f>
        <v/>
      </c>
      <c r="AA81" s="179" t="str">
        <f>IF(AA$1&gt;=Automakers!$D$23,IFERROR(#REF!*1000000/AA$34,""),NA())</f>
        <v/>
      </c>
      <c r="AB81" s="179" t="str">
        <f>IF(AB$1&gt;=Automakers!$D$23,IFERROR(#REF!*1000000/AB$34,""),NA())</f>
        <v/>
      </c>
      <c r="AC81" s="179" t="str">
        <f>IF(AC$1&gt;=Automakers!$D$23,IFERROR(#REF!*1000000/AC$34,""),NA())</f>
        <v/>
      </c>
      <c r="AD81" s="179" t="str">
        <f>IF(AD$1&gt;=Automakers!$D$23,IFERROR(#REF!*1000000/AD$34,""),NA())</f>
        <v/>
      </c>
      <c r="AE81" s="179" t="str">
        <f>IF(AE$1&gt;=Automakers!$D$23,IFERROR(#REF!*1000000/AE$34,""),NA())</f>
        <v/>
      </c>
      <c r="AF81" s="179" t="str">
        <f>IF(AF$1&gt;=Automakers!$D$23,IFERROR(#REF!*1000000/AF$34,""),NA())</f>
        <v/>
      </c>
      <c r="AG81" s="179" t="str">
        <f>IF(AG$1&gt;=Automakers!$D$23,IFERROR(#REF!*1000000/AG$34,""),NA())</f>
        <v/>
      </c>
      <c r="AH81" s="179" t="str">
        <f>IF(AH$1&gt;=Automakers!$D$23,IFERROR(#REF!*1000000/AH$34,""),NA())</f>
        <v/>
      </c>
      <c r="AI81" s="179" t="str">
        <f>IF(AI$1&gt;=Automakers!$D$23,IFERROR(#REF!*1000000/AI$34,""),NA())</f>
        <v/>
      </c>
    </row>
    <row r="82" spans="1:35" x14ac:dyDescent="0.15">
      <c r="A82" t="s">
        <v>271</v>
      </c>
      <c r="B82" t="s">
        <v>417</v>
      </c>
      <c r="C82" t="s">
        <v>262</v>
      </c>
      <c r="D82" s="180"/>
      <c r="E82" s="179"/>
      <c r="F82" s="179"/>
      <c r="G82" s="179" t="e">
        <f>IF(G69=Autoparts!$D$62,Autoparts!$D$64,IF(AND(G69&gt;Autoparts!$D$62,G69&lt;2050),$D81*G79/$D80,NA()))</f>
        <v>#N/A</v>
      </c>
      <c r="H82" s="179" t="e">
        <f>IF(H69=Autoparts!$D$62,Autoparts!$D$64,IF(AND(H69&gt;Autoparts!$D$62,H69&lt;2050),$D81*H79/$D80,NA()))</f>
        <v>#N/A</v>
      </c>
      <c r="I82" s="179" t="e">
        <f>IF(I69=Autoparts!$D$62,Autoparts!$D$64,IF(AND(I69&gt;Autoparts!$D$62,I69&lt;2050),$D81*I79/$D80,NA()))</f>
        <v>#N/A</v>
      </c>
      <c r="J82" s="179" t="e">
        <f>IF(J69=Autoparts!$D$62,Autoparts!$D$64,IF(AND(J69&gt;Autoparts!$D$62,J69&lt;2050),$D81*J79/$D80,NA()))</f>
        <v>#N/A</v>
      </c>
      <c r="K82" s="179" t="e">
        <f>IF(K69=Autoparts!$D$62,Autoparts!$D$64,IF(AND(K69&gt;Autoparts!$D$62,K69&lt;2050),$D81*K79/$D80,NA()))</f>
        <v>#N/A</v>
      </c>
      <c r="L82" s="179" t="e">
        <f>IF(L69=Autoparts!$D$62,Autoparts!$D$64,IF(AND(L69&gt;Autoparts!$D$62,L69&lt;2050),$D81*L79/$D80,NA()))</f>
        <v>#N/A</v>
      </c>
      <c r="M82" s="179" t="e">
        <f>IF(M69=Autoparts!$D$62,Autoparts!$D$64,IF(AND(M69&gt;Autoparts!$D$62,M69&lt;2050),$D81*M79/$D80,NA()))</f>
        <v>#N/A</v>
      </c>
      <c r="N82" s="179" t="e">
        <f>IF(N69=Autoparts!$D$62,Autoparts!$D$64,IF(AND(N69&gt;Autoparts!$D$62,N69&lt;2050),$D81*N79/$D80,NA()))</f>
        <v>#N/A</v>
      </c>
      <c r="O82" s="179" t="e">
        <f>IF(O69=Autoparts!$D$62,Autoparts!$D$64,IF(AND(O69&gt;Autoparts!$D$62,O69&lt;2050),$D81*O79/$D80,NA()))</f>
        <v>#N/A</v>
      </c>
      <c r="P82" s="179" t="e">
        <f>IF(P69=Autoparts!$D$62,Autoparts!$D$64,IF(AND(P69&gt;Autoparts!$D$62,P69&lt;2050),$D81*P79/$D80,NA()))</f>
        <v>#N/A</v>
      </c>
      <c r="Q82" s="179" t="e">
        <f>IF(Q69=Autoparts!$D$62,Autoparts!$D$64,IF(AND(Q69&gt;Autoparts!$D$62,Q69&lt;2050),$D81*Q79/$D80,NA()))</f>
        <v>#N/A</v>
      </c>
      <c r="R82" s="179" t="e">
        <f>IF(R69=Autoparts!$D$62,Autoparts!$D$64,IF(AND(R69&gt;Autoparts!$D$62,R69&lt;2050),$D81*R79/$D80,NA()))</f>
        <v>#N/A</v>
      </c>
      <c r="S82" s="179" t="e">
        <f>IF(S69=Autoparts!$D$62,Autoparts!$D$64,IF(AND(S69&gt;Autoparts!$D$62,S69&lt;2050),$D81*S79/$D80,NA()))</f>
        <v>#N/A</v>
      </c>
      <c r="T82" s="179" t="e">
        <f>IF(T69=Autoparts!$D$62,Autoparts!$D$64,IF(AND(T69&gt;Autoparts!$D$62,T69&lt;2050),$D81*T79/$D80,NA()))</f>
        <v>#N/A</v>
      </c>
      <c r="U82" s="179" t="e">
        <f>IF(U69=Autoparts!$D$62,Autoparts!$D$64,IF(AND(U69&gt;Autoparts!$D$62,U69&lt;2050),$D81*U79/$D80,NA()))</f>
        <v>#N/A</v>
      </c>
      <c r="V82" s="179" t="e">
        <f>IF(V69=Autoparts!$D$62,Autoparts!$D$64,IF(AND(V69&gt;Autoparts!$D$62,V69&lt;2050),$D81*V79/$D80,NA()))</f>
        <v>#N/A</v>
      </c>
      <c r="W82" s="179" t="e">
        <f>IF(W69=Autoparts!$D$62,Autoparts!$D$64,IF(AND(W69&gt;Autoparts!$D$62,W69&lt;2050),$D81*W79/$D80,NA()))</f>
        <v>#N/A</v>
      </c>
      <c r="X82" s="179" t="e">
        <f>IF(X69=Autoparts!$D$62,Autoparts!$D$64,IF(AND(X69&gt;Autoparts!$D$62,X69&lt;2050),$D81*X79/$D80,NA()))</f>
        <v>#N/A</v>
      </c>
      <c r="Y82" s="179" t="e">
        <f>IF(Y69=Autoparts!$D$62,Autoparts!$D$64,IF(AND(Y69&gt;Autoparts!$D$62,Y69&lt;2050),$D81*Y79/$D80,NA()))</f>
        <v>#N/A</v>
      </c>
      <c r="Z82" s="179" t="e">
        <f>IF(Z69=Autoparts!$D$62,Autoparts!$D$64,IF(AND(Z69&gt;Autoparts!$D$62,Z69&lt;2050),$D81*Z79/$D80,NA()))</f>
        <v>#N/A</v>
      </c>
      <c r="AA82" s="179" t="e">
        <f>IF(AA69=Autoparts!$D$62,Autoparts!$D$64,IF(AND(AA69&gt;Autoparts!$D$62,AA69&lt;2050),$D81*AA79/$D80,NA()))</f>
        <v>#N/A</v>
      </c>
      <c r="AB82" s="179" t="e">
        <f>IF(AB69=Autoparts!$D$62,Autoparts!$D$64,IF(AND(AB69&gt;Autoparts!$D$62,AB69&lt;2050),$D81*AB79/$D80,NA()))</f>
        <v>#N/A</v>
      </c>
      <c r="AC82" s="179" t="e">
        <f>IF(AC69=Autoparts!$D$62,Autoparts!$D$64,IF(AND(AC69&gt;Autoparts!$D$62,AC69&lt;2050),$D81*AC79/$D80,NA()))</f>
        <v>#N/A</v>
      </c>
      <c r="AD82" s="179" t="e">
        <f>IF(AD69=Autoparts!$D$62,Autoparts!$D$64,IF(AND(AD69&gt;Autoparts!$D$62,AD69&lt;2050),$D81*AD79/$D80,NA()))</f>
        <v>#N/A</v>
      </c>
      <c r="AE82" s="179" t="e">
        <f>IF(AE69=Autoparts!$D$62,Autoparts!$D$64,IF(AND(AE69&gt;Autoparts!$D$62,AE69&lt;2050),$D81*AE79/$D80,NA()))</f>
        <v>#N/A</v>
      </c>
      <c r="AF82" s="179" t="e">
        <f>IF(AF69=Autoparts!$D$62,Autoparts!$D$64,IF(AND(AF69&gt;Autoparts!$D$62,AF69&lt;2050),$D81*AF79/$D80,NA()))</f>
        <v>#N/A</v>
      </c>
      <c r="AG82" s="179" t="e">
        <f>IF(AG69=Autoparts!$D$62,Autoparts!$D$64,IF(AND(AG69&gt;Autoparts!$D$62,AG69&lt;2050),$D81*AG79/$D80,NA()))</f>
        <v>#N/A</v>
      </c>
      <c r="AH82" s="179" t="e">
        <f>IF(AH69=Autoparts!$D$62,Autoparts!$D$64,IF(AND(AH69&gt;Autoparts!$D$62,AH69&lt;2050),$D81*AH79/$D80,NA()))</f>
        <v>#N/A</v>
      </c>
      <c r="AI82" s="179" t="e">
        <f>IF(AI69=Autoparts!$D$62,Autoparts!$D$64,IF(AND(AI69&gt;Autoparts!$D$62,AI69&lt;2050),$D81*AI79/$D80,NA()))</f>
        <v>#N/A</v>
      </c>
    </row>
    <row r="83" spans="1:35" x14ac:dyDescent="0.15">
      <c r="B83" t="s">
        <v>418</v>
      </c>
      <c r="C83" t="s">
        <v>262</v>
      </c>
      <c r="D83" s="181" t="e">
        <f>HLOOKUP(Autoparts!$D$63,G1:AI91,ROW(A82))</f>
        <v>#N/A</v>
      </c>
      <c r="E83" s="179"/>
      <c r="F83" s="179"/>
      <c r="G83" s="179"/>
      <c r="H83" s="179"/>
      <c r="I83" s="179"/>
      <c r="J83" s="179"/>
      <c r="K83" s="179"/>
      <c r="L83" s="179"/>
      <c r="M83" s="179"/>
      <c r="N83" s="179"/>
      <c r="O83" s="179"/>
      <c r="P83" s="179"/>
      <c r="Q83" s="179"/>
      <c r="R83" s="179"/>
      <c r="S83" s="179"/>
      <c r="T83" s="179"/>
      <c r="U83" s="179"/>
      <c r="V83" s="179"/>
      <c r="W83" s="179"/>
      <c r="X83" s="179"/>
      <c r="Y83" s="179"/>
      <c r="Z83" s="179"/>
      <c r="AA83" s="179"/>
      <c r="AB83" s="179"/>
      <c r="AC83" s="179"/>
      <c r="AD83" s="179"/>
      <c r="AE83" s="179"/>
      <c r="AF83" s="179"/>
      <c r="AG83" s="179"/>
      <c r="AH83" s="179"/>
      <c r="AI83" s="179"/>
    </row>
    <row r="84" spans="1:35" x14ac:dyDescent="0.15">
      <c r="E84" s="179"/>
      <c r="F84" s="179"/>
      <c r="G84" s="179"/>
      <c r="H84" s="179"/>
      <c r="I84" s="179"/>
      <c r="J84" s="179"/>
      <c r="K84" s="179"/>
      <c r="L84" s="179"/>
      <c r="M84" s="179"/>
      <c r="N84" s="179"/>
      <c r="O84" s="179"/>
      <c r="P84" s="179"/>
      <c r="Q84" s="179"/>
      <c r="R84" s="179"/>
      <c r="S84" s="179"/>
      <c r="T84" s="179"/>
      <c r="U84" s="179"/>
      <c r="V84" s="179"/>
      <c r="W84" s="179"/>
      <c r="X84" s="179"/>
      <c r="Y84" s="179"/>
      <c r="Z84" s="179"/>
      <c r="AA84" s="179"/>
      <c r="AB84" s="179"/>
      <c r="AC84" s="179"/>
      <c r="AD84" s="179"/>
      <c r="AE84" s="179"/>
      <c r="AF84" s="179"/>
      <c r="AG84" s="179"/>
      <c r="AH84" s="179"/>
      <c r="AI84" s="179"/>
    </row>
    <row r="85" spans="1:35" s="172" customFormat="1" ht="23" x14ac:dyDescent="0.25">
      <c r="A85" s="171" t="s">
        <v>50</v>
      </c>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row>
    <row r="86" spans="1:35" s="172" customFormat="1" hidden="1" x14ac:dyDescent="0.15">
      <c r="A86" s="183" t="s">
        <v>11</v>
      </c>
      <c r="E86" s="173"/>
      <c r="F86" s="173"/>
      <c r="G86" s="173"/>
      <c r="H86" s="173"/>
      <c r="I86" s="173"/>
      <c r="J86" s="173"/>
      <c r="K86" s="173"/>
      <c r="L86" s="173"/>
      <c r="M86" s="173"/>
      <c r="N86" s="173"/>
      <c r="O86" s="173"/>
      <c r="P86" s="173"/>
      <c r="Q86" s="173"/>
      <c r="R86" s="173"/>
      <c r="S86" s="173"/>
      <c r="T86" s="173"/>
      <c r="U86" s="173"/>
      <c r="V86" s="173"/>
      <c r="W86" s="173"/>
      <c r="X86" s="173"/>
      <c r="Y86" s="173"/>
      <c r="Z86" s="173"/>
      <c r="AA86" s="173"/>
      <c r="AB86" s="173"/>
      <c r="AC86" s="173"/>
      <c r="AD86" s="173"/>
      <c r="AE86" s="173"/>
      <c r="AF86" s="173"/>
      <c r="AG86" s="173"/>
      <c r="AH86" s="173"/>
      <c r="AI86" s="173"/>
    </row>
    <row r="87" spans="1:35" s="172" customFormat="1" hidden="1" x14ac:dyDescent="0.15">
      <c r="A87" s="18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row>
    <row r="88" spans="1:35" s="172" customFormat="1" hidden="1" x14ac:dyDescent="0.15">
      <c r="A88" s="172" t="s">
        <v>8</v>
      </c>
      <c r="B88" s="172" t="str">
        <f>IF(OR(Automakers!$D$73=Lists!$B$26,Automakers!$D$73=Lists!$B$27,Automakers!$D$73=Lists!$B$28),"Scope 3 emissions ("&amp;C88&amp;")","Scope 1 emissions ("&amp;C88&amp;")")</f>
        <v>Scope 3 emissions (MtCO2)</v>
      </c>
      <c r="C88" s="172" t="s">
        <v>6</v>
      </c>
      <c r="E88" s="173" t="e">
        <f>IFERROR(IF(E$1&lt;Automakers!$D$23,NA(),IF(E$1&gt;Automakers!$D$26,NA(),Automakers!$D$24+(Automakers!$D$24*(HLOOKUP(Automakers!$D$26,$E$1:$AI$41,ROW(#REF!),)/HLOOKUP(Automakers!$D$23,$E$1:$AI$41,ROW(#REF!),))-Automakers!$D$24)*(E$1-Automakers!$D$23)/(Automakers!$D$26-Automakers!$D$23)))/1000,NA())</f>
        <v>#N/A</v>
      </c>
      <c r="F88" s="173" t="e">
        <f>IFERROR(IF(F$1&lt;Automakers!$D$23,NA(),IF(F$1&gt;Automakers!$D$26,NA(),Automakers!$D$24+(Automakers!$D$24*(HLOOKUP(Automakers!$D$26,$E$1:$AI$41,ROW(#REF!),)/HLOOKUP(Automakers!$D$23,$E$1:$AI$41,ROW(#REF!),))-Automakers!$D$24)*(F$1-Automakers!$D$23)/(Automakers!$D$26-Automakers!$D$23)))/1000,NA())</f>
        <v>#N/A</v>
      </c>
      <c r="G88" s="173" t="e">
        <f>IFERROR(IF(G$1&lt;Automakers!$D$23,NA(),IF(G$1&gt;Automakers!$D$26,NA(),Automakers!$D$24+(Automakers!$D$24*(HLOOKUP(Automakers!$D$26,$E$1:$AI$41,ROW(#REF!),)/HLOOKUP(Automakers!$D$23,$E$1:$AI$41,ROW(#REF!),))-Automakers!$D$24)*(G$1-Automakers!$D$23)/(Automakers!$D$26-Automakers!$D$23)))/1000,NA())</f>
        <v>#N/A</v>
      </c>
      <c r="H88" s="173" t="e">
        <f>IFERROR(IF(H$1&lt;Automakers!$D$23,NA(),IF(H$1&gt;Automakers!$D$26,NA(),Automakers!$D$24+(Automakers!$D$24*(HLOOKUP(Automakers!$D$26,$E$1:$AI$41,ROW(#REF!),)/HLOOKUP(Automakers!$D$23,$E$1:$AI$41,ROW(#REF!),))-Automakers!$D$24)*(H$1-Automakers!$D$23)/(Automakers!$D$26-Automakers!$D$23)))/1000,NA())</f>
        <v>#N/A</v>
      </c>
      <c r="I88" s="173" t="e">
        <f>IFERROR(IF(I$1&lt;Automakers!$D$23,NA(),IF(I$1&gt;Automakers!$D$26,NA(),Automakers!$D$24+(Automakers!$D$24*(HLOOKUP(Automakers!$D$26,$E$1:$AI$41,ROW(#REF!),)/HLOOKUP(Automakers!$D$23,$E$1:$AI$41,ROW(#REF!),))-Automakers!$D$24)*(I$1-Automakers!$D$23)/(Automakers!$D$26-Automakers!$D$23)))/1000,NA())</f>
        <v>#N/A</v>
      </c>
      <c r="J88" s="173" t="e">
        <f>IFERROR(IF(J$1&lt;Automakers!$D$23,NA(),IF(J$1&gt;Automakers!$D$26,NA(),Automakers!$D$24+(Automakers!$D$24*(HLOOKUP(Automakers!$D$26,$E$1:$AI$41,ROW(#REF!),)/HLOOKUP(Automakers!$D$23,$E$1:$AI$41,ROW(#REF!),))-Automakers!$D$24)*(J$1-Automakers!$D$23)/(Automakers!$D$26-Automakers!$D$23)))/1000,NA())</f>
        <v>#N/A</v>
      </c>
      <c r="K88" s="173" t="e">
        <f>IFERROR(IF(K$1&lt;Automakers!$D$23,NA(),IF(K$1&gt;Automakers!$D$26,NA(),Automakers!$D$24+(Automakers!$D$24*(HLOOKUP(Automakers!$D$26,$E$1:$AI$41,ROW(#REF!),)/HLOOKUP(Automakers!$D$23,$E$1:$AI$41,ROW(#REF!),))-Automakers!$D$24)*(K$1-Automakers!$D$23)/(Automakers!$D$26-Automakers!$D$23)))/1000,NA())</f>
        <v>#N/A</v>
      </c>
      <c r="L88" s="173" t="e">
        <f>IFERROR(IF(L$1&lt;Automakers!$D$23,NA(),IF(L$1&gt;Automakers!$D$26,NA(),Automakers!$D$24+(Automakers!$D$24*(HLOOKUP(Automakers!$D$26,$E$1:$AI$41,ROW(#REF!),)/HLOOKUP(Automakers!$D$23,$E$1:$AI$41,ROW(#REF!),))-Automakers!$D$24)*(L$1-Automakers!$D$23)/(Automakers!$D$26-Automakers!$D$23)))/1000,NA())</f>
        <v>#N/A</v>
      </c>
      <c r="M88" s="173" t="e">
        <f>IFERROR(IF(M$1&lt;Automakers!$D$23,NA(),IF(M$1&gt;Automakers!$D$26,NA(),Automakers!$D$24+(Automakers!$D$24*(HLOOKUP(Automakers!$D$26,$E$1:$AI$41,ROW(#REF!),)/HLOOKUP(Automakers!$D$23,$E$1:$AI$41,ROW(#REF!),))-Automakers!$D$24)*(M$1-Automakers!$D$23)/(Automakers!$D$26-Automakers!$D$23)))/1000,NA())</f>
        <v>#N/A</v>
      </c>
      <c r="N88" s="173" t="e">
        <f>IFERROR(IF(N$1&lt;Automakers!$D$23,NA(),IF(N$1&gt;Automakers!$D$26,NA(),Automakers!$D$24+(Automakers!$D$24*(HLOOKUP(Automakers!$D$26,$E$1:$AI$41,ROW(#REF!),)/HLOOKUP(Automakers!$D$23,$E$1:$AI$41,ROW(#REF!),))-Automakers!$D$24)*(N$1-Automakers!$D$23)/(Automakers!$D$26-Automakers!$D$23)))/1000,NA())</f>
        <v>#N/A</v>
      </c>
      <c r="O88" s="173" t="e">
        <f>IFERROR(IF(O$1&lt;Automakers!$D$23,NA(),IF(O$1&gt;Automakers!$D$26,NA(),Automakers!$D$24+(Automakers!$D$24*(HLOOKUP(Automakers!$D$26,$E$1:$AI$41,ROW(#REF!),)/HLOOKUP(Automakers!$D$23,$E$1:$AI$41,ROW(#REF!),))-Automakers!$D$24)*(O$1-Automakers!$D$23)/(Automakers!$D$26-Automakers!$D$23)))/1000,NA())</f>
        <v>#N/A</v>
      </c>
      <c r="P88" s="173" t="e">
        <f>IFERROR(IF(P$1&lt;Automakers!$D$23,NA(),IF(P$1&gt;Automakers!$D$26,NA(),Automakers!$D$24+(Automakers!$D$24*(HLOOKUP(Automakers!$D$26,$E$1:$AI$41,ROW(#REF!),)/HLOOKUP(Automakers!$D$23,$E$1:$AI$41,ROW(#REF!),))-Automakers!$D$24)*(P$1-Automakers!$D$23)/(Automakers!$D$26-Automakers!$D$23)))/1000,NA())</f>
        <v>#N/A</v>
      </c>
      <c r="Q88" s="173" t="e">
        <f>IFERROR(IF(Q$1&lt;Automakers!$D$23,NA(),IF(Q$1&gt;Automakers!$D$26,NA(),Automakers!$D$24+(Automakers!$D$24*(HLOOKUP(Automakers!$D$26,$E$1:$AI$41,ROW(#REF!),)/HLOOKUP(Automakers!$D$23,$E$1:$AI$41,ROW(#REF!),))-Automakers!$D$24)*(Q$1-Automakers!$D$23)/(Automakers!$D$26-Automakers!$D$23)))/1000,NA())</f>
        <v>#N/A</v>
      </c>
      <c r="R88" s="173" t="e">
        <f>IFERROR(IF(R$1&lt;Automakers!$D$23,NA(),IF(R$1&gt;Automakers!$D$26,NA(),Automakers!$D$24+(Automakers!$D$24*(HLOOKUP(Automakers!$D$26,$E$1:$AI$41,ROW(#REF!),)/HLOOKUP(Automakers!$D$23,$E$1:$AI$41,ROW(#REF!),))-Automakers!$D$24)*(R$1-Automakers!$D$23)/(Automakers!$D$26-Automakers!$D$23)))/1000,NA())</f>
        <v>#N/A</v>
      </c>
      <c r="S88" s="173" t="e">
        <f>IFERROR(IF(S$1&lt;Automakers!$D$23,NA(),IF(S$1&gt;Automakers!$D$26,NA(),Automakers!$D$24+(Automakers!$D$24*(HLOOKUP(Automakers!$D$26,$E$1:$AI$41,ROW(#REF!),)/HLOOKUP(Automakers!$D$23,$E$1:$AI$41,ROW(#REF!),))-Automakers!$D$24)*(S$1-Automakers!$D$23)/(Automakers!$D$26-Automakers!$D$23)))/1000,NA())</f>
        <v>#N/A</v>
      </c>
      <c r="T88" s="173" t="e">
        <f>IFERROR(IF(T$1&lt;Automakers!$D$23,NA(),IF(T$1&gt;Automakers!$D$26,NA(),Automakers!$D$24+(Automakers!$D$24*(HLOOKUP(Automakers!$D$26,$E$1:$AI$41,ROW(#REF!),)/HLOOKUP(Automakers!$D$23,$E$1:$AI$41,ROW(#REF!),))-Automakers!$D$24)*(T$1-Automakers!$D$23)/(Automakers!$D$26-Automakers!$D$23)))/1000,NA())</f>
        <v>#N/A</v>
      </c>
      <c r="U88" s="173" t="e">
        <f>IFERROR(IF(U$1&lt;Automakers!$D$23,NA(),IF(U$1&gt;Automakers!$D$26,NA(),Automakers!$D$24+(Automakers!$D$24*(HLOOKUP(Automakers!$D$26,$E$1:$AI$41,ROW(#REF!),)/HLOOKUP(Automakers!$D$23,$E$1:$AI$41,ROW(#REF!),))-Automakers!$D$24)*(U$1-Automakers!$D$23)/(Automakers!$D$26-Automakers!$D$23)))/1000,NA())</f>
        <v>#N/A</v>
      </c>
      <c r="V88" s="173" t="e">
        <f>IFERROR(IF(V$1&lt;Automakers!$D$23,NA(),IF(V$1&gt;Automakers!$D$26,NA(),Automakers!$D$24+(Automakers!$D$24*(HLOOKUP(Automakers!$D$26,$E$1:$AI$41,ROW(#REF!),)/HLOOKUP(Automakers!$D$23,$E$1:$AI$41,ROW(#REF!),))-Automakers!$D$24)*(V$1-Automakers!$D$23)/(Automakers!$D$26-Automakers!$D$23)))/1000,NA())</f>
        <v>#N/A</v>
      </c>
      <c r="W88" s="173" t="e">
        <f>IFERROR(IF(W$1&lt;Automakers!$D$23,NA(),IF(W$1&gt;Automakers!$D$26,NA(),Automakers!$D$24+(Automakers!$D$24*(HLOOKUP(Automakers!$D$26,$E$1:$AI$41,ROW(#REF!),)/HLOOKUP(Automakers!$D$23,$E$1:$AI$41,ROW(#REF!),))-Automakers!$D$24)*(W$1-Automakers!$D$23)/(Automakers!$D$26-Automakers!$D$23)))/1000,NA())</f>
        <v>#N/A</v>
      </c>
      <c r="X88" s="173" t="e">
        <f>IFERROR(IF(X$1&lt;Automakers!$D$23,NA(),IF(X$1&gt;Automakers!$D$26,NA(),Automakers!$D$24+(Automakers!$D$24*(HLOOKUP(Automakers!$D$26,$E$1:$AI$41,ROW(#REF!),)/HLOOKUP(Automakers!$D$23,$E$1:$AI$41,ROW(#REF!),))-Automakers!$D$24)*(X$1-Automakers!$D$23)/(Automakers!$D$26-Automakers!$D$23)))/1000,NA())</f>
        <v>#N/A</v>
      </c>
      <c r="Y88" s="173" t="e">
        <f>IFERROR(IF(Y$1&lt;Automakers!$D$23,NA(),IF(Y$1&gt;Automakers!$D$26,NA(),Automakers!$D$24+(Automakers!$D$24*(HLOOKUP(Automakers!$D$26,$E$1:$AI$41,ROW(#REF!),)/HLOOKUP(Automakers!$D$23,$E$1:$AI$41,ROW(#REF!),))-Automakers!$D$24)*(Y$1-Automakers!$D$23)/(Automakers!$D$26-Automakers!$D$23)))/1000,NA())</f>
        <v>#N/A</v>
      </c>
      <c r="Z88" s="173" t="e">
        <f>IFERROR(IF(Z$1&lt;Automakers!$D$23,NA(),IF(Z$1&gt;Automakers!$D$26,NA(),Automakers!$D$24+(Automakers!$D$24*(HLOOKUP(Automakers!$D$26,$E$1:$AI$41,ROW(#REF!),)/HLOOKUP(Automakers!$D$23,$E$1:$AI$41,ROW(#REF!),))-Automakers!$D$24)*(Z$1-Automakers!$D$23)/(Automakers!$D$26-Automakers!$D$23)))/1000,NA())</f>
        <v>#N/A</v>
      </c>
      <c r="AA88" s="173" t="e">
        <f>IFERROR(IF(AA$1&lt;Automakers!$D$23,NA(),IF(AA$1&gt;Automakers!$D$26,NA(),Automakers!$D$24+(Automakers!$D$24*(HLOOKUP(Automakers!$D$26,$E$1:$AI$41,ROW(#REF!),)/HLOOKUP(Automakers!$D$23,$E$1:$AI$41,ROW(#REF!),))-Automakers!$D$24)*(AA$1-Automakers!$D$23)/(Automakers!$D$26-Automakers!$D$23)))/1000,NA())</f>
        <v>#N/A</v>
      </c>
      <c r="AB88" s="173" t="e">
        <f>IFERROR(IF(AB$1&lt;Automakers!$D$23,NA(),IF(AB$1&gt;Automakers!$D$26,NA(),Automakers!$D$24+(Automakers!$D$24*(HLOOKUP(Automakers!$D$26,$E$1:$AI$41,ROW(#REF!),)/HLOOKUP(Automakers!$D$23,$E$1:$AI$41,ROW(#REF!),))-Automakers!$D$24)*(AB$1-Automakers!$D$23)/(Automakers!$D$26-Automakers!$D$23)))/1000,NA())</f>
        <v>#N/A</v>
      </c>
      <c r="AC88" s="173" t="e">
        <f>IFERROR(IF(AC$1&lt;Automakers!$D$23,NA(),IF(AC$1&gt;Automakers!$D$26,NA(),Automakers!$D$24+(Automakers!$D$24*(HLOOKUP(Automakers!$D$26,$E$1:$AI$41,ROW(#REF!),)/HLOOKUP(Automakers!$D$23,$E$1:$AI$41,ROW(#REF!),))-Automakers!$D$24)*(AC$1-Automakers!$D$23)/(Automakers!$D$26-Automakers!$D$23)))/1000,NA())</f>
        <v>#N/A</v>
      </c>
      <c r="AD88" s="173" t="e">
        <f>IFERROR(IF(AD$1&lt;Automakers!$D$23,NA(),IF(AD$1&gt;Automakers!$D$26,NA(),Automakers!$D$24+(Automakers!$D$24*(HLOOKUP(Automakers!$D$26,$E$1:$AI$41,ROW(#REF!),)/HLOOKUP(Automakers!$D$23,$E$1:$AI$41,ROW(#REF!),))-Automakers!$D$24)*(AD$1-Automakers!$D$23)/(Automakers!$D$26-Automakers!$D$23)))/1000,NA())</f>
        <v>#N/A</v>
      </c>
      <c r="AE88" s="173" t="e">
        <f>IFERROR(IF(AE$1&lt;Automakers!$D$23,NA(),IF(AE$1&gt;Automakers!$D$26,NA(),Automakers!$D$24+(Automakers!$D$24*(HLOOKUP(Automakers!$D$26,$E$1:$AI$41,ROW(#REF!),)/HLOOKUP(Automakers!$D$23,$E$1:$AI$41,ROW(#REF!),))-Automakers!$D$24)*(AE$1-Automakers!$D$23)/(Automakers!$D$26-Automakers!$D$23)))/1000,NA())</f>
        <v>#N/A</v>
      </c>
      <c r="AF88" s="173" t="e">
        <f>IFERROR(IF(AF$1&lt;Automakers!$D$23,NA(),IF(AF$1&gt;Automakers!$D$26,NA(),Automakers!$D$24+(Automakers!$D$24*(HLOOKUP(Automakers!$D$26,$E$1:$AI$41,ROW(#REF!),)/HLOOKUP(Automakers!$D$23,$E$1:$AI$41,ROW(#REF!),))-Automakers!$D$24)*(AF$1-Automakers!$D$23)/(Automakers!$D$26-Automakers!$D$23)))/1000,NA())</f>
        <v>#N/A</v>
      </c>
      <c r="AG88" s="173" t="e">
        <f>IFERROR(IF(AG$1&lt;Automakers!$D$23,NA(),IF(AG$1&gt;Automakers!$D$26,NA(),Automakers!$D$24+(Automakers!$D$24*(HLOOKUP(Automakers!$D$26,$E$1:$AI$41,ROW(#REF!),)/HLOOKUP(Automakers!$D$23,$E$1:$AI$41,ROW(#REF!),))-Automakers!$D$24)*(AG$1-Automakers!$D$23)/(Automakers!$D$26-Automakers!$D$23)))/1000,NA())</f>
        <v>#N/A</v>
      </c>
      <c r="AH88" s="173" t="e">
        <f>IFERROR(IF(AH$1&lt;Automakers!$D$23,NA(),IF(AH$1&gt;Automakers!$D$26,NA(),Automakers!$D$24+(Automakers!$D$24*(HLOOKUP(Automakers!$D$26,$E$1:$AI$41,ROW(#REF!),)/HLOOKUP(Automakers!$D$23,$E$1:$AI$41,ROW(#REF!),))-Automakers!$D$24)*(AH$1-Automakers!$D$23)/(Automakers!$D$26-Automakers!$D$23)))/1000,NA())</f>
        <v>#N/A</v>
      </c>
      <c r="AI88" s="173" t="e">
        <f>IFERROR(IF(AI$1&lt;Automakers!$D$23,NA(),IF(AI$1&gt;Automakers!$D$26,NA(),Automakers!$D$24+(Automakers!$D$24*(HLOOKUP(Automakers!$D$26,$E$1:$AI$41,ROW(#REF!),)/HLOOKUP(Automakers!$D$23,$E$1:$AI$41,ROW(#REF!),))-Automakers!$D$24)*(AI$1-Automakers!$D$23)/(Automakers!$D$26-Automakers!$D$23)))/1000,NA())</f>
        <v>#N/A</v>
      </c>
    </row>
    <row r="89" spans="1:35" s="172" customFormat="1" hidden="1" x14ac:dyDescent="0.15">
      <c r="A89" s="172" t="s">
        <v>10</v>
      </c>
      <c r="B89" s="172" t="str">
        <f>"Scope 2 emissions ("&amp;C89&amp;")"</f>
        <v>Scope 2 emissions (MtCO2)</v>
      </c>
      <c r="C89" s="172" t="s">
        <v>6</v>
      </c>
      <c r="E89" s="173" t="e">
        <f>IFERROR(IF(E$1&lt;Automakers!$D$23,NA(),IF(E$1&gt;Automakers!$D$26,NA(),Automakers!$D$25+(Automakers!$D$25*(HLOOKUP(Automakers!$D$26,$E$1:$AI$34,ROW(#REF!),)/HLOOKUP(Automakers!$D$23,$E$1:$AI$34,ROW(#REF!),))-Automakers!$D$25)*(E$1-Automakers!$D$23)/(Automakers!$D$26-Automakers!$D$23)))/1000,NA())</f>
        <v>#N/A</v>
      </c>
      <c r="F89" s="173" t="e">
        <f>IFERROR(IF(F$1&lt;Automakers!$D$23,NA(),IF(F$1&gt;Automakers!$D$26,NA(),Automakers!$D$25+(Automakers!$D$25*(HLOOKUP(Automakers!$D$26,$E$1:$AI$34,ROW(#REF!),)/HLOOKUP(Automakers!$D$23,$E$1:$AI$34,ROW(#REF!),))-Automakers!$D$25)*(F$1-Automakers!$D$23)/(Automakers!$D$26-Automakers!$D$23)))/1000,NA())</f>
        <v>#N/A</v>
      </c>
      <c r="G89" s="173" t="e">
        <f>IFERROR(IF(G$1&lt;Automakers!$D$23,NA(),IF(G$1&gt;Automakers!$D$26,NA(),Automakers!$D$25+(Automakers!$D$25*(HLOOKUP(Automakers!$D$26,$E$1:$AI$34,ROW(#REF!),)/HLOOKUP(Automakers!$D$23,$E$1:$AI$34,ROW(#REF!),))-Automakers!$D$25)*(G$1-Automakers!$D$23)/(Automakers!$D$26-Automakers!$D$23)))/1000,NA())</f>
        <v>#N/A</v>
      </c>
      <c r="H89" s="173" t="e">
        <f>IFERROR(IF(H$1&lt;Automakers!$D$23,NA(),IF(H$1&gt;Automakers!$D$26,NA(),Automakers!$D$25+(Automakers!$D$25*(HLOOKUP(Automakers!$D$26,$E$1:$AI$34,ROW(#REF!),)/HLOOKUP(Automakers!$D$23,$E$1:$AI$34,ROW(#REF!),))-Automakers!$D$25)*(H$1-Automakers!$D$23)/(Automakers!$D$26-Automakers!$D$23)))/1000,NA())</f>
        <v>#N/A</v>
      </c>
      <c r="I89" s="173" t="e">
        <f>IFERROR(IF(I$1&lt;Automakers!$D$23,NA(),IF(I$1&gt;Automakers!$D$26,NA(),Automakers!$D$25+(Automakers!$D$25*(HLOOKUP(Automakers!$D$26,$E$1:$AI$34,ROW(#REF!),)/HLOOKUP(Automakers!$D$23,$E$1:$AI$34,ROW(#REF!),))-Automakers!$D$25)*(I$1-Automakers!$D$23)/(Automakers!$D$26-Automakers!$D$23)))/1000,NA())</f>
        <v>#N/A</v>
      </c>
      <c r="J89" s="173" t="e">
        <f>IFERROR(IF(J$1&lt;Automakers!$D$23,NA(),IF(J$1&gt;Automakers!$D$26,NA(),Automakers!$D$25+(Automakers!$D$25*(HLOOKUP(Automakers!$D$26,$E$1:$AI$34,ROW(#REF!),)/HLOOKUP(Automakers!$D$23,$E$1:$AI$34,ROW(#REF!),))-Automakers!$D$25)*(J$1-Automakers!$D$23)/(Automakers!$D$26-Automakers!$D$23)))/1000,NA())</f>
        <v>#N/A</v>
      </c>
      <c r="K89" s="173" t="e">
        <f>IFERROR(IF(K$1&lt;Automakers!$D$23,NA(),IF(K$1&gt;Automakers!$D$26,NA(),Automakers!$D$25+(Automakers!$D$25*(HLOOKUP(Automakers!$D$26,$E$1:$AI$34,ROW(#REF!),)/HLOOKUP(Automakers!$D$23,$E$1:$AI$34,ROW(#REF!),))-Automakers!$D$25)*(K$1-Automakers!$D$23)/(Automakers!$D$26-Automakers!$D$23)))/1000,NA())</f>
        <v>#N/A</v>
      </c>
      <c r="L89" s="173" t="e">
        <f>IFERROR(IF(L$1&lt;Automakers!$D$23,NA(),IF(L$1&gt;Automakers!$D$26,NA(),Automakers!$D$25+(Automakers!$D$25*(HLOOKUP(Automakers!$D$26,$E$1:$AI$34,ROW(#REF!),)/HLOOKUP(Automakers!$D$23,$E$1:$AI$34,ROW(#REF!),))-Automakers!$D$25)*(L$1-Automakers!$D$23)/(Automakers!$D$26-Automakers!$D$23)))/1000,NA())</f>
        <v>#N/A</v>
      </c>
      <c r="M89" s="173" t="e">
        <f>IFERROR(IF(M$1&lt;Automakers!$D$23,NA(),IF(M$1&gt;Automakers!$D$26,NA(),Automakers!$D$25+(Automakers!$D$25*(HLOOKUP(Automakers!$D$26,$E$1:$AI$34,ROW(#REF!),)/HLOOKUP(Automakers!$D$23,$E$1:$AI$34,ROW(#REF!),))-Automakers!$D$25)*(M$1-Automakers!$D$23)/(Automakers!$D$26-Automakers!$D$23)))/1000,NA())</f>
        <v>#N/A</v>
      </c>
      <c r="N89" s="173" t="e">
        <f>IFERROR(IF(N$1&lt;Automakers!$D$23,NA(),IF(N$1&gt;Automakers!$D$26,NA(),Automakers!$D$25+(Automakers!$D$25*(HLOOKUP(Automakers!$D$26,$E$1:$AI$34,ROW(#REF!),)/HLOOKUP(Automakers!$D$23,$E$1:$AI$34,ROW(#REF!),))-Automakers!$D$25)*(N$1-Automakers!$D$23)/(Automakers!$D$26-Automakers!$D$23)))/1000,NA())</f>
        <v>#N/A</v>
      </c>
      <c r="O89" s="173" t="e">
        <f>IFERROR(IF(O$1&lt;Automakers!$D$23,NA(),IF(O$1&gt;Automakers!$D$26,NA(),Automakers!$D$25+(Automakers!$D$25*(HLOOKUP(Automakers!$D$26,$E$1:$AI$34,ROW(#REF!),)/HLOOKUP(Automakers!$D$23,$E$1:$AI$34,ROW(#REF!),))-Automakers!$D$25)*(O$1-Automakers!$D$23)/(Automakers!$D$26-Automakers!$D$23)))/1000,NA())</f>
        <v>#N/A</v>
      </c>
      <c r="P89" s="173" t="e">
        <f>IFERROR(IF(P$1&lt;Automakers!$D$23,NA(),IF(P$1&gt;Automakers!$D$26,NA(),Automakers!$D$25+(Automakers!$D$25*(HLOOKUP(Automakers!$D$26,$E$1:$AI$34,ROW(#REF!),)/HLOOKUP(Automakers!$D$23,$E$1:$AI$34,ROW(#REF!),))-Automakers!$D$25)*(P$1-Automakers!$D$23)/(Automakers!$D$26-Automakers!$D$23)))/1000,NA())</f>
        <v>#N/A</v>
      </c>
      <c r="Q89" s="173" t="e">
        <f>IFERROR(IF(Q$1&lt;Automakers!$D$23,NA(),IF(Q$1&gt;Automakers!$D$26,NA(),Automakers!$D$25+(Automakers!$D$25*(HLOOKUP(Automakers!$D$26,$E$1:$AI$34,ROW(#REF!),)/HLOOKUP(Automakers!$D$23,$E$1:$AI$34,ROW(#REF!),))-Automakers!$D$25)*(Q$1-Automakers!$D$23)/(Automakers!$D$26-Automakers!$D$23)))/1000,NA())</f>
        <v>#N/A</v>
      </c>
      <c r="R89" s="173" t="e">
        <f>IFERROR(IF(R$1&lt;Automakers!$D$23,NA(),IF(R$1&gt;Automakers!$D$26,NA(),Automakers!$D$25+(Automakers!$D$25*(HLOOKUP(Automakers!$D$26,$E$1:$AI$34,ROW(#REF!),)/HLOOKUP(Automakers!$D$23,$E$1:$AI$34,ROW(#REF!),))-Automakers!$D$25)*(R$1-Automakers!$D$23)/(Automakers!$D$26-Automakers!$D$23)))/1000,NA())</f>
        <v>#N/A</v>
      </c>
      <c r="S89" s="173" t="e">
        <f>IFERROR(IF(S$1&lt;Automakers!$D$23,NA(),IF(S$1&gt;Automakers!$D$26,NA(),Automakers!$D$25+(Automakers!$D$25*(HLOOKUP(Automakers!$D$26,$E$1:$AI$34,ROW(#REF!),)/HLOOKUP(Automakers!$D$23,$E$1:$AI$34,ROW(#REF!),))-Automakers!$D$25)*(S$1-Automakers!$D$23)/(Automakers!$D$26-Automakers!$D$23)))/1000,NA())</f>
        <v>#N/A</v>
      </c>
      <c r="T89" s="173" t="e">
        <f>IFERROR(IF(T$1&lt;Automakers!$D$23,NA(),IF(T$1&gt;Automakers!$D$26,NA(),Automakers!$D$25+(Automakers!$D$25*(HLOOKUP(Automakers!$D$26,$E$1:$AI$34,ROW(#REF!),)/HLOOKUP(Automakers!$D$23,$E$1:$AI$34,ROW(#REF!),))-Automakers!$D$25)*(T$1-Automakers!$D$23)/(Automakers!$D$26-Automakers!$D$23)))/1000,NA())</f>
        <v>#N/A</v>
      </c>
      <c r="U89" s="173" t="e">
        <f>IFERROR(IF(U$1&lt;Automakers!$D$23,NA(),IF(U$1&gt;Automakers!$D$26,NA(),Automakers!$D$25+(Automakers!$D$25*(HLOOKUP(Automakers!$D$26,$E$1:$AI$34,ROW(#REF!),)/HLOOKUP(Automakers!$D$23,$E$1:$AI$34,ROW(#REF!),))-Automakers!$D$25)*(U$1-Automakers!$D$23)/(Automakers!$D$26-Automakers!$D$23)))/1000,NA())</f>
        <v>#N/A</v>
      </c>
      <c r="V89" s="173" t="e">
        <f>IFERROR(IF(V$1&lt;Automakers!$D$23,NA(),IF(V$1&gt;Automakers!$D$26,NA(),Automakers!$D$25+(Automakers!$D$25*(HLOOKUP(Automakers!$D$26,$E$1:$AI$34,ROW(#REF!),)/HLOOKUP(Automakers!$D$23,$E$1:$AI$34,ROW(#REF!),))-Automakers!$D$25)*(V$1-Automakers!$D$23)/(Automakers!$D$26-Automakers!$D$23)))/1000,NA())</f>
        <v>#N/A</v>
      </c>
      <c r="W89" s="173" t="e">
        <f>IFERROR(IF(W$1&lt;Automakers!$D$23,NA(),IF(W$1&gt;Automakers!$D$26,NA(),Automakers!$D$25+(Automakers!$D$25*(HLOOKUP(Automakers!$D$26,$E$1:$AI$34,ROW(#REF!),)/HLOOKUP(Automakers!$D$23,$E$1:$AI$34,ROW(#REF!),))-Automakers!$D$25)*(W$1-Automakers!$D$23)/(Automakers!$D$26-Automakers!$D$23)))/1000,NA())</f>
        <v>#N/A</v>
      </c>
      <c r="X89" s="173" t="e">
        <f>IFERROR(IF(X$1&lt;Automakers!$D$23,NA(),IF(X$1&gt;Automakers!$D$26,NA(),Automakers!$D$25+(Automakers!$D$25*(HLOOKUP(Automakers!$D$26,$E$1:$AI$34,ROW(#REF!),)/HLOOKUP(Automakers!$D$23,$E$1:$AI$34,ROW(#REF!),))-Automakers!$D$25)*(X$1-Automakers!$D$23)/(Automakers!$D$26-Automakers!$D$23)))/1000,NA())</f>
        <v>#N/A</v>
      </c>
      <c r="Y89" s="173" t="e">
        <f>IFERROR(IF(Y$1&lt;Automakers!$D$23,NA(),IF(Y$1&gt;Automakers!$D$26,NA(),Automakers!$D$25+(Automakers!$D$25*(HLOOKUP(Automakers!$D$26,$E$1:$AI$34,ROW(#REF!),)/HLOOKUP(Automakers!$D$23,$E$1:$AI$34,ROW(#REF!),))-Automakers!$D$25)*(Y$1-Automakers!$D$23)/(Automakers!$D$26-Automakers!$D$23)))/1000,NA())</f>
        <v>#N/A</v>
      </c>
      <c r="Z89" s="173" t="e">
        <f>IFERROR(IF(Z$1&lt;Automakers!$D$23,NA(),IF(Z$1&gt;Automakers!$D$26,NA(),Automakers!$D$25+(Automakers!$D$25*(HLOOKUP(Automakers!$D$26,$E$1:$AI$34,ROW(#REF!),)/HLOOKUP(Automakers!$D$23,$E$1:$AI$34,ROW(#REF!),))-Automakers!$D$25)*(Z$1-Automakers!$D$23)/(Automakers!$D$26-Automakers!$D$23)))/1000,NA())</f>
        <v>#N/A</v>
      </c>
      <c r="AA89" s="173" t="e">
        <f>IFERROR(IF(AA$1&lt;Automakers!$D$23,NA(),IF(AA$1&gt;Automakers!$D$26,NA(),Automakers!$D$25+(Automakers!$D$25*(HLOOKUP(Automakers!$D$26,$E$1:$AI$34,ROW(#REF!),)/HLOOKUP(Automakers!$D$23,$E$1:$AI$34,ROW(#REF!),))-Automakers!$D$25)*(AA$1-Automakers!$D$23)/(Automakers!$D$26-Automakers!$D$23)))/1000,NA())</f>
        <v>#N/A</v>
      </c>
      <c r="AB89" s="173" t="e">
        <f>IFERROR(IF(AB$1&lt;Automakers!$D$23,NA(),IF(AB$1&gt;Automakers!$D$26,NA(),Automakers!$D$25+(Automakers!$D$25*(HLOOKUP(Automakers!$D$26,$E$1:$AI$34,ROW(#REF!),)/HLOOKUP(Automakers!$D$23,$E$1:$AI$34,ROW(#REF!),))-Automakers!$D$25)*(AB$1-Automakers!$D$23)/(Automakers!$D$26-Automakers!$D$23)))/1000,NA())</f>
        <v>#N/A</v>
      </c>
      <c r="AC89" s="173" t="e">
        <f>IFERROR(IF(AC$1&lt;Automakers!$D$23,NA(),IF(AC$1&gt;Automakers!$D$26,NA(),Automakers!$D$25+(Automakers!$D$25*(HLOOKUP(Automakers!$D$26,$E$1:$AI$34,ROW(#REF!),)/HLOOKUP(Automakers!$D$23,$E$1:$AI$34,ROW(#REF!),))-Automakers!$D$25)*(AC$1-Automakers!$D$23)/(Automakers!$D$26-Automakers!$D$23)))/1000,NA())</f>
        <v>#N/A</v>
      </c>
      <c r="AD89" s="173" t="e">
        <f>IFERROR(IF(AD$1&lt;Automakers!$D$23,NA(),IF(AD$1&gt;Automakers!$D$26,NA(),Automakers!$D$25+(Automakers!$D$25*(HLOOKUP(Automakers!$D$26,$E$1:$AI$34,ROW(#REF!),)/HLOOKUP(Automakers!$D$23,$E$1:$AI$34,ROW(#REF!),))-Automakers!$D$25)*(AD$1-Automakers!$D$23)/(Automakers!$D$26-Automakers!$D$23)))/1000,NA())</f>
        <v>#N/A</v>
      </c>
      <c r="AE89" s="173" t="e">
        <f>IFERROR(IF(AE$1&lt;Automakers!$D$23,NA(),IF(AE$1&gt;Automakers!$D$26,NA(),Automakers!$D$25+(Automakers!$D$25*(HLOOKUP(Automakers!$D$26,$E$1:$AI$34,ROW(#REF!),)/HLOOKUP(Automakers!$D$23,$E$1:$AI$34,ROW(#REF!),))-Automakers!$D$25)*(AE$1-Automakers!$D$23)/(Automakers!$D$26-Automakers!$D$23)))/1000,NA())</f>
        <v>#N/A</v>
      </c>
      <c r="AF89" s="173" t="e">
        <f>IFERROR(IF(AF$1&lt;Automakers!$D$23,NA(),IF(AF$1&gt;Automakers!$D$26,NA(),Automakers!$D$25+(Automakers!$D$25*(HLOOKUP(Automakers!$D$26,$E$1:$AI$34,ROW(#REF!),)/HLOOKUP(Automakers!$D$23,$E$1:$AI$34,ROW(#REF!),))-Automakers!$D$25)*(AF$1-Automakers!$D$23)/(Automakers!$D$26-Automakers!$D$23)))/1000,NA())</f>
        <v>#N/A</v>
      </c>
      <c r="AG89" s="173" t="e">
        <f>IFERROR(IF(AG$1&lt;Automakers!$D$23,NA(),IF(AG$1&gt;Automakers!$D$26,NA(),Automakers!$D$25+(Automakers!$D$25*(HLOOKUP(Automakers!$D$26,$E$1:$AI$34,ROW(#REF!),)/HLOOKUP(Automakers!$D$23,$E$1:$AI$34,ROW(#REF!),))-Automakers!$D$25)*(AG$1-Automakers!$D$23)/(Automakers!$D$26-Automakers!$D$23)))/1000,NA())</f>
        <v>#N/A</v>
      </c>
      <c r="AH89" s="173" t="e">
        <f>IFERROR(IF(AH$1&lt;Automakers!$D$23,NA(),IF(AH$1&gt;Automakers!$D$26,NA(),Automakers!$D$25+(Automakers!$D$25*(HLOOKUP(Automakers!$D$26,$E$1:$AI$34,ROW(#REF!),)/HLOOKUP(Automakers!$D$23,$E$1:$AI$34,ROW(#REF!),))-Automakers!$D$25)*(AH$1-Automakers!$D$23)/(Automakers!$D$26-Automakers!$D$23)))/1000,NA())</f>
        <v>#N/A</v>
      </c>
      <c r="AI89" s="173" t="e">
        <f>IFERROR(IF(AI$1&lt;Automakers!$D$23,NA(),IF(AI$1&gt;Automakers!$D$26,NA(),Automakers!$D$25+(Automakers!$D$25*(HLOOKUP(Automakers!$D$26,$E$1:$AI$34,ROW(#REF!),)/HLOOKUP(Automakers!$D$23,$E$1:$AI$34,ROW(#REF!),))-Automakers!$D$25)*(AI$1-Automakers!$D$23)/(Automakers!$D$26-Automakers!$D$23)))/1000,NA())</f>
        <v>#N/A</v>
      </c>
    </row>
    <row r="90" spans="1:35" s="172" customFormat="1" hidden="1" x14ac:dyDescent="0.15">
      <c r="A90" s="172" t="s">
        <v>9</v>
      </c>
      <c r="B90" s="172" t="e">
        <f>IF(OR(Automakers!$D$73=Lists!$B$26,Automakers!$D$73=Lists!$B$27,Automakers!$D$73=Lists!$B$28),"Scope 3 emissions intensity ("&amp;C90&amp;")","Scope 1 emissions intensity ("&amp;C90&amp;")")</f>
        <v>#N/A</v>
      </c>
      <c r="C90" s="172" t="e">
        <f>INDEX(Lists!$E$2:$E$50,MATCH(Automakers!$D$73,Lists!$B$2:$B$50,0))</f>
        <v>#N/A</v>
      </c>
      <c r="E90" s="173" t="e">
        <f>IFERROR(E88*INDEX(Lists!$F$6:$F$50,MATCH(Automakers!$D$73,Lists!$B$2:$B$50,0))*1000/#REF!,NA())</f>
        <v>#N/A</v>
      </c>
      <c r="F90" s="173" t="e">
        <f>IFERROR(F88*INDEX(Lists!$F$6:$F$50,MATCH(Automakers!$D$73,Lists!$B$2:$B$50,0))*1000/#REF!,NA())</f>
        <v>#N/A</v>
      </c>
      <c r="G90" s="173" t="e">
        <f>IFERROR(G88*INDEX(Lists!$F$6:$F$50,MATCH(Automakers!$D$73,Lists!$B$2:$B$50,0))*1000/#REF!,NA())</f>
        <v>#N/A</v>
      </c>
      <c r="H90" s="173" t="e">
        <f>IFERROR(H88*INDEX(Lists!$F$6:$F$50,MATCH(Automakers!$D$73,Lists!$B$2:$B$50,0))*1000/#REF!,NA())</f>
        <v>#N/A</v>
      </c>
      <c r="I90" s="173" t="e">
        <f>IFERROR(I88*INDEX(Lists!$F$6:$F$50,MATCH(Automakers!$D$73,Lists!$B$2:$B$50,0))*1000/#REF!,NA())</f>
        <v>#N/A</v>
      </c>
      <c r="J90" s="173" t="e">
        <f>IFERROR(J88*INDEX(Lists!$F$6:$F$50,MATCH(Automakers!$D$73,Lists!$B$2:$B$50,0))*1000/#REF!,NA())</f>
        <v>#N/A</v>
      </c>
      <c r="K90" s="173" t="e">
        <f>IFERROR(K88*INDEX(Lists!$F$6:$F$50,MATCH(Automakers!$D$73,Lists!$B$2:$B$50,0))*1000/#REF!,NA())</f>
        <v>#N/A</v>
      </c>
      <c r="L90" s="173" t="e">
        <f>IFERROR(L88*INDEX(Lists!$F$6:$F$50,MATCH(Automakers!$D$73,Lists!$B$2:$B$50,0))*1000/#REF!,NA())</f>
        <v>#N/A</v>
      </c>
      <c r="M90" s="173" t="e">
        <f>IFERROR(M88*INDEX(Lists!$F$6:$F$50,MATCH(Automakers!$D$73,Lists!$B$2:$B$50,0))*1000/#REF!,NA())</f>
        <v>#N/A</v>
      </c>
      <c r="N90" s="173" t="e">
        <f>IFERROR(N88*INDEX(Lists!$F$6:$F$50,MATCH(Automakers!$D$73,Lists!$B$2:$B$50,0))*1000/#REF!,NA())</f>
        <v>#N/A</v>
      </c>
      <c r="O90" s="173" t="e">
        <f>IFERROR(O88*INDEX(Lists!$F$6:$F$50,MATCH(Automakers!$D$73,Lists!$B$2:$B$50,0))*1000/#REF!,NA())</f>
        <v>#N/A</v>
      </c>
      <c r="P90" s="173" t="e">
        <f>IFERROR(P88*INDEX(Lists!$F$6:$F$50,MATCH(Automakers!$D$73,Lists!$B$2:$B$50,0))*1000/#REF!,NA())</f>
        <v>#N/A</v>
      </c>
      <c r="Q90" s="173" t="e">
        <f>IFERROR(Q88*INDEX(Lists!$F$6:$F$50,MATCH(Automakers!$D$73,Lists!$B$2:$B$50,0))*1000/#REF!,NA())</f>
        <v>#N/A</v>
      </c>
      <c r="R90" s="173" t="e">
        <f>IFERROR(R88*INDEX(Lists!$F$6:$F$50,MATCH(Automakers!$D$73,Lists!$B$2:$B$50,0))*1000/#REF!,NA())</f>
        <v>#N/A</v>
      </c>
      <c r="S90" s="173" t="e">
        <f>IFERROR(S88*INDEX(Lists!$F$6:$F$50,MATCH(Automakers!$D$73,Lists!$B$2:$B$50,0))*1000/#REF!,NA())</f>
        <v>#N/A</v>
      </c>
      <c r="T90" s="173" t="e">
        <f>IFERROR(T88*INDEX(Lists!$F$6:$F$50,MATCH(Automakers!$D$73,Lists!$B$2:$B$50,0))*1000/#REF!,NA())</f>
        <v>#N/A</v>
      </c>
      <c r="U90" s="173" t="e">
        <f>IFERROR(U88*INDEX(Lists!$F$6:$F$50,MATCH(Automakers!$D$73,Lists!$B$2:$B$50,0))*1000/#REF!,NA())</f>
        <v>#N/A</v>
      </c>
      <c r="V90" s="173" t="e">
        <f>IFERROR(V88*INDEX(Lists!$F$6:$F$50,MATCH(Automakers!$D$73,Lists!$B$2:$B$50,0))*1000/#REF!,NA())</f>
        <v>#N/A</v>
      </c>
      <c r="W90" s="173" t="e">
        <f>IFERROR(W88*INDEX(Lists!$F$6:$F$50,MATCH(Automakers!$D$73,Lists!$B$2:$B$50,0))*1000/#REF!,NA())</f>
        <v>#N/A</v>
      </c>
      <c r="X90" s="173" t="e">
        <f>IFERROR(X88*INDEX(Lists!$F$6:$F$50,MATCH(Automakers!$D$73,Lists!$B$2:$B$50,0))*1000/#REF!,NA())</f>
        <v>#N/A</v>
      </c>
      <c r="Y90" s="173" t="e">
        <f>IFERROR(Y88*INDEX(Lists!$F$6:$F$50,MATCH(Automakers!$D$73,Lists!$B$2:$B$50,0))*1000/#REF!,NA())</f>
        <v>#N/A</v>
      </c>
      <c r="Z90" s="173" t="e">
        <f>IFERROR(Z88*INDEX(Lists!$F$6:$F$50,MATCH(Automakers!$D$73,Lists!$B$2:$B$50,0))*1000/#REF!,NA())</f>
        <v>#N/A</v>
      </c>
      <c r="AA90" s="173" t="e">
        <f>IFERROR(AA88*INDEX(Lists!$F$6:$F$50,MATCH(Automakers!$D$73,Lists!$B$2:$B$50,0))*1000/#REF!,NA())</f>
        <v>#N/A</v>
      </c>
      <c r="AB90" s="173" t="e">
        <f>IFERROR(AB88*INDEX(Lists!$F$6:$F$50,MATCH(Automakers!$D$73,Lists!$B$2:$B$50,0))*1000/#REF!,NA())</f>
        <v>#N/A</v>
      </c>
      <c r="AC90" s="173" t="e">
        <f>IFERROR(AC88*INDEX(Lists!$F$6:$F$50,MATCH(Automakers!$D$73,Lists!$B$2:$B$50,0))*1000/#REF!,NA())</f>
        <v>#N/A</v>
      </c>
      <c r="AD90" s="173" t="e">
        <f>IFERROR(AD88*INDEX(Lists!$F$6:$F$50,MATCH(Automakers!$D$73,Lists!$B$2:$B$50,0))*1000/#REF!,NA())</f>
        <v>#N/A</v>
      </c>
      <c r="AE90" s="173" t="e">
        <f>IFERROR(AE88*INDEX(Lists!$F$6:$F$50,MATCH(Automakers!$D$73,Lists!$B$2:$B$50,0))*1000/#REF!,NA())</f>
        <v>#N/A</v>
      </c>
      <c r="AF90" s="173" t="e">
        <f>IFERROR(AF88*INDEX(Lists!$F$6:$F$50,MATCH(Automakers!$D$73,Lists!$B$2:$B$50,0))*1000/#REF!,NA())</f>
        <v>#N/A</v>
      </c>
      <c r="AG90" s="173" t="e">
        <f>IFERROR(AG88*INDEX(Lists!$F$6:$F$50,MATCH(Automakers!$D$73,Lists!$B$2:$B$50,0))*1000/#REF!,NA())</f>
        <v>#N/A</v>
      </c>
      <c r="AH90" s="173" t="e">
        <f>IFERROR(AH88*INDEX(Lists!$F$6:$F$50,MATCH(Automakers!$D$73,Lists!$B$2:$B$50,0))*1000/#REF!,NA())</f>
        <v>#N/A</v>
      </c>
      <c r="AI90" s="173" t="e">
        <f>IFERROR(AI88*INDEX(Lists!$F$6:$F$50,MATCH(Automakers!$D$73,Lists!$B$2:$B$50,0))*1000/#REF!,NA())</f>
        <v>#N/A</v>
      </c>
    </row>
    <row r="91" spans="1:35" s="172" customFormat="1" hidden="1" x14ac:dyDescent="0.15">
      <c r="A91" s="172" t="s">
        <v>13</v>
      </c>
      <c r="B91" s="172" t="e">
        <f>"Scope 2 emissions intensity ("&amp;C91&amp;")"</f>
        <v>#N/A</v>
      </c>
      <c r="C91" s="172" t="e">
        <f>INDEX(Lists!$E$2:$E$50,MATCH(Automakers!$D$73,Lists!$B$2:$B$50,0))</f>
        <v>#N/A</v>
      </c>
      <c r="E91" s="173" t="e">
        <f>IFERROR(E89*INDEX(Lists!$F$6:$F$50,MATCH(Automakers!$D$73,Lists!$B$2:$B$50,0))*1000/#REF!,NA())</f>
        <v>#N/A</v>
      </c>
      <c r="F91" s="173" t="e">
        <f>IFERROR(F89*INDEX(Lists!$F$6:$F$50,MATCH(Automakers!$D$73,Lists!$B$2:$B$50,0))*1000/#REF!,NA())</f>
        <v>#N/A</v>
      </c>
      <c r="G91" s="173" t="e">
        <f>IFERROR(G89*INDEX(Lists!$F$6:$F$50,MATCH(Automakers!$D$73,Lists!$B$2:$B$50,0))*1000/#REF!,NA())</f>
        <v>#N/A</v>
      </c>
      <c r="H91" s="173" t="e">
        <f>IFERROR(H89*INDEX(Lists!$F$6:$F$50,MATCH(Automakers!$D$73,Lists!$B$2:$B$50,0))*1000/#REF!,NA())</f>
        <v>#N/A</v>
      </c>
      <c r="I91" s="173" t="e">
        <f>IFERROR(I89*INDEX(Lists!$F$6:$F$50,MATCH(Automakers!$D$73,Lists!$B$2:$B$50,0))*1000/#REF!,NA())</f>
        <v>#N/A</v>
      </c>
      <c r="J91" s="173" t="e">
        <f>IFERROR(J89*INDEX(Lists!$F$6:$F$50,MATCH(Automakers!$D$73,Lists!$B$2:$B$50,0))*1000/#REF!,NA())</f>
        <v>#N/A</v>
      </c>
      <c r="K91" s="173" t="e">
        <f>IFERROR(K89*INDEX(Lists!$F$6:$F$50,MATCH(Automakers!$D$73,Lists!$B$2:$B$50,0))*1000/#REF!,NA())</f>
        <v>#N/A</v>
      </c>
      <c r="L91" s="173" t="e">
        <f>IFERROR(L89*INDEX(Lists!$F$6:$F$50,MATCH(Automakers!$D$73,Lists!$B$2:$B$50,0))*1000/#REF!,NA())</f>
        <v>#N/A</v>
      </c>
      <c r="M91" s="173" t="e">
        <f>IFERROR(M89*INDEX(Lists!$F$6:$F$50,MATCH(Automakers!$D$73,Lists!$B$2:$B$50,0))*1000/#REF!,NA())</f>
        <v>#N/A</v>
      </c>
      <c r="N91" s="173" t="e">
        <f>IFERROR(N89*INDEX(Lists!$F$6:$F$50,MATCH(Automakers!$D$73,Lists!$B$2:$B$50,0))*1000/#REF!,NA())</f>
        <v>#N/A</v>
      </c>
      <c r="O91" s="173" t="e">
        <f>IFERROR(O89*INDEX(Lists!$F$6:$F$50,MATCH(Automakers!$D$73,Lists!$B$2:$B$50,0))*1000/#REF!,NA())</f>
        <v>#N/A</v>
      </c>
      <c r="P91" s="173" t="e">
        <f>IFERROR(P89*INDEX(Lists!$F$6:$F$50,MATCH(Automakers!$D$73,Lists!$B$2:$B$50,0))*1000/#REF!,NA())</f>
        <v>#N/A</v>
      </c>
      <c r="Q91" s="173" t="e">
        <f>IFERROR(Q89*INDEX(Lists!$F$6:$F$50,MATCH(Automakers!$D$73,Lists!$B$2:$B$50,0))*1000/#REF!,NA())</f>
        <v>#N/A</v>
      </c>
      <c r="R91" s="173" t="e">
        <f>IFERROR(R89*INDEX(Lists!$F$6:$F$50,MATCH(Automakers!$D$73,Lists!$B$2:$B$50,0))*1000/#REF!,NA())</f>
        <v>#N/A</v>
      </c>
      <c r="S91" s="173" t="e">
        <f>IFERROR(S89*INDEX(Lists!$F$6:$F$50,MATCH(Automakers!$D$73,Lists!$B$2:$B$50,0))*1000/#REF!,NA())</f>
        <v>#N/A</v>
      </c>
      <c r="T91" s="173" t="e">
        <f>IFERROR(T89*INDEX(Lists!$F$6:$F$50,MATCH(Automakers!$D$73,Lists!$B$2:$B$50,0))*1000/#REF!,NA())</f>
        <v>#N/A</v>
      </c>
      <c r="U91" s="173" t="e">
        <f>IFERROR(U89*INDEX(Lists!$F$6:$F$50,MATCH(Automakers!$D$73,Lists!$B$2:$B$50,0))*1000/#REF!,NA())</f>
        <v>#N/A</v>
      </c>
      <c r="V91" s="173" t="e">
        <f>IFERROR(V89*INDEX(Lists!$F$6:$F$50,MATCH(Automakers!$D$73,Lists!$B$2:$B$50,0))*1000/#REF!,NA())</f>
        <v>#N/A</v>
      </c>
      <c r="W91" s="173" t="e">
        <f>IFERROR(W89*INDEX(Lists!$F$6:$F$50,MATCH(Automakers!$D$73,Lists!$B$2:$B$50,0))*1000/#REF!,NA())</f>
        <v>#N/A</v>
      </c>
      <c r="X91" s="173" t="e">
        <f>IFERROR(X89*INDEX(Lists!$F$6:$F$50,MATCH(Automakers!$D$73,Lists!$B$2:$B$50,0))*1000/#REF!,NA())</f>
        <v>#N/A</v>
      </c>
      <c r="Y91" s="173" t="e">
        <f>IFERROR(Y89*INDEX(Lists!$F$6:$F$50,MATCH(Automakers!$D$73,Lists!$B$2:$B$50,0))*1000/#REF!,NA())</f>
        <v>#N/A</v>
      </c>
      <c r="Z91" s="173" t="e">
        <f>IFERROR(Z89*INDEX(Lists!$F$6:$F$50,MATCH(Automakers!$D$73,Lists!$B$2:$B$50,0))*1000/#REF!,NA())</f>
        <v>#N/A</v>
      </c>
      <c r="AA91" s="173" t="e">
        <f>IFERROR(AA89*INDEX(Lists!$F$6:$F$50,MATCH(Automakers!$D$73,Lists!$B$2:$B$50,0))*1000/#REF!,NA())</f>
        <v>#N/A</v>
      </c>
      <c r="AB91" s="173" t="e">
        <f>IFERROR(AB89*INDEX(Lists!$F$6:$F$50,MATCH(Automakers!$D$73,Lists!$B$2:$B$50,0))*1000/#REF!,NA())</f>
        <v>#N/A</v>
      </c>
      <c r="AC91" s="173" t="e">
        <f>IFERROR(AC89*INDEX(Lists!$F$6:$F$50,MATCH(Automakers!$D$73,Lists!$B$2:$B$50,0))*1000/#REF!,NA())</f>
        <v>#N/A</v>
      </c>
      <c r="AD91" s="173" t="e">
        <f>IFERROR(AD89*INDEX(Lists!$F$6:$F$50,MATCH(Automakers!$D$73,Lists!$B$2:$B$50,0))*1000/#REF!,NA())</f>
        <v>#N/A</v>
      </c>
      <c r="AE91" s="173" t="e">
        <f>IFERROR(AE89*INDEX(Lists!$F$6:$F$50,MATCH(Automakers!$D$73,Lists!$B$2:$B$50,0))*1000/#REF!,NA())</f>
        <v>#N/A</v>
      </c>
      <c r="AF91" s="173" t="e">
        <f>IFERROR(AF89*INDEX(Lists!$F$6:$F$50,MATCH(Automakers!$D$73,Lists!$B$2:$B$50,0))*1000/#REF!,NA())</f>
        <v>#N/A</v>
      </c>
      <c r="AG91" s="173" t="e">
        <f>IFERROR(AG89*INDEX(Lists!$F$6:$F$50,MATCH(Automakers!$D$73,Lists!$B$2:$B$50,0))*1000/#REF!,NA())</f>
        <v>#N/A</v>
      </c>
      <c r="AH91" s="173" t="e">
        <f>IFERROR(AH89*INDEX(Lists!$F$6:$F$50,MATCH(Automakers!$D$73,Lists!$B$2:$B$50,0))*1000/#REF!,NA())</f>
        <v>#N/A</v>
      </c>
      <c r="AI91" s="173" t="e">
        <f>IFERROR(AI89*INDEX(Lists!$F$6:$F$50,MATCH(Automakers!$D$73,Lists!$B$2:$B$50,0))*1000/#REF!,NA())</f>
        <v>#N/A</v>
      </c>
    </row>
    <row r="92" spans="1:35" s="172" customFormat="1" hidden="1" x14ac:dyDescent="0.15">
      <c r="E92" s="173"/>
      <c r="F92" s="173"/>
      <c r="G92" s="173"/>
      <c r="H92" s="173"/>
      <c r="I92" s="173"/>
      <c r="J92" s="173"/>
      <c r="K92" s="173"/>
      <c r="L92" s="173"/>
      <c r="M92" s="173"/>
      <c r="N92" s="173"/>
      <c r="O92" s="173"/>
      <c r="P92" s="173"/>
      <c r="Q92" s="173"/>
      <c r="R92" s="173"/>
      <c r="S92" s="173"/>
      <c r="T92" s="173"/>
      <c r="U92" s="173"/>
      <c r="V92" s="173"/>
      <c r="W92" s="173"/>
      <c r="X92" s="173"/>
      <c r="Y92" s="173"/>
      <c r="Z92" s="173"/>
      <c r="AA92" s="173"/>
      <c r="AB92" s="173"/>
      <c r="AC92" s="173"/>
      <c r="AD92" s="173"/>
      <c r="AE92" s="173"/>
      <c r="AF92" s="173"/>
      <c r="AG92" s="173"/>
      <c r="AH92" s="173"/>
      <c r="AI92" s="173"/>
    </row>
    <row r="93" spans="1:35" s="172" customFormat="1" hidden="1" x14ac:dyDescent="0.15">
      <c r="A93" s="183" t="s">
        <v>12</v>
      </c>
      <c r="E93" s="173"/>
      <c r="F93" s="173"/>
      <c r="G93" s="173"/>
      <c r="H93" s="173"/>
      <c r="I93" s="173"/>
      <c r="J93" s="173"/>
      <c r="K93" s="173"/>
      <c r="L93" s="173"/>
      <c r="M93" s="173"/>
      <c r="N93" s="173"/>
      <c r="O93" s="173"/>
      <c r="P93" s="173"/>
      <c r="Q93" s="173"/>
      <c r="R93" s="173"/>
      <c r="S93" s="173"/>
      <c r="T93" s="173"/>
      <c r="U93" s="173"/>
      <c r="V93" s="173"/>
      <c r="W93" s="173"/>
      <c r="X93" s="173"/>
      <c r="Y93" s="173"/>
      <c r="Z93" s="173"/>
      <c r="AA93" s="173"/>
      <c r="AB93" s="173"/>
      <c r="AC93" s="173"/>
      <c r="AD93" s="173"/>
      <c r="AE93" s="173"/>
      <c r="AF93" s="173"/>
      <c r="AG93" s="173"/>
      <c r="AH93" s="173"/>
      <c r="AI93" s="173"/>
    </row>
    <row r="94" spans="1:35" s="172" customFormat="1" hidden="1" x14ac:dyDescent="0.15">
      <c r="A94" s="18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row>
    <row r="95" spans="1:35" s="172" customFormat="1" hidden="1" x14ac:dyDescent="0.15">
      <c r="A95" s="172" t="s">
        <v>8</v>
      </c>
      <c r="B95" s="172" t="str">
        <f>IF(OR(Automakers!$D$73=Lists!$B$26,Automakers!$D$73=Lists!$B$27,Automakers!$D$73=Lists!$B$28),"Scope 3 emissions ("&amp;C95&amp;")","Scope 1 emissions ("&amp;C95&amp;")")</f>
        <v>Scope 3 emissions (MtCO2)</v>
      </c>
      <c r="C95" s="172" t="s">
        <v>6</v>
      </c>
      <c r="E95" s="173" t="e">
        <f>IFERROR(IF(HLOOKUP(Automakers!$D$26,$E$1:$AI$41,ROW(#REF!),)&lt;0,NA(),IF(E$1&lt;Automakers!$D$23,NA(),IF(E$1&gt;Automakers!$D$26,NA(),Automakers!$D$24*(((Automakers!$D$24*(HLOOKUP(Automakers!$D$26,$E$1:$AI$41,ROW(#REF!),)/HLOOKUP(Automakers!$D$23,$E$1:$AI$41,ROW(#REF!),)))/Automakers!$D$24)^(1/(Automakers!$D$26-Automakers!$D$23)))^(E$1-Automakers!$D$23)))/1000),NA())</f>
        <v>#N/A</v>
      </c>
      <c r="F95" s="173" t="e">
        <f>IFERROR(IF(HLOOKUP(Automakers!$D$26,$E$1:$AI$41,ROW(#REF!),)&lt;0,NA(),IF(F$1&lt;Automakers!$D$23,NA(),IF(F$1&gt;Automakers!$D$26,NA(),Automakers!$D$24*(((Automakers!$D$24*(HLOOKUP(Automakers!$D$26,$E$1:$AI$41,ROW(#REF!),)/HLOOKUP(Automakers!$D$23,$E$1:$AI$41,ROW(#REF!),)))/Automakers!$D$24)^(1/(Automakers!$D$26-Automakers!$D$23)))^(F$1-Automakers!$D$23)))/1000),NA())</f>
        <v>#N/A</v>
      </c>
      <c r="G95" s="173" t="e">
        <f>IFERROR(IF(HLOOKUP(Automakers!$D$26,$E$1:$AI$41,ROW(#REF!),)&lt;0,NA(),IF(G$1&lt;Automakers!$D$23,NA(),IF(G$1&gt;Automakers!$D$26,NA(),Automakers!$D$24*(((Automakers!$D$24*(HLOOKUP(Automakers!$D$26,$E$1:$AI$41,ROW(#REF!),)/HLOOKUP(Automakers!$D$23,$E$1:$AI$41,ROW(#REF!),)))/Automakers!$D$24)^(1/(Automakers!$D$26-Automakers!$D$23)))^(G$1-Automakers!$D$23)))/1000),NA())</f>
        <v>#N/A</v>
      </c>
      <c r="H95" s="173" t="e">
        <f>IFERROR(IF(HLOOKUP(Automakers!$D$26,$E$1:$AI$41,ROW(#REF!),)&lt;0,NA(),IF(H$1&lt;Automakers!$D$23,NA(),IF(H$1&gt;Automakers!$D$26,NA(),Automakers!$D$24*(((Automakers!$D$24*(HLOOKUP(Automakers!$D$26,$E$1:$AI$41,ROW(#REF!),)/HLOOKUP(Automakers!$D$23,$E$1:$AI$41,ROW(#REF!),)))/Automakers!$D$24)^(1/(Automakers!$D$26-Automakers!$D$23)))^(H$1-Automakers!$D$23)))/1000),NA())</f>
        <v>#N/A</v>
      </c>
      <c r="I95" s="173" t="e">
        <f>IFERROR(IF(HLOOKUP(Automakers!$D$26,$E$1:$AI$41,ROW(#REF!),)&lt;0,NA(),IF(I$1&lt;Automakers!$D$23,NA(),IF(I$1&gt;Automakers!$D$26,NA(),Automakers!$D$24*(((Automakers!$D$24*(HLOOKUP(Automakers!$D$26,$E$1:$AI$41,ROW(#REF!),)/HLOOKUP(Automakers!$D$23,$E$1:$AI$41,ROW(#REF!),)))/Automakers!$D$24)^(1/(Automakers!$D$26-Automakers!$D$23)))^(I$1-Automakers!$D$23)))/1000),NA())</f>
        <v>#N/A</v>
      </c>
      <c r="J95" s="173" t="e">
        <f>IFERROR(IF(HLOOKUP(Automakers!$D$26,$E$1:$AI$41,ROW(#REF!),)&lt;0,NA(),IF(J$1&lt;Automakers!$D$23,NA(),IF(J$1&gt;Automakers!$D$26,NA(),Automakers!$D$24*(((Automakers!$D$24*(HLOOKUP(Automakers!$D$26,$E$1:$AI$41,ROW(#REF!),)/HLOOKUP(Automakers!$D$23,$E$1:$AI$41,ROW(#REF!),)))/Automakers!$D$24)^(1/(Automakers!$D$26-Automakers!$D$23)))^(J$1-Automakers!$D$23)))/1000),NA())</f>
        <v>#N/A</v>
      </c>
      <c r="K95" s="173" t="e">
        <f>IFERROR(IF(HLOOKUP(Automakers!$D$26,$E$1:$AI$41,ROW(#REF!),)&lt;0,NA(),IF(K$1&lt;Automakers!$D$23,NA(),IF(K$1&gt;Automakers!$D$26,NA(),Automakers!$D$24*(((Automakers!$D$24*(HLOOKUP(Automakers!$D$26,$E$1:$AI$41,ROW(#REF!),)/HLOOKUP(Automakers!$D$23,$E$1:$AI$41,ROW(#REF!),)))/Automakers!$D$24)^(1/(Automakers!$D$26-Automakers!$D$23)))^(K$1-Automakers!$D$23)))/1000),NA())</f>
        <v>#N/A</v>
      </c>
      <c r="L95" s="173" t="e">
        <f>IFERROR(IF(HLOOKUP(Automakers!$D$26,$E$1:$AI$41,ROW(#REF!),)&lt;0,NA(),IF(L$1&lt;Automakers!$D$23,NA(),IF(L$1&gt;Automakers!$D$26,NA(),Automakers!$D$24*(((Automakers!$D$24*(HLOOKUP(Automakers!$D$26,$E$1:$AI$41,ROW(#REF!),)/HLOOKUP(Automakers!$D$23,$E$1:$AI$41,ROW(#REF!),)))/Automakers!$D$24)^(1/(Automakers!$D$26-Automakers!$D$23)))^(L$1-Automakers!$D$23)))/1000),NA())</f>
        <v>#N/A</v>
      </c>
      <c r="M95" s="173" t="e">
        <f>IFERROR(IF(HLOOKUP(Automakers!$D$26,$E$1:$AI$41,ROW(#REF!),)&lt;0,NA(),IF(M$1&lt;Automakers!$D$23,NA(),IF(M$1&gt;Automakers!$D$26,NA(),Automakers!$D$24*(((Automakers!$D$24*(HLOOKUP(Automakers!$D$26,$E$1:$AI$41,ROW(#REF!),)/HLOOKUP(Automakers!$D$23,$E$1:$AI$41,ROW(#REF!),)))/Automakers!$D$24)^(1/(Automakers!$D$26-Automakers!$D$23)))^(M$1-Automakers!$D$23)))/1000),NA())</f>
        <v>#N/A</v>
      </c>
      <c r="N95" s="173" t="e">
        <f>IFERROR(IF(HLOOKUP(Automakers!$D$26,$E$1:$AI$41,ROW(#REF!),)&lt;0,NA(),IF(N$1&lt;Automakers!$D$23,NA(),IF(N$1&gt;Automakers!$D$26,NA(),Automakers!$D$24*(((Automakers!$D$24*(HLOOKUP(Automakers!$D$26,$E$1:$AI$41,ROW(#REF!),)/HLOOKUP(Automakers!$D$23,$E$1:$AI$41,ROW(#REF!),)))/Automakers!$D$24)^(1/(Automakers!$D$26-Automakers!$D$23)))^(N$1-Automakers!$D$23)))/1000),NA())</f>
        <v>#N/A</v>
      </c>
      <c r="O95" s="173" t="e">
        <f>IFERROR(IF(HLOOKUP(Automakers!$D$26,$E$1:$AI$41,ROW(#REF!),)&lt;0,NA(),IF(O$1&lt;Automakers!$D$23,NA(),IF(O$1&gt;Automakers!$D$26,NA(),Automakers!$D$24*(((Automakers!$D$24*(HLOOKUP(Automakers!$D$26,$E$1:$AI$41,ROW(#REF!),)/HLOOKUP(Automakers!$D$23,$E$1:$AI$41,ROW(#REF!),)))/Automakers!$D$24)^(1/(Automakers!$D$26-Automakers!$D$23)))^(O$1-Automakers!$D$23)))/1000),NA())</f>
        <v>#N/A</v>
      </c>
      <c r="P95" s="173" t="e">
        <f>IFERROR(IF(HLOOKUP(Automakers!$D$26,$E$1:$AI$41,ROW(#REF!),)&lt;0,NA(),IF(P$1&lt;Automakers!$D$23,NA(),IF(P$1&gt;Automakers!$D$26,NA(),Automakers!$D$24*(((Automakers!$D$24*(HLOOKUP(Automakers!$D$26,$E$1:$AI$41,ROW(#REF!),)/HLOOKUP(Automakers!$D$23,$E$1:$AI$41,ROW(#REF!),)))/Automakers!$D$24)^(1/(Automakers!$D$26-Automakers!$D$23)))^(P$1-Automakers!$D$23)))/1000),NA())</f>
        <v>#N/A</v>
      </c>
      <c r="Q95" s="173" t="e">
        <f>IFERROR(IF(HLOOKUP(Automakers!$D$26,$E$1:$AI$41,ROW(#REF!),)&lt;0,NA(),IF(Q$1&lt;Automakers!$D$23,NA(),IF(Q$1&gt;Automakers!$D$26,NA(),Automakers!$D$24*(((Automakers!$D$24*(HLOOKUP(Automakers!$D$26,$E$1:$AI$41,ROW(#REF!),)/HLOOKUP(Automakers!$D$23,$E$1:$AI$41,ROW(#REF!),)))/Automakers!$D$24)^(1/(Automakers!$D$26-Automakers!$D$23)))^(Q$1-Automakers!$D$23)))/1000),NA())</f>
        <v>#N/A</v>
      </c>
      <c r="R95" s="173" t="e">
        <f>IFERROR(IF(HLOOKUP(Automakers!$D$26,$E$1:$AI$41,ROW(#REF!),)&lt;0,NA(),IF(R$1&lt;Automakers!$D$23,NA(),IF(R$1&gt;Automakers!$D$26,NA(),Automakers!$D$24*(((Automakers!$D$24*(HLOOKUP(Automakers!$D$26,$E$1:$AI$41,ROW(#REF!),)/HLOOKUP(Automakers!$D$23,$E$1:$AI$41,ROW(#REF!),)))/Automakers!$D$24)^(1/(Automakers!$D$26-Automakers!$D$23)))^(R$1-Automakers!$D$23)))/1000),NA())</f>
        <v>#N/A</v>
      </c>
      <c r="S95" s="173" t="e">
        <f>IFERROR(IF(HLOOKUP(Automakers!$D$26,$E$1:$AI$41,ROW(#REF!),)&lt;0,NA(),IF(S$1&lt;Automakers!$D$23,NA(),IF(S$1&gt;Automakers!$D$26,NA(),Automakers!$D$24*(((Automakers!$D$24*(HLOOKUP(Automakers!$D$26,$E$1:$AI$41,ROW(#REF!),)/HLOOKUP(Automakers!$D$23,$E$1:$AI$41,ROW(#REF!),)))/Automakers!$D$24)^(1/(Automakers!$D$26-Automakers!$D$23)))^(S$1-Automakers!$D$23)))/1000),NA())</f>
        <v>#N/A</v>
      </c>
      <c r="T95" s="173" t="e">
        <f>IFERROR(IF(HLOOKUP(Automakers!$D$26,$E$1:$AI$41,ROW(#REF!),)&lt;0,NA(),IF(T$1&lt;Automakers!$D$23,NA(),IF(T$1&gt;Automakers!$D$26,NA(),Automakers!$D$24*(((Automakers!$D$24*(HLOOKUP(Automakers!$D$26,$E$1:$AI$41,ROW(#REF!),)/HLOOKUP(Automakers!$D$23,$E$1:$AI$41,ROW(#REF!),)))/Automakers!$D$24)^(1/(Automakers!$D$26-Automakers!$D$23)))^(T$1-Automakers!$D$23)))/1000),NA())</f>
        <v>#N/A</v>
      </c>
      <c r="U95" s="173" t="e">
        <f>IFERROR(IF(HLOOKUP(Automakers!$D$26,$E$1:$AI$41,ROW(#REF!),)&lt;0,NA(),IF(U$1&lt;Automakers!$D$23,NA(),IF(U$1&gt;Automakers!$D$26,NA(),Automakers!$D$24*(((Automakers!$D$24*(HLOOKUP(Automakers!$D$26,$E$1:$AI$41,ROW(#REF!),)/HLOOKUP(Automakers!$D$23,$E$1:$AI$41,ROW(#REF!),)))/Automakers!$D$24)^(1/(Automakers!$D$26-Automakers!$D$23)))^(U$1-Automakers!$D$23)))/1000),NA())</f>
        <v>#N/A</v>
      </c>
      <c r="V95" s="173" t="e">
        <f>IFERROR(IF(HLOOKUP(Automakers!$D$26,$E$1:$AI$41,ROW(#REF!),)&lt;0,NA(),IF(V$1&lt;Automakers!$D$23,NA(),IF(V$1&gt;Automakers!$D$26,NA(),Automakers!$D$24*(((Automakers!$D$24*(HLOOKUP(Automakers!$D$26,$E$1:$AI$41,ROW(#REF!),)/HLOOKUP(Automakers!$D$23,$E$1:$AI$41,ROW(#REF!),)))/Automakers!$D$24)^(1/(Automakers!$D$26-Automakers!$D$23)))^(V$1-Automakers!$D$23)))/1000),NA())</f>
        <v>#N/A</v>
      </c>
      <c r="W95" s="173" t="e">
        <f>IFERROR(IF(HLOOKUP(Automakers!$D$26,$E$1:$AI$41,ROW(#REF!),)&lt;0,NA(),IF(W$1&lt;Automakers!$D$23,NA(),IF(W$1&gt;Automakers!$D$26,NA(),Automakers!$D$24*(((Automakers!$D$24*(HLOOKUP(Automakers!$D$26,$E$1:$AI$41,ROW(#REF!),)/HLOOKUP(Automakers!$D$23,$E$1:$AI$41,ROW(#REF!),)))/Automakers!$D$24)^(1/(Automakers!$D$26-Automakers!$D$23)))^(W$1-Automakers!$D$23)))/1000),NA())</f>
        <v>#N/A</v>
      </c>
      <c r="X95" s="173" t="e">
        <f>IFERROR(IF(HLOOKUP(Automakers!$D$26,$E$1:$AI$41,ROW(#REF!),)&lt;0,NA(),IF(X$1&lt;Automakers!$D$23,NA(),IF(X$1&gt;Automakers!$D$26,NA(),Automakers!$D$24*(((Automakers!$D$24*(HLOOKUP(Automakers!$D$26,$E$1:$AI$41,ROW(#REF!),)/HLOOKUP(Automakers!$D$23,$E$1:$AI$41,ROW(#REF!),)))/Automakers!$D$24)^(1/(Automakers!$D$26-Automakers!$D$23)))^(X$1-Automakers!$D$23)))/1000),NA())</f>
        <v>#N/A</v>
      </c>
      <c r="Y95" s="173" t="e">
        <f>IFERROR(IF(HLOOKUP(Automakers!$D$26,$E$1:$AI$41,ROW(#REF!),)&lt;0,NA(),IF(Y$1&lt;Automakers!$D$23,NA(),IF(Y$1&gt;Automakers!$D$26,NA(),Automakers!$D$24*(((Automakers!$D$24*(HLOOKUP(Automakers!$D$26,$E$1:$AI$41,ROW(#REF!),)/HLOOKUP(Automakers!$D$23,$E$1:$AI$41,ROW(#REF!),)))/Automakers!$D$24)^(1/(Automakers!$D$26-Automakers!$D$23)))^(Y$1-Automakers!$D$23)))/1000),NA())</f>
        <v>#N/A</v>
      </c>
      <c r="Z95" s="173" t="e">
        <f>IFERROR(IF(HLOOKUP(Automakers!$D$26,$E$1:$AI$41,ROW(#REF!),)&lt;0,NA(),IF(Z$1&lt;Automakers!$D$23,NA(),IF(Z$1&gt;Automakers!$D$26,NA(),Automakers!$D$24*(((Automakers!$D$24*(HLOOKUP(Automakers!$D$26,$E$1:$AI$41,ROW(#REF!),)/HLOOKUP(Automakers!$D$23,$E$1:$AI$41,ROW(#REF!),)))/Automakers!$D$24)^(1/(Automakers!$D$26-Automakers!$D$23)))^(Z$1-Automakers!$D$23)))/1000),NA())</f>
        <v>#N/A</v>
      </c>
      <c r="AA95" s="173" t="e">
        <f>IFERROR(IF(HLOOKUP(Automakers!$D$26,$E$1:$AI$41,ROW(#REF!),)&lt;0,NA(),IF(AA$1&lt;Automakers!$D$23,NA(),IF(AA$1&gt;Automakers!$D$26,NA(),Automakers!$D$24*(((Automakers!$D$24*(HLOOKUP(Automakers!$D$26,$E$1:$AI$41,ROW(#REF!),)/HLOOKUP(Automakers!$D$23,$E$1:$AI$41,ROW(#REF!),)))/Automakers!$D$24)^(1/(Automakers!$D$26-Automakers!$D$23)))^(AA$1-Automakers!$D$23)))/1000),NA())</f>
        <v>#N/A</v>
      </c>
      <c r="AB95" s="173" t="e">
        <f>IFERROR(IF(HLOOKUP(Automakers!$D$26,$E$1:$AI$41,ROW(#REF!),)&lt;0,NA(),IF(AB$1&lt;Automakers!$D$23,NA(),IF(AB$1&gt;Automakers!$D$26,NA(),Automakers!$D$24*(((Automakers!$D$24*(HLOOKUP(Automakers!$D$26,$E$1:$AI$41,ROW(#REF!),)/HLOOKUP(Automakers!$D$23,$E$1:$AI$41,ROW(#REF!),)))/Automakers!$D$24)^(1/(Automakers!$D$26-Automakers!$D$23)))^(AB$1-Automakers!$D$23)))/1000),NA())</f>
        <v>#N/A</v>
      </c>
      <c r="AC95" s="173" t="e">
        <f>IFERROR(IF(HLOOKUP(Automakers!$D$26,$E$1:$AI$41,ROW(#REF!),)&lt;0,NA(),IF(AC$1&lt;Automakers!$D$23,NA(),IF(AC$1&gt;Automakers!$D$26,NA(),Automakers!$D$24*(((Automakers!$D$24*(HLOOKUP(Automakers!$D$26,$E$1:$AI$41,ROW(#REF!),)/HLOOKUP(Automakers!$D$23,$E$1:$AI$41,ROW(#REF!),)))/Automakers!$D$24)^(1/(Automakers!$D$26-Automakers!$D$23)))^(AC$1-Automakers!$D$23)))/1000),NA())</f>
        <v>#N/A</v>
      </c>
      <c r="AD95" s="173" t="e">
        <f>IFERROR(IF(HLOOKUP(Automakers!$D$26,$E$1:$AI$41,ROW(#REF!),)&lt;0,NA(),IF(AD$1&lt;Automakers!$D$23,NA(),IF(AD$1&gt;Automakers!$D$26,NA(),Automakers!$D$24*(((Automakers!$D$24*(HLOOKUP(Automakers!$D$26,$E$1:$AI$41,ROW(#REF!),)/HLOOKUP(Automakers!$D$23,$E$1:$AI$41,ROW(#REF!),)))/Automakers!$D$24)^(1/(Automakers!$D$26-Automakers!$D$23)))^(AD$1-Automakers!$D$23)))/1000),NA())</f>
        <v>#N/A</v>
      </c>
      <c r="AE95" s="173" t="e">
        <f>IFERROR(IF(HLOOKUP(Automakers!$D$26,$E$1:$AI$41,ROW(#REF!),)&lt;0,NA(),IF(AE$1&lt;Automakers!$D$23,NA(),IF(AE$1&gt;Automakers!$D$26,NA(),Automakers!$D$24*(((Automakers!$D$24*(HLOOKUP(Automakers!$D$26,$E$1:$AI$41,ROW(#REF!),)/HLOOKUP(Automakers!$D$23,$E$1:$AI$41,ROW(#REF!),)))/Automakers!$D$24)^(1/(Automakers!$D$26-Automakers!$D$23)))^(AE$1-Automakers!$D$23)))/1000),NA())</f>
        <v>#N/A</v>
      </c>
      <c r="AF95" s="173" t="e">
        <f>IFERROR(IF(HLOOKUP(Automakers!$D$26,$E$1:$AI$41,ROW(#REF!),)&lt;0,NA(),IF(AF$1&lt;Automakers!$D$23,NA(),IF(AF$1&gt;Automakers!$D$26,NA(),Automakers!$D$24*(((Automakers!$D$24*(HLOOKUP(Automakers!$D$26,$E$1:$AI$41,ROW(#REF!),)/HLOOKUP(Automakers!$D$23,$E$1:$AI$41,ROW(#REF!),)))/Automakers!$D$24)^(1/(Automakers!$D$26-Automakers!$D$23)))^(AF$1-Automakers!$D$23)))/1000),NA())</f>
        <v>#N/A</v>
      </c>
      <c r="AG95" s="173" t="e">
        <f>IFERROR(IF(HLOOKUP(Automakers!$D$26,$E$1:$AI$41,ROW(#REF!),)&lt;0,NA(),IF(AG$1&lt;Automakers!$D$23,NA(),IF(AG$1&gt;Automakers!$D$26,NA(),Automakers!$D$24*(((Automakers!$D$24*(HLOOKUP(Automakers!$D$26,$E$1:$AI$41,ROW(#REF!),)/HLOOKUP(Automakers!$D$23,$E$1:$AI$41,ROW(#REF!),)))/Automakers!$D$24)^(1/(Automakers!$D$26-Automakers!$D$23)))^(AG$1-Automakers!$D$23)))/1000),NA())</f>
        <v>#N/A</v>
      </c>
      <c r="AH95" s="173" t="e">
        <f>IFERROR(IF(HLOOKUP(Automakers!$D$26,$E$1:$AI$41,ROW(#REF!),)&lt;0,NA(),IF(AH$1&lt;Automakers!$D$23,NA(),IF(AH$1&gt;Automakers!$D$26,NA(),Automakers!$D$24*(((Automakers!$D$24*(HLOOKUP(Automakers!$D$26,$E$1:$AI$41,ROW(#REF!),)/HLOOKUP(Automakers!$D$23,$E$1:$AI$41,ROW(#REF!),)))/Automakers!$D$24)^(1/(Automakers!$D$26-Automakers!$D$23)))^(AH$1-Automakers!$D$23)))/1000),NA())</f>
        <v>#N/A</v>
      </c>
      <c r="AI95" s="173" t="e">
        <f>IFERROR(IF(HLOOKUP(Automakers!$D$26,$E$1:$AI$41,ROW(#REF!),)&lt;0,NA(),IF(AI$1&lt;Automakers!$D$23,NA(),IF(AI$1&gt;Automakers!$D$26,NA(),Automakers!$D$24*(((Automakers!$D$24*(HLOOKUP(Automakers!$D$26,$E$1:$AI$41,ROW(#REF!),)/HLOOKUP(Automakers!$D$23,$E$1:$AI$41,ROW(#REF!),)))/Automakers!$D$24)^(1/(Automakers!$D$26-Automakers!$D$23)))^(AI$1-Automakers!$D$23)))/1000),NA())</f>
        <v>#N/A</v>
      </c>
    </row>
    <row r="96" spans="1:35" s="172" customFormat="1" hidden="1" x14ac:dyDescent="0.15">
      <c r="A96" s="172" t="s">
        <v>10</v>
      </c>
      <c r="B96" s="172" t="str">
        <f>"Scope 2 emissions ("&amp;C96&amp;")"</f>
        <v>Scope 2 emissions (MtCO2)</v>
      </c>
      <c r="C96" s="172" t="s">
        <v>6</v>
      </c>
      <c r="E96" s="173" t="e">
        <f>IFERROR(IF(HLOOKUP(Automakers!$D$26,$E$1:$AI$34,ROW(#REF!),)&lt;0,NA(),IF(E$1&lt;Automakers!$D$23,NA(),IF(E$1&gt;Automakers!$D$26,NA(),Automakers!$D$25*(((Automakers!$D$25*(HLOOKUP(Automakers!$D$26,$E$1:$AI$34,ROW(#REF!),)/HLOOKUP(Automakers!$D$23,$E$1:$AI$34,ROW(#REF!),)))/Automakers!$D$25)^(1/(Automakers!$D$26-Automakers!$D$23)))^(E$1-Automakers!$D$23)))/1000),NA())</f>
        <v>#N/A</v>
      </c>
      <c r="F96" s="173" t="e">
        <f>IFERROR(IF(HLOOKUP(Automakers!$D$26,$E$1:$AI$34,ROW(#REF!),)&lt;0,NA(),IF(F$1&lt;Automakers!$D$23,NA(),IF(F$1&gt;Automakers!$D$26,NA(),Automakers!$D$25*(((Automakers!$D$25*(HLOOKUP(Automakers!$D$26,$E$1:$AI$34,ROW(#REF!),)/HLOOKUP(Automakers!$D$23,$E$1:$AI$34,ROW(#REF!),)))/Automakers!$D$25)^(1/(Automakers!$D$26-Automakers!$D$23)))^(F$1-Automakers!$D$23)))/1000),NA())</f>
        <v>#N/A</v>
      </c>
      <c r="G96" s="173" t="e">
        <f>IFERROR(IF(HLOOKUP(Automakers!$D$26,$E$1:$AI$34,ROW(#REF!),)&lt;0,NA(),IF(G$1&lt;Automakers!$D$23,NA(),IF(G$1&gt;Automakers!$D$26,NA(),Automakers!$D$25*(((Automakers!$D$25*(HLOOKUP(Automakers!$D$26,$E$1:$AI$34,ROW(#REF!),)/HLOOKUP(Automakers!$D$23,$E$1:$AI$34,ROW(#REF!),)))/Automakers!$D$25)^(1/(Automakers!$D$26-Automakers!$D$23)))^(G$1-Automakers!$D$23)))/1000),NA())</f>
        <v>#N/A</v>
      </c>
      <c r="H96" s="173" t="e">
        <f>IFERROR(IF(HLOOKUP(Automakers!$D$26,$E$1:$AI$34,ROW(#REF!),)&lt;0,NA(),IF(H$1&lt;Automakers!$D$23,NA(),IF(H$1&gt;Automakers!$D$26,NA(),Automakers!$D$25*(((Automakers!$D$25*(HLOOKUP(Automakers!$D$26,$E$1:$AI$34,ROW(#REF!),)/HLOOKUP(Automakers!$D$23,$E$1:$AI$34,ROW(#REF!),)))/Automakers!$D$25)^(1/(Automakers!$D$26-Automakers!$D$23)))^(H$1-Automakers!$D$23)))/1000),NA())</f>
        <v>#N/A</v>
      </c>
      <c r="I96" s="173" t="e">
        <f>IFERROR(IF(HLOOKUP(Automakers!$D$26,$E$1:$AI$34,ROW(#REF!),)&lt;0,NA(),IF(I$1&lt;Automakers!$D$23,NA(),IF(I$1&gt;Automakers!$D$26,NA(),Automakers!$D$25*(((Automakers!$D$25*(HLOOKUP(Automakers!$D$26,$E$1:$AI$34,ROW(#REF!),)/HLOOKUP(Automakers!$D$23,$E$1:$AI$34,ROW(#REF!),)))/Automakers!$D$25)^(1/(Automakers!$D$26-Automakers!$D$23)))^(I$1-Automakers!$D$23)))/1000),NA())</f>
        <v>#N/A</v>
      </c>
      <c r="J96" s="173" t="e">
        <f>IFERROR(IF(HLOOKUP(Automakers!$D$26,$E$1:$AI$34,ROW(#REF!),)&lt;0,NA(),IF(J$1&lt;Automakers!$D$23,NA(),IF(J$1&gt;Automakers!$D$26,NA(),Automakers!$D$25*(((Automakers!$D$25*(HLOOKUP(Automakers!$D$26,$E$1:$AI$34,ROW(#REF!),)/HLOOKUP(Automakers!$D$23,$E$1:$AI$34,ROW(#REF!),)))/Automakers!$D$25)^(1/(Automakers!$D$26-Automakers!$D$23)))^(J$1-Automakers!$D$23)))/1000),NA())</f>
        <v>#N/A</v>
      </c>
      <c r="K96" s="173" t="e">
        <f>IFERROR(IF(HLOOKUP(Automakers!$D$26,$E$1:$AI$34,ROW(#REF!),)&lt;0,NA(),IF(K$1&lt;Automakers!$D$23,NA(),IF(K$1&gt;Automakers!$D$26,NA(),Automakers!$D$25*(((Automakers!$D$25*(HLOOKUP(Automakers!$D$26,$E$1:$AI$34,ROW(#REF!),)/HLOOKUP(Automakers!$D$23,$E$1:$AI$34,ROW(#REF!),)))/Automakers!$D$25)^(1/(Automakers!$D$26-Automakers!$D$23)))^(K$1-Automakers!$D$23)))/1000),NA())</f>
        <v>#N/A</v>
      </c>
      <c r="L96" s="173" t="e">
        <f>IFERROR(IF(HLOOKUP(Automakers!$D$26,$E$1:$AI$34,ROW(#REF!),)&lt;0,NA(),IF(L$1&lt;Automakers!$D$23,NA(),IF(L$1&gt;Automakers!$D$26,NA(),Automakers!$D$25*(((Automakers!$D$25*(HLOOKUP(Automakers!$D$26,$E$1:$AI$34,ROW(#REF!),)/HLOOKUP(Automakers!$D$23,$E$1:$AI$34,ROW(#REF!),)))/Automakers!$D$25)^(1/(Automakers!$D$26-Automakers!$D$23)))^(L$1-Automakers!$D$23)))/1000),NA())</f>
        <v>#N/A</v>
      </c>
      <c r="M96" s="173" t="e">
        <f>IFERROR(IF(HLOOKUP(Automakers!$D$26,$E$1:$AI$34,ROW(#REF!),)&lt;0,NA(),IF(M$1&lt;Automakers!$D$23,NA(),IF(M$1&gt;Automakers!$D$26,NA(),Automakers!$D$25*(((Automakers!$D$25*(HLOOKUP(Automakers!$D$26,$E$1:$AI$34,ROW(#REF!),)/HLOOKUP(Automakers!$D$23,$E$1:$AI$34,ROW(#REF!),)))/Automakers!$D$25)^(1/(Automakers!$D$26-Automakers!$D$23)))^(M$1-Automakers!$D$23)))/1000),NA())</f>
        <v>#N/A</v>
      </c>
      <c r="N96" s="173" t="e">
        <f>IFERROR(IF(HLOOKUP(Automakers!$D$26,$E$1:$AI$34,ROW(#REF!),)&lt;0,NA(),IF(N$1&lt;Automakers!$D$23,NA(),IF(N$1&gt;Automakers!$D$26,NA(),Automakers!$D$25*(((Automakers!$D$25*(HLOOKUP(Automakers!$D$26,$E$1:$AI$34,ROW(#REF!),)/HLOOKUP(Automakers!$D$23,$E$1:$AI$34,ROW(#REF!),)))/Automakers!$D$25)^(1/(Automakers!$D$26-Automakers!$D$23)))^(N$1-Automakers!$D$23)))/1000),NA())</f>
        <v>#N/A</v>
      </c>
      <c r="O96" s="173" t="e">
        <f>IFERROR(IF(HLOOKUP(Automakers!$D$26,$E$1:$AI$34,ROW(#REF!),)&lt;0,NA(),IF(O$1&lt;Automakers!$D$23,NA(),IF(O$1&gt;Automakers!$D$26,NA(),Automakers!$D$25*(((Automakers!$D$25*(HLOOKUP(Automakers!$D$26,$E$1:$AI$34,ROW(#REF!),)/HLOOKUP(Automakers!$D$23,$E$1:$AI$34,ROW(#REF!),)))/Automakers!$D$25)^(1/(Automakers!$D$26-Automakers!$D$23)))^(O$1-Automakers!$D$23)))/1000),NA())</f>
        <v>#N/A</v>
      </c>
      <c r="P96" s="173" t="e">
        <f>IFERROR(IF(HLOOKUP(Automakers!$D$26,$E$1:$AI$34,ROW(#REF!),)&lt;0,NA(),IF(P$1&lt;Automakers!$D$23,NA(),IF(P$1&gt;Automakers!$D$26,NA(),Automakers!$D$25*(((Automakers!$D$25*(HLOOKUP(Automakers!$D$26,$E$1:$AI$34,ROW(#REF!),)/HLOOKUP(Automakers!$D$23,$E$1:$AI$34,ROW(#REF!),)))/Automakers!$D$25)^(1/(Automakers!$D$26-Automakers!$D$23)))^(P$1-Automakers!$D$23)))/1000),NA())</f>
        <v>#N/A</v>
      </c>
      <c r="Q96" s="173" t="e">
        <f>IFERROR(IF(HLOOKUP(Automakers!$D$26,$E$1:$AI$34,ROW(#REF!),)&lt;0,NA(),IF(Q$1&lt;Automakers!$D$23,NA(),IF(Q$1&gt;Automakers!$D$26,NA(),Automakers!$D$25*(((Automakers!$D$25*(HLOOKUP(Automakers!$D$26,$E$1:$AI$34,ROW(#REF!),)/HLOOKUP(Automakers!$D$23,$E$1:$AI$34,ROW(#REF!),)))/Automakers!$D$25)^(1/(Automakers!$D$26-Automakers!$D$23)))^(Q$1-Automakers!$D$23)))/1000),NA())</f>
        <v>#N/A</v>
      </c>
      <c r="R96" s="173" t="e">
        <f>IFERROR(IF(HLOOKUP(Automakers!$D$26,$E$1:$AI$34,ROW(#REF!),)&lt;0,NA(),IF(R$1&lt;Automakers!$D$23,NA(),IF(R$1&gt;Automakers!$D$26,NA(),Automakers!$D$25*(((Automakers!$D$25*(HLOOKUP(Automakers!$D$26,$E$1:$AI$34,ROW(#REF!),)/HLOOKUP(Automakers!$D$23,$E$1:$AI$34,ROW(#REF!),)))/Automakers!$D$25)^(1/(Automakers!$D$26-Automakers!$D$23)))^(R$1-Automakers!$D$23)))/1000),NA())</f>
        <v>#N/A</v>
      </c>
      <c r="S96" s="173" t="e">
        <f>IFERROR(IF(HLOOKUP(Automakers!$D$26,$E$1:$AI$34,ROW(#REF!),)&lt;0,NA(),IF(S$1&lt;Automakers!$D$23,NA(),IF(S$1&gt;Automakers!$D$26,NA(),Automakers!$D$25*(((Automakers!$D$25*(HLOOKUP(Automakers!$D$26,$E$1:$AI$34,ROW(#REF!),)/HLOOKUP(Automakers!$D$23,$E$1:$AI$34,ROW(#REF!),)))/Automakers!$D$25)^(1/(Automakers!$D$26-Automakers!$D$23)))^(S$1-Automakers!$D$23)))/1000),NA())</f>
        <v>#N/A</v>
      </c>
      <c r="T96" s="173" t="e">
        <f>IFERROR(IF(HLOOKUP(Automakers!$D$26,$E$1:$AI$34,ROW(#REF!),)&lt;0,NA(),IF(T$1&lt;Automakers!$D$23,NA(),IF(T$1&gt;Automakers!$D$26,NA(),Automakers!$D$25*(((Automakers!$D$25*(HLOOKUP(Automakers!$D$26,$E$1:$AI$34,ROW(#REF!),)/HLOOKUP(Automakers!$D$23,$E$1:$AI$34,ROW(#REF!),)))/Automakers!$D$25)^(1/(Automakers!$D$26-Automakers!$D$23)))^(T$1-Automakers!$D$23)))/1000),NA())</f>
        <v>#N/A</v>
      </c>
      <c r="U96" s="173" t="e">
        <f>IFERROR(IF(HLOOKUP(Automakers!$D$26,$E$1:$AI$34,ROW(#REF!),)&lt;0,NA(),IF(U$1&lt;Automakers!$D$23,NA(),IF(U$1&gt;Automakers!$D$26,NA(),Automakers!$D$25*(((Automakers!$D$25*(HLOOKUP(Automakers!$D$26,$E$1:$AI$34,ROW(#REF!),)/HLOOKUP(Automakers!$D$23,$E$1:$AI$34,ROW(#REF!),)))/Automakers!$D$25)^(1/(Automakers!$D$26-Automakers!$D$23)))^(U$1-Automakers!$D$23)))/1000),NA())</f>
        <v>#N/A</v>
      </c>
      <c r="V96" s="173" t="e">
        <f>IFERROR(IF(HLOOKUP(Automakers!$D$26,$E$1:$AI$34,ROW(#REF!),)&lt;0,NA(),IF(V$1&lt;Automakers!$D$23,NA(),IF(V$1&gt;Automakers!$D$26,NA(),Automakers!$D$25*(((Automakers!$D$25*(HLOOKUP(Automakers!$D$26,$E$1:$AI$34,ROW(#REF!),)/HLOOKUP(Automakers!$D$23,$E$1:$AI$34,ROW(#REF!),)))/Automakers!$D$25)^(1/(Automakers!$D$26-Automakers!$D$23)))^(V$1-Automakers!$D$23)))/1000),NA())</f>
        <v>#N/A</v>
      </c>
      <c r="W96" s="173" t="e">
        <f>IFERROR(IF(HLOOKUP(Automakers!$D$26,$E$1:$AI$34,ROW(#REF!),)&lt;0,NA(),IF(W$1&lt;Automakers!$D$23,NA(),IF(W$1&gt;Automakers!$D$26,NA(),Automakers!$D$25*(((Automakers!$D$25*(HLOOKUP(Automakers!$D$26,$E$1:$AI$34,ROW(#REF!),)/HLOOKUP(Automakers!$D$23,$E$1:$AI$34,ROW(#REF!),)))/Automakers!$D$25)^(1/(Automakers!$D$26-Automakers!$D$23)))^(W$1-Automakers!$D$23)))/1000),NA())</f>
        <v>#N/A</v>
      </c>
      <c r="X96" s="173" t="e">
        <f>IFERROR(IF(HLOOKUP(Automakers!$D$26,$E$1:$AI$34,ROW(#REF!),)&lt;0,NA(),IF(X$1&lt;Automakers!$D$23,NA(),IF(X$1&gt;Automakers!$D$26,NA(),Automakers!$D$25*(((Automakers!$D$25*(HLOOKUP(Automakers!$D$26,$E$1:$AI$34,ROW(#REF!),)/HLOOKUP(Automakers!$D$23,$E$1:$AI$34,ROW(#REF!),)))/Automakers!$D$25)^(1/(Automakers!$D$26-Automakers!$D$23)))^(X$1-Automakers!$D$23)))/1000),NA())</f>
        <v>#N/A</v>
      </c>
      <c r="Y96" s="173" t="e">
        <f>IFERROR(IF(HLOOKUP(Automakers!$D$26,$E$1:$AI$34,ROW(#REF!),)&lt;0,NA(),IF(Y$1&lt;Automakers!$D$23,NA(),IF(Y$1&gt;Automakers!$D$26,NA(),Automakers!$D$25*(((Automakers!$D$25*(HLOOKUP(Automakers!$D$26,$E$1:$AI$34,ROW(#REF!),)/HLOOKUP(Automakers!$D$23,$E$1:$AI$34,ROW(#REF!),)))/Automakers!$D$25)^(1/(Automakers!$D$26-Automakers!$D$23)))^(Y$1-Automakers!$D$23)))/1000),NA())</f>
        <v>#N/A</v>
      </c>
      <c r="Z96" s="173" t="e">
        <f>IFERROR(IF(HLOOKUP(Automakers!$D$26,$E$1:$AI$34,ROW(#REF!),)&lt;0,NA(),IF(Z$1&lt;Automakers!$D$23,NA(),IF(Z$1&gt;Automakers!$D$26,NA(),Automakers!$D$25*(((Automakers!$D$25*(HLOOKUP(Automakers!$D$26,$E$1:$AI$34,ROW(#REF!),)/HLOOKUP(Automakers!$D$23,$E$1:$AI$34,ROW(#REF!),)))/Automakers!$D$25)^(1/(Automakers!$D$26-Automakers!$D$23)))^(Z$1-Automakers!$D$23)))/1000),NA())</f>
        <v>#N/A</v>
      </c>
      <c r="AA96" s="173" t="e">
        <f>IFERROR(IF(HLOOKUP(Automakers!$D$26,$E$1:$AI$34,ROW(#REF!),)&lt;0,NA(),IF(AA$1&lt;Automakers!$D$23,NA(),IF(AA$1&gt;Automakers!$D$26,NA(),Automakers!$D$25*(((Automakers!$D$25*(HLOOKUP(Automakers!$D$26,$E$1:$AI$34,ROW(#REF!),)/HLOOKUP(Automakers!$D$23,$E$1:$AI$34,ROW(#REF!),)))/Automakers!$D$25)^(1/(Automakers!$D$26-Automakers!$D$23)))^(AA$1-Automakers!$D$23)))/1000),NA())</f>
        <v>#N/A</v>
      </c>
      <c r="AB96" s="173" t="e">
        <f>IFERROR(IF(HLOOKUP(Automakers!$D$26,$E$1:$AI$34,ROW(#REF!),)&lt;0,NA(),IF(AB$1&lt;Automakers!$D$23,NA(),IF(AB$1&gt;Automakers!$D$26,NA(),Automakers!$D$25*(((Automakers!$D$25*(HLOOKUP(Automakers!$D$26,$E$1:$AI$34,ROW(#REF!),)/HLOOKUP(Automakers!$D$23,$E$1:$AI$34,ROW(#REF!),)))/Automakers!$D$25)^(1/(Automakers!$D$26-Automakers!$D$23)))^(AB$1-Automakers!$D$23)))/1000),NA())</f>
        <v>#N/A</v>
      </c>
      <c r="AC96" s="173" t="e">
        <f>IFERROR(IF(HLOOKUP(Automakers!$D$26,$E$1:$AI$34,ROW(#REF!),)&lt;0,NA(),IF(AC$1&lt;Automakers!$D$23,NA(),IF(AC$1&gt;Automakers!$D$26,NA(),Automakers!$D$25*(((Automakers!$D$25*(HLOOKUP(Automakers!$D$26,$E$1:$AI$34,ROW(#REF!),)/HLOOKUP(Automakers!$D$23,$E$1:$AI$34,ROW(#REF!),)))/Automakers!$D$25)^(1/(Automakers!$D$26-Automakers!$D$23)))^(AC$1-Automakers!$D$23)))/1000),NA())</f>
        <v>#N/A</v>
      </c>
      <c r="AD96" s="173" t="e">
        <f>IFERROR(IF(HLOOKUP(Automakers!$D$26,$E$1:$AI$34,ROW(#REF!),)&lt;0,NA(),IF(AD$1&lt;Automakers!$D$23,NA(),IF(AD$1&gt;Automakers!$D$26,NA(),Automakers!$D$25*(((Automakers!$D$25*(HLOOKUP(Automakers!$D$26,$E$1:$AI$34,ROW(#REF!),)/HLOOKUP(Automakers!$D$23,$E$1:$AI$34,ROW(#REF!),)))/Automakers!$D$25)^(1/(Automakers!$D$26-Automakers!$D$23)))^(AD$1-Automakers!$D$23)))/1000),NA())</f>
        <v>#N/A</v>
      </c>
      <c r="AE96" s="173" t="e">
        <f>IFERROR(IF(HLOOKUP(Automakers!$D$26,$E$1:$AI$34,ROW(#REF!),)&lt;0,NA(),IF(AE$1&lt;Automakers!$D$23,NA(),IF(AE$1&gt;Automakers!$D$26,NA(),Automakers!$D$25*(((Automakers!$D$25*(HLOOKUP(Automakers!$D$26,$E$1:$AI$34,ROW(#REF!),)/HLOOKUP(Automakers!$D$23,$E$1:$AI$34,ROW(#REF!),)))/Automakers!$D$25)^(1/(Automakers!$D$26-Automakers!$D$23)))^(AE$1-Automakers!$D$23)))/1000),NA())</f>
        <v>#N/A</v>
      </c>
      <c r="AF96" s="173" t="e">
        <f>IFERROR(IF(HLOOKUP(Automakers!$D$26,$E$1:$AI$34,ROW(#REF!),)&lt;0,NA(),IF(AF$1&lt;Automakers!$D$23,NA(),IF(AF$1&gt;Automakers!$D$26,NA(),Automakers!$D$25*(((Automakers!$D$25*(HLOOKUP(Automakers!$D$26,$E$1:$AI$34,ROW(#REF!),)/HLOOKUP(Automakers!$D$23,$E$1:$AI$34,ROW(#REF!),)))/Automakers!$D$25)^(1/(Automakers!$D$26-Automakers!$D$23)))^(AF$1-Automakers!$D$23)))/1000),NA())</f>
        <v>#N/A</v>
      </c>
      <c r="AG96" s="173" t="e">
        <f>IFERROR(IF(HLOOKUP(Automakers!$D$26,$E$1:$AI$34,ROW(#REF!),)&lt;0,NA(),IF(AG$1&lt;Automakers!$D$23,NA(),IF(AG$1&gt;Automakers!$D$26,NA(),Automakers!$D$25*(((Automakers!$D$25*(HLOOKUP(Automakers!$D$26,$E$1:$AI$34,ROW(#REF!),)/HLOOKUP(Automakers!$D$23,$E$1:$AI$34,ROW(#REF!),)))/Automakers!$D$25)^(1/(Automakers!$D$26-Automakers!$D$23)))^(AG$1-Automakers!$D$23)))/1000),NA())</f>
        <v>#N/A</v>
      </c>
      <c r="AH96" s="173" t="e">
        <f>IFERROR(IF(HLOOKUP(Automakers!$D$26,$E$1:$AI$34,ROW(#REF!),)&lt;0,NA(),IF(AH$1&lt;Automakers!$D$23,NA(),IF(AH$1&gt;Automakers!$D$26,NA(),Automakers!$D$25*(((Automakers!$D$25*(HLOOKUP(Automakers!$D$26,$E$1:$AI$34,ROW(#REF!),)/HLOOKUP(Automakers!$D$23,$E$1:$AI$34,ROW(#REF!),)))/Automakers!$D$25)^(1/(Automakers!$D$26-Automakers!$D$23)))^(AH$1-Automakers!$D$23)))/1000),NA())</f>
        <v>#N/A</v>
      </c>
      <c r="AI96" s="173" t="e">
        <f>IFERROR(IF(HLOOKUP(Automakers!$D$26,$E$1:$AI$34,ROW(#REF!),)&lt;0,NA(),IF(AI$1&lt;Automakers!$D$23,NA(),IF(AI$1&gt;Automakers!$D$26,NA(),Automakers!$D$25*(((Automakers!$D$25*(HLOOKUP(Automakers!$D$26,$E$1:$AI$34,ROW(#REF!),)/HLOOKUP(Automakers!$D$23,$E$1:$AI$34,ROW(#REF!),)))/Automakers!$D$25)^(1/(Automakers!$D$26-Automakers!$D$23)))^(AI$1-Automakers!$D$23)))/1000),NA())</f>
        <v>#N/A</v>
      </c>
    </row>
    <row r="97" spans="1:35" s="172" customFormat="1" hidden="1" x14ac:dyDescent="0.15">
      <c r="A97" s="172" t="s">
        <v>9</v>
      </c>
      <c r="B97" s="172" t="e">
        <f>IF(OR(Automakers!$D$73=Lists!$B$26,Automakers!$D$73=Lists!$B$27,Automakers!$D$73=Lists!$B$28),"Scope 3 emissions intensity ("&amp;C97&amp;")","Scope 1 emissions intensity ("&amp;C97&amp;")")</f>
        <v>#N/A</v>
      </c>
      <c r="C97" s="172" t="e">
        <f>INDEX(Lists!$E$2:$E$50,MATCH(Automakers!$D$73,Lists!$B$2:$B$50,0))</f>
        <v>#N/A</v>
      </c>
      <c r="E97" s="173" t="e">
        <f>IFERROR(E95*INDEX(Lists!$F$6:$F$50,MATCH(Automakers!$D$73,Lists!$B$2:$B$50,0))*1000/#REF!,NA())</f>
        <v>#N/A</v>
      </c>
      <c r="F97" s="173" t="e">
        <f>IFERROR(F95*INDEX(Lists!$F$6:$F$50,MATCH(Automakers!$D$73,Lists!$B$2:$B$50,0))*1000/#REF!,NA())</f>
        <v>#N/A</v>
      </c>
      <c r="G97" s="173" t="e">
        <f>IFERROR(G95*INDEX(Lists!$F$6:$F$50,MATCH(Automakers!$D$73,Lists!$B$2:$B$50,0))*1000/#REF!,NA())</f>
        <v>#N/A</v>
      </c>
      <c r="H97" s="173" t="e">
        <f>IFERROR(H95*INDEX(Lists!$F$6:$F$50,MATCH(Automakers!$D$73,Lists!$B$2:$B$50,0))*1000/#REF!,NA())</f>
        <v>#N/A</v>
      </c>
      <c r="I97" s="173" t="e">
        <f>IFERROR(I95*INDEX(Lists!$F$6:$F$50,MATCH(Automakers!$D$73,Lists!$B$2:$B$50,0))*1000/#REF!,NA())</f>
        <v>#N/A</v>
      </c>
      <c r="J97" s="173" t="e">
        <f>IFERROR(J95*INDEX(Lists!$F$6:$F$50,MATCH(Automakers!$D$73,Lists!$B$2:$B$50,0))*1000/#REF!,NA())</f>
        <v>#N/A</v>
      </c>
      <c r="K97" s="173" t="e">
        <f>IFERROR(K95*INDEX(Lists!$F$6:$F$50,MATCH(Automakers!$D$73,Lists!$B$2:$B$50,0))*1000/#REF!,NA())</f>
        <v>#N/A</v>
      </c>
      <c r="L97" s="173" t="e">
        <f>IFERROR(L95*INDEX(Lists!$F$6:$F$50,MATCH(Automakers!$D$73,Lists!$B$2:$B$50,0))*1000/#REF!,NA())</f>
        <v>#N/A</v>
      </c>
      <c r="M97" s="173" t="e">
        <f>IFERROR(M95*INDEX(Lists!$F$6:$F$50,MATCH(Automakers!$D$73,Lists!$B$2:$B$50,0))*1000/#REF!,NA())</f>
        <v>#N/A</v>
      </c>
      <c r="N97" s="173" t="e">
        <f>IFERROR(N95*INDEX(Lists!$F$6:$F$50,MATCH(Automakers!$D$73,Lists!$B$2:$B$50,0))*1000/#REF!,NA())</f>
        <v>#N/A</v>
      </c>
      <c r="O97" s="173" t="e">
        <f>IFERROR(O95*INDEX(Lists!$F$6:$F$50,MATCH(Automakers!$D$73,Lists!$B$2:$B$50,0))*1000/#REF!,NA())</f>
        <v>#N/A</v>
      </c>
      <c r="P97" s="173" t="e">
        <f>IFERROR(P95*INDEX(Lists!$F$6:$F$50,MATCH(Automakers!$D$73,Lists!$B$2:$B$50,0))*1000/#REF!,NA())</f>
        <v>#N/A</v>
      </c>
      <c r="Q97" s="173" t="e">
        <f>IFERROR(Q95*INDEX(Lists!$F$6:$F$50,MATCH(Automakers!$D$73,Lists!$B$2:$B$50,0))*1000/#REF!,NA())</f>
        <v>#N/A</v>
      </c>
      <c r="R97" s="173" t="e">
        <f>IFERROR(R95*INDEX(Lists!$F$6:$F$50,MATCH(Automakers!$D$73,Lists!$B$2:$B$50,0))*1000/#REF!,NA())</f>
        <v>#N/A</v>
      </c>
      <c r="S97" s="173" t="e">
        <f>IFERROR(S95*INDEX(Lists!$F$6:$F$50,MATCH(Automakers!$D$73,Lists!$B$2:$B$50,0))*1000/#REF!,NA())</f>
        <v>#N/A</v>
      </c>
      <c r="T97" s="173" t="e">
        <f>IFERROR(T95*INDEX(Lists!$F$6:$F$50,MATCH(Automakers!$D$73,Lists!$B$2:$B$50,0))*1000/#REF!,NA())</f>
        <v>#N/A</v>
      </c>
      <c r="U97" s="173" t="e">
        <f>IFERROR(U95*INDEX(Lists!$F$6:$F$50,MATCH(Automakers!$D$73,Lists!$B$2:$B$50,0))*1000/#REF!,NA())</f>
        <v>#N/A</v>
      </c>
      <c r="V97" s="173" t="e">
        <f>IFERROR(V95*INDEX(Lists!$F$6:$F$50,MATCH(Automakers!$D$73,Lists!$B$2:$B$50,0))*1000/#REF!,NA())</f>
        <v>#N/A</v>
      </c>
      <c r="W97" s="173" t="e">
        <f>IFERROR(W95*INDEX(Lists!$F$6:$F$50,MATCH(Automakers!$D$73,Lists!$B$2:$B$50,0))*1000/#REF!,NA())</f>
        <v>#N/A</v>
      </c>
      <c r="X97" s="173" t="e">
        <f>IFERROR(X95*INDEX(Lists!$F$6:$F$50,MATCH(Automakers!$D$73,Lists!$B$2:$B$50,0))*1000/#REF!,NA())</f>
        <v>#N/A</v>
      </c>
      <c r="Y97" s="173" t="e">
        <f>IFERROR(Y95*INDEX(Lists!$F$6:$F$50,MATCH(Automakers!$D$73,Lists!$B$2:$B$50,0))*1000/#REF!,NA())</f>
        <v>#N/A</v>
      </c>
      <c r="Z97" s="173" t="e">
        <f>IFERROR(Z95*INDEX(Lists!$F$6:$F$50,MATCH(Automakers!$D$73,Lists!$B$2:$B$50,0))*1000/#REF!,NA())</f>
        <v>#N/A</v>
      </c>
      <c r="AA97" s="173" t="e">
        <f>IFERROR(AA95*INDEX(Lists!$F$6:$F$50,MATCH(Automakers!$D$73,Lists!$B$2:$B$50,0))*1000/#REF!,NA())</f>
        <v>#N/A</v>
      </c>
      <c r="AB97" s="173" t="e">
        <f>IFERROR(AB95*INDEX(Lists!$F$6:$F$50,MATCH(Automakers!$D$73,Lists!$B$2:$B$50,0))*1000/#REF!,NA())</f>
        <v>#N/A</v>
      </c>
      <c r="AC97" s="173" t="e">
        <f>IFERROR(AC95*INDEX(Lists!$F$6:$F$50,MATCH(Automakers!$D$73,Lists!$B$2:$B$50,0))*1000/#REF!,NA())</f>
        <v>#N/A</v>
      </c>
      <c r="AD97" s="173" t="e">
        <f>IFERROR(AD95*INDEX(Lists!$F$6:$F$50,MATCH(Automakers!$D$73,Lists!$B$2:$B$50,0))*1000/#REF!,NA())</f>
        <v>#N/A</v>
      </c>
      <c r="AE97" s="173" t="e">
        <f>IFERROR(AE95*INDEX(Lists!$F$6:$F$50,MATCH(Automakers!$D$73,Lists!$B$2:$B$50,0))*1000/#REF!,NA())</f>
        <v>#N/A</v>
      </c>
      <c r="AF97" s="173" t="e">
        <f>IFERROR(AF95*INDEX(Lists!$F$6:$F$50,MATCH(Automakers!$D$73,Lists!$B$2:$B$50,0))*1000/#REF!,NA())</f>
        <v>#N/A</v>
      </c>
      <c r="AG97" s="173" t="e">
        <f>IFERROR(AG95*INDEX(Lists!$F$6:$F$50,MATCH(Automakers!$D$73,Lists!$B$2:$B$50,0))*1000/#REF!,NA())</f>
        <v>#N/A</v>
      </c>
      <c r="AH97" s="173" t="e">
        <f>IFERROR(AH95*INDEX(Lists!$F$6:$F$50,MATCH(Automakers!$D$73,Lists!$B$2:$B$50,0))*1000/#REF!,NA())</f>
        <v>#N/A</v>
      </c>
      <c r="AI97" s="173" t="e">
        <f>IFERROR(AI95*INDEX(Lists!$F$6:$F$50,MATCH(Automakers!$D$73,Lists!$B$2:$B$50,0))*1000/#REF!,NA())</f>
        <v>#N/A</v>
      </c>
    </row>
    <row r="98" spans="1:35" s="172" customFormat="1" hidden="1" x14ac:dyDescent="0.15">
      <c r="A98" s="172" t="s">
        <v>13</v>
      </c>
      <c r="B98" s="172" t="e">
        <f>"Scope 2 emissions intensity ("&amp;C98&amp;")"</f>
        <v>#N/A</v>
      </c>
      <c r="C98" s="172" t="e">
        <f>INDEX(Lists!$E$2:$E$50,MATCH(Automakers!$D$73,Lists!$B$2:$B$50,0))</f>
        <v>#N/A</v>
      </c>
      <c r="E98" s="173" t="e">
        <f>IFERROR(E96*INDEX(Lists!$F$6:$F$50,MATCH(Automakers!$D$73,Lists!$B$2:$B$50,0))*1000/#REF!,NA())</f>
        <v>#N/A</v>
      </c>
      <c r="F98" s="173" t="e">
        <f>IFERROR(F96*INDEX(Lists!$F$6:$F$50,MATCH(Automakers!$D$73,Lists!$B$2:$B$50,0))*1000/#REF!,NA())</f>
        <v>#N/A</v>
      </c>
      <c r="G98" s="173" t="e">
        <f>IFERROR(G96*INDEX(Lists!$F$6:$F$50,MATCH(Automakers!$D$73,Lists!$B$2:$B$50,0))*1000/#REF!,NA())</f>
        <v>#N/A</v>
      </c>
      <c r="H98" s="173" t="e">
        <f>IFERROR(H96*INDEX(Lists!$F$6:$F$50,MATCH(Automakers!$D$73,Lists!$B$2:$B$50,0))*1000/#REF!,NA())</f>
        <v>#N/A</v>
      </c>
      <c r="I98" s="173" t="e">
        <f>IFERROR(I96*INDEX(Lists!$F$6:$F$50,MATCH(Automakers!$D$73,Lists!$B$2:$B$50,0))*1000/#REF!,NA())</f>
        <v>#N/A</v>
      </c>
      <c r="J98" s="173" t="e">
        <f>IFERROR(J96*INDEX(Lists!$F$6:$F$50,MATCH(Automakers!$D$73,Lists!$B$2:$B$50,0))*1000/#REF!,NA())</f>
        <v>#N/A</v>
      </c>
      <c r="K98" s="173" t="e">
        <f>IFERROR(K96*INDEX(Lists!$F$6:$F$50,MATCH(Automakers!$D$73,Lists!$B$2:$B$50,0))*1000/#REF!,NA())</f>
        <v>#N/A</v>
      </c>
      <c r="L98" s="173" t="e">
        <f>IFERROR(L96*INDEX(Lists!$F$6:$F$50,MATCH(Automakers!$D$73,Lists!$B$2:$B$50,0))*1000/#REF!,NA())</f>
        <v>#N/A</v>
      </c>
      <c r="M98" s="173" t="e">
        <f>IFERROR(M96*INDEX(Lists!$F$6:$F$50,MATCH(Automakers!$D$73,Lists!$B$2:$B$50,0))*1000/#REF!,NA())</f>
        <v>#N/A</v>
      </c>
      <c r="N98" s="173" t="e">
        <f>IFERROR(N96*INDEX(Lists!$F$6:$F$50,MATCH(Automakers!$D$73,Lists!$B$2:$B$50,0))*1000/#REF!,NA())</f>
        <v>#N/A</v>
      </c>
      <c r="O98" s="173" t="e">
        <f>IFERROR(O96*INDEX(Lists!$F$6:$F$50,MATCH(Automakers!$D$73,Lists!$B$2:$B$50,0))*1000/#REF!,NA())</f>
        <v>#N/A</v>
      </c>
      <c r="P98" s="173" t="e">
        <f>IFERROR(P96*INDEX(Lists!$F$6:$F$50,MATCH(Automakers!$D$73,Lists!$B$2:$B$50,0))*1000/#REF!,NA())</f>
        <v>#N/A</v>
      </c>
      <c r="Q98" s="173" t="e">
        <f>IFERROR(Q96*INDEX(Lists!$F$6:$F$50,MATCH(Automakers!$D$73,Lists!$B$2:$B$50,0))*1000/#REF!,NA())</f>
        <v>#N/A</v>
      </c>
      <c r="R98" s="173" t="e">
        <f>IFERROR(R96*INDEX(Lists!$F$6:$F$50,MATCH(Automakers!$D$73,Lists!$B$2:$B$50,0))*1000/#REF!,NA())</f>
        <v>#N/A</v>
      </c>
      <c r="S98" s="173" t="e">
        <f>IFERROR(S96*INDEX(Lists!$F$6:$F$50,MATCH(Automakers!$D$73,Lists!$B$2:$B$50,0))*1000/#REF!,NA())</f>
        <v>#N/A</v>
      </c>
      <c r="T98" s="173" t="e">
        <f>IFERROR(T96*INDEX(Lists!$F$6:$F$50,MATCH(Automakers!$D$73,Lists!$B$2:$B$50,0))*1000/#REF!,NA())</f>
        <v>#N/A</v>
      </c>
      <c r="U98" s="173" t="e">
        <f>IFERROR(U96*INDEX(Lists!$F$6:$F$50,MATCH(Automakers!$D$73,Lists!$B$2:$B$50,0))*1000/#REF!,NA())</f>
        <v>#N/A</v>
      </c>
      <c r="V98" s="173" t="e">
        <f>IFERROR(V96*INDEX(Lists!$F$6:$F$50,MATCH(Automakers!$D$73,Lists!$B$2:$B$50,0))*1000/#REF!,NA())</f>
        <v>#N/A</v>
      </c>
      <c r="W98" s="173" t="e">
        <f>IFERROR(W96*INDEX(Lists!$F$6:$F$50,MATCH(Automakers!$D$73,Lists!$B$2:$B$50,0))*1000/#REF!,NA())</f>
        <v>#N/A</v>
      </c>
      <c r="X98" s="173" t="e">
        <f>IFERROR(X96*INDEX(Lists!$F$6:$F$50,MATCH(Automakers!$D$73,Lists!$B$2:$B$50,0))*1000/#REF!,NA())</f>
        <v>#N/A</v>
      </c>
      <c r="Y98" s="173" t="e">
        <f>IFERROR(Y96*INDEX(Lists!$F$6:$F$50,MATCH(Automakers!$D$73,Lists!$B$2:$B$50,0))*1000/#REF!,NA())</f>
        <v>#N/A</v>
      </c>
      <c r="Z98" s="173" t="e">
        <f>IFERROR(Z96*INDEX(Lists!$F$6:$F$50,MATCH(Automakers!$D$73,Lists!$B$2:$B$50,0))*1000/#REF!,NA())</f>
        <v>#N/A</v>
      </c>
      <c r="AA98" s="173" t="e">
        <f>IFERROR(AA96*INDEX(Lists!$F$6:$F$50,MATCH(Automakers!$D$73,Lists!$B$2:$B$50,0))*1000/#REF!,NA())</f>
        <v>#N/A</v>
      </c>
      <c r="AB98" s="173" t="e">
        <f>IFERROR(AB96*INDEX(Lists!$F$6:$F$50,MATCH(Automakers!$D$73,Lists!$B$2:$B$50,0))*1000/#REF!,NA())</f>
        <v>#N/A</v>
      </c>
      <c r="AC98" s="173" t="e">
        <f>IFERROR(AC96*INDEX(Lists!$F$6:$F$50,MATCH(Automakers!$D$73,Lists!$B$2:$B$50,0))*1000/#REF!,NA())</f>
        <v>#N/A</v>
      </c>
      <c r="AD98" s="173" t="e">
        <f>IFERROR(AD96*INDEX(Lists!$F$6:$F$50,MATCH(Automakers!$D$73,Lists!$B$2:$B$50,0))*1000/#REF!,NA())</f>
        <v>#N/A</v>
      </c>
      <c r="AE98" s="173" t="e">
        <f>IFERROR(AE96*INDEX(Lists!$F$6:$F$50,MATCH(Automakers!$D$73,Lists!$B$2:$B$50,0))*1000/#REF!,NA())</f>
        <v>#N/A</v>
      </c>
      <c r="AF98" s="173" t="e">
        <f>IFERROR(AF96*INDEX(Lists!$F$6:$F$50,MATCH(Automakers!$D$73,Lists!$B$2:$B$50,0))*1000/#REF!,NA())</f>
        <v>#N/A</v>
      </c>
      <c r="AG98" s="173" t="e">
        <f>IFERROR(AG96*INDEX(Lists!$F$6:$F$50,MATCH(Automakers!$D$73,Lists!$B$2:$B$50,0))*1000/#REF!,NA())</f>
        <v>#N/A</v>
      </c>
      <c r="AH98" s="173" t="e">
        <f>IFERROR(AH96*INDEX(Lists!$F$6:$F$50,MATCH(Automakers!$D$73,Lists!$B$2:$B$50,0))*1000/#REF!,NA())</f>
        <v>#N/A</v>
      </c>
      <c r="AI98" s="173" t="e">
        <f>IFERROR(AI96*INDEX(Lists!$F$6:$F$50,MATCH(Automakers!$D$73,Lists!$B$2:$B$50,0))*1000/#REF!,NA())</f>
        <v>#N/A</v>
      </c>
    </row>
    <row r="99" spans="1:35" s="172" customFormat="1" hidden="1" x14ac:dyDescent="0.15">
      <c r="E99" s="173"/>
      <c r="F99" s="173"/>
      <c r="G99" s="173"/>
      <c r="H99" s="173"/>
      <c r="I99" s="173"/>
      <c r="J99" s="173"/>
      <c r="K99" s="173"/>
      <c r="L99" s="173"/>
      <c r="M99" s="173"/>
      <c r="N99" s="173"/>
      <c r="O99" s="173"/>
      <c r="P99" s="173"/>
      <c r="Q99" s="173"/>
      <c r="R99" s="173"/>
      <c r="S99" s="173"/>
      <c r="T99" s="173"/>
      <c r="U99" s="173"/>
      <c r="V99" s="173"/>
      <c r="W99" s="173"/>
      <c r="X99" s="173"/>
      <c r="Y99" s="173"/>
      <c r="Z99" s="173"/>
      <c r="AA99" s="173"/>
      <c r="AB99" s="173"/>
      <c r="AC99" s="173"/>
      <c r="AD99" s="173"/>
      <c r="AE99" s="173"/>
      <c r="AF99" s="173"/>
      <c r="AG99" s="173"/>
      <c r="AH99" s="173"/>
      <c r="AI99" s="173"/>
    </row>
    <row r="100" spans="1:35" x14ac:dyDescent="0.15">
      <c r="E100" s="184"/>
      <c r="F100" s="184"/>
      <c r="G100" s="184">
        <f>IF(AND(G$1&gt;=Autoparts!$D$24,G$1&lt;=2050),IF(G$1=Autoparts!$D$24,Autoparts!$D$24,G$1),NA())</f>
        <v>2022</v>
      </c>
      <c r="H100" s="184">
        <f>IF(AND(H$1&gt;=Autoparts!$D$24,H$1&lt;=2050),IF(H$1=Autoparts!$D$24,Autoparts!$D$24,H$1),NA())</f>
        <v>2023</v>
      </c>
      <c r="I100" s="184">
        <f>IF(AND(I$1&gt;=Autoparts!$D$24,I$1&lt;=2050),IF(I$1=Autoparts!$D$24,Autoparts!$D$24,I$1),NA())</f>
        <v>2024</v>
      </c>
      <c r="J100" s="184">
        <f>IF(AND(J$1&gt;=Autoparts!$D$24,J$1&lt;=2050),IF(J$1=Autoparts!$D$24,Autoparts!$D$24,J$1),NA())</f>
        <v>2025</v>
      </c>
      <c r="K100" s="184">
        <f>IF(AND(K$1&gt;=Autoparts!$D$24,K$1&lt;=2050),IF(K$1=Autoparts!$D$24,Autoparts!$D$24,K$1),NA())</f>
        <v>2026</v>
      </c>
      <c r="L100" s="184">
        <f>IF(AND(L$1&gt;=Autoparts!$D$24,L$1&lt;=2050),IF(L$1=Autoparts!$D$24,Autoparts!$D$24,L$1),NA())</f>
        <v>2027</v>
      </c>
      <c r="M100" s="184">
        <f>IF(AND(M$1&gt;=Autoparts!$D$24,M$1&lt;=2050),IF(M$1=Autoparts!$D$24,Autoparts!$D$24,M$1),NA())</f>
        <v>2028</v>
      </c>
      <c r="N100" s="184">
        <f>IF(AND(N$1&gt;=Autoparts!$D$24,N$1&lt;=2050),IF(N$1=Autoparts!$D$24,Autoparts!$D$24,N$1),NA())</f>
        <v>2029</v>
      </c>
      <c r="O100" s="184">
        <f>IF(AND(O$1&gt;=Autoparts!$D$24,O$1&lt;=2050),IF(O$1=Autoparts!$D$24,Autoparts!$D$24,O$1),NA())</f>
        <v>2030</v>
      </c>
      <c r="P100" s="184">
        <f>IF(AND(P$1&gt;=Autoparts!$D$24,P$1&lt;=2050),IF(P$1=Autoparts!$D$24,Autoparts!$D$24,P$1),NA())</f>
        <v>2031</v>
      </c>
      <c r="Q100" s="184">
        <f>IF(AND(Q$1&gt;=Autoparts!$D$24,Q$1&lt;=2050),IF(Q$1=Autoparts!$D$24,Autoparts!$D$24,Q$1),NA())</f>
        <v>2032</v>
      </c>
      <c r="R100" s="184">
        <f>IF(AND(R$1&gt;=Autoparts!$D$24,R$1&lt;=2050),IF(R$1=Autoparts!$D$24,Autoparts!$D$24,R$1),NA())</f>
        <v>2033</v>
      </c>
      <c r="S100" s="184">
        <f>IF(AND(S$1&gt;=Autoparts!$D$24,S$1&lt;=2050),IF(S$1=Autoparts!$D$24,Autoparts!$D$24,S$1),NA())</f>
        <v>2034</v>
      </c>
      <c r="T100" s="184">
        <f>IF(AND(T$1&gt;=Autoparts!$D$24,T$1&lt;=2050),IF(T$1=Autoparts!$D$24,Autoparts!$D$24,T$1),NA())</f>
        <v>2035</v>
      </c>
      <c r="U100" s="184">
        <f>IF(AND(U$1&gt;=Autoparts!$D$24,U$1&lt;=2050),IF(U$1=Autoparts!$D$24,Autoparts!$D$24,U$1),NA())</f>
        <v>2036</v>
      </c>
      <c r="V100" s="184">
        <f>IF(AND(V$1&gt;=Autoparts!$D$24,V$1&lt;=2050),IF(V$1=Autoparts!$D$24,Autoparts!$D$24,V$1),NA())</f>
        <v>2037</v>
      </c>
      <c r="W100" s="184">
        <f>IF(AND(W$1&gt;=Autoparts!$D$24,W$1&lt;=2050),IF(W$1=Autoparts!$D$24,Autoparts!$D$24,W$1),NA())</f>
        <v>2038</v>
      </c>
      <c r="X100" s="184">
        <f>IF(AND(X$1&gt;=Autoparts!$D$24,X$1&lt;=2050),IF(X$1=Autoparts!$D$24,Autoparts!$D$24,X$1),NA())</f>
        <v>2039</v>
      </c>
      <c r="Y100" s="184">
        <f>IF(AND(Y$1&gt;=Autoparts!$D$24,Y$1&lt;=2050),IF(Y$1=Autoparts!$D$24,Autoparts!$D$24,Y$1),NA())</f>
        <v>2040</v>
      </c>
      <c r="Z100" s="184">
        <f>IF(AND(Z$1&gt;=Autoparts!$D$24,Z$1&lt;=2050),IF(Z$1=Autoparts!$D$24,Autoparts!$D$24,Z$1),NA())</f>
        <v>2041</v>
      </c>
      <c r="AA100" s="184">
        <f>IF(AND(AA$1&gt;=Autoparts!$D$24,AA$1&lt;=2050),IF(AA$1=Autoparts!$D$24,Autoparts!$D$24,AA$1),NA())</f>
        <v>2042</v>
      </c>
      <c r="AB100" s="184">
        <f>IF(AND(AB$1&gt;=Autoparts!$D$24,AB$1&lt;=2050),IF(AB$1=Autoparts!$D$24,Autoparts!$D$24,AB$1),NA())</f>
        <v>2043</v>
      </c>
      <c r="AC100" s="184">
        <f>IF(AND(AC$1&gt;=Autoparts!$D$24,AC$1&lt;=2050),IF(AC$1=Autoparts!$D$24,Autoparts!$D$24,AC$1),NA())</f>
        <v>2044</v>
      </c>
      <c r="AD100" s="184">
        <f>IF(AND(AD$1&gt;=Autoparts!$D$24,AD$1&lt;=2050),IF(AD$1=Autoparts!$D$24,Autoparts!$D$24,AD$1),NA())</f>
        <v>2045</v>
      </c>
      <c r="AE100" s="184">
        <f>IF(AND(AE$1&gt;=Autoparts!$D$24,AE$1&lt;=2050),IF(AE$1=Autoparts!$D$24,Autoparts!$D$24,AE$1),NA())</f>
        <v>2046</v>
      </c>
      <c r="AF100" s="184">
        <f>IF(AND(AF$1&gt;=Autoparts!$D$24,AF$1&lt;=2050),IF(AF$1=Autoparts!$D$24,Autoparts!$D$24,AF$1),NA())</f>
        <v>2047</v>
      </c>
      <c r="AG100" s="184">
        <f>IF(AND(AG$1&gt;=Autoparts!$D$24,AG$1&lt;=2050),IF(AG$1=Autoparts!$D$24,Autoparts!$D$24,AG$1),NA())</f>
        <v>2048</v>
      </c>
      <c r="AH100" s="184">
        <f>IF(AND(AH$1&gt;=Autoparts!$D$24,AH$1&lt;=2050),IF(AH$1=Autoparts!$D$24,Autoparts!$D$24,AH$1),NA())</f>
        <v>2049</v>
      </c>
      <c r="AI100" s="184">
        <f>IF(AND(AI$1&gt;=Autoparts!$D$24,AI$1&lt;=2050),IF(AI$1=Autoparts!$D$24,Autoparts!$D$24,AI$1),NA())</f>
        <v>2050</v>
      </c>
    </row>
    <row r="101" spans="1:35" hidden="1" x14ac:dyDescent="0.15"/>
    <row r="102" spans="1:35" hidden="1" x14ac:dyDescent="0.15">
      <c r="B102" s="1" t="s">
        <v>264</v>
      </c>
      <c r="E102"/>
      <c r="F102"/>
      <c r="G102"/>
      <c r="H102"/>
      <c r="I102"/>
      <c r="J102"/>
      <c r="K102"/>
      <c r="L102"/>
      <c r="M102"/>
      <c r="N102"/>
      <c r="O102"/>
      <c r="P102"/>
      <c r="Q102"/>
      <c r="R102"/>
      <c r="S102"/>
      <c r="T102"/>
      <c r="U102"/>
      <c r="V102"/>
      <c r="W102"/>
      <c r="X102"/>
      <c r="Y102"/>
      <c r="Z102"/>
      <c r="AA102"/>
      <c r="AB102"/>
      <c r="AC102"/>
      <c r="AD102"/>
      <c r="AE102"/>
      <c r="AF102"/>
      <c r="AG102"/>
      <c r="AH102"/>
      <c r="AI102"/>
    </row>
    <row r="103" spans="1:35" hidden="1" x14ac:dyDescent="0.15">
      <c r="B103" t="s">
        <v>155</v>
      </c>
      <c r="C103" t="str">
        <f>+C14</f>
        <v>tCO2e</v>
      </c>
      <c r="E103" s="185"/>
      <c r="F103" s="185"/>
      <c r="G103" s="185">
        <f t="shared" ref="G103:AI103" si="0">IF(G19&gt;=0,G19,0)</f>
        <v>100000</v>
      </c>
      <c r="H103" s="185">
        <f t="shared" si="0"/>
        <v>95036.363636363647</v>
      </c>
      <c r="I103" s="185">
        <f t="shared" si="0"/>
        <v>90072.727272727265</v>
      </c>
      <c r="J103" s="185">
        <f t="shared" si="0"/>
        <v>85109.090909090912</v>
      </c>
      <c r="K103" s="185">
        <f t="shared" si="0"/>
        <v>80145.454545454544</v>
      </c>
      <c r="L103" s="185">
        <f t="shared" si="0"/>
        <v>75181.818181818177</v>
      </c>
      <c r="M103" s="185">
        <f t="shared" si="0"/>
        <v>70218.181818181823</v>
      </c>
      <c r="N103" s="185">
        <f t="shared" si="0"/>
        <v>65254.545454545456</v>
      </c>
      <c r="O103" s="185">
        <f t="shared" si="0"/>
        <v>60290.909090909081</v>
      </c>
      <c r="P103" s="185">
        <f t="shared" si="0"/>
        <v>55327.272727272728</v>
      </c>
      <c r="Q103" s="185">
        <f t="shared" si="0"/>
        <v>50363.636363636368</v>
      </c>
      <c r="R103" s="185">
        <f t="shared" si="0"/>
        <v>45399.999999999993</v>
      </c>
      <c r="S103" s="185">
        <f t="shared" si="0"/>
        <v>40436.36363636364</v>
      </c>
      <c r="T103" s="185">
        <f t="shared" si="0"/>
        <v>35472.727272727265</v>
      </c>
      <c r="U103" s="185" t="e">
        <f t="shared" si="0"/>
        <v>#N/A</v>
      </c>
      <c r="V103" s="185" t="e">
        <f t="shared" si="0"/>
        <v>#N/A</v>
      </c>
      <c r="W103" s="185" t="e">
        <f t="shared" si="0"/>
        <v>#N/A</v>
      </c>
      <c r="X103" s="185" t="e">
        <f t="shared" si="0"/>
        <v>#N/A</v>
      </c>
      <c r="Y103" s="185" t="e">
        <f t="shared" si="0"/>
        <v>#N/A</v>
      </c>
      <c r="Z103" s="185" t="e">
        <f t="shared" si="0"/>
        <v>#N/A</v>
      </c>
      <c r="AA103" s="185" t="e">
        <f t="shared" si="0"/>
        <v>#N/A</v>
      </c>
      <c r="AB103" s="185" t="e">
        <f t="shared" si="0"/>
        <v>#N/A</v>
      </c>
      <c r="AC103" s="185" t="e">
        <f t="shared" si="0"/>
        <v>#N/A</v>
      </c>
      <c r="AD103" s="185" t="e">
        <f t="shared" si="0"/>
        <v>#N/A</v>
      </c>
      <c r="AE103" s="185" t="e">
        <f t="shared" si="0"/>
        <v>#N/A</v>
      </c>
      <c r="AF103" s="185" t="e">
        <f t="shared" si="0"/>
        <v>#N/A</v>
      </c>
      <c r="AG103" s="185" t="e">
        <f t="shared" si="0"/>
        <v>#N/A</v>
      </c>
      <c r="AH103" s="185" t="e">
        <f t="shared" si="0"/>
        <v>#N/A</v>
      </c>
      <c r="AI103" s="185">
        <f t="shared" si="0"/>
        <v>9999.9999999999982</v>
      </c>
    </row>
    <row r="104" spans="1:35" hidden="1" x14ac:dyDescent="0.15">
      <c r="B104" t="s">
        <v>156</v>
      </c>
      <c r="C104" t="str">
        <f>+C21</f>
        <v>tCO2e</v>
      </c>
      <c r="E104" s="185"/>
      <c r="F104" s="185"/>
      <c r="G104" s="185">
        <f t="shared" ref="G104:AI104" si="1">IF(G26&gt;=0,G26,"---")</f>
        <v>500000</v>
      </c>
      <c r="H104" s="185">
        <f t="shared" si="1"/>
        <v>475181.81818181818</v>
      </c>
      <c r="I104" s="185">
        <f t="shared" si="1"/>
        <v>450363.63636363635</v>
      </c>
      <c r="J104" s="185">
        <f t="shared" si="1"/>
        <v>425545.45454545459</v>
      </c>
      <c r="K104" s="185">
        <f t="shared" si="1"/>
        <v>400727.27272727271</v>
      </c>
      <c r="L104" s="185">
        <f t="shared" si="1"/>
        <v>375909.09090909094</v>
      </c>
      <c r="M104" s="185">
        <f t="shared" si="1"/>
        <v>351090.90909090912</v>
      </c>
      <c r="N104" s="185">
        <f t="shared" si="1"/>
        <v>326272.72727272729</v>
      </c>
      <c r="O104" s="185">
        <f t="shared" si="1"/>
        <v>301454.54545454541</v>
      </c>
      <c r="P104" s="185">
        <f t="shared" si="1"/>
        <v>276636.36363636365</v>
      </c>
      <c r="Q104" s="185">
        <f t="shared" si="1"/>
        <v>251818.18181818182</v>
      </c>
      <c r="R104" s="185">
        <f t="shared" si="1"/>
        <v>226999.99999999997</v>
      </c>
      <c r="S104" s="185">
        <f t="shared" si="1"/>
        <v>202181.81818181818</v>
      </c>
      <c r="T104" s="185">
        <f t="shared" si="1"/>
        <v>177363.63636363632</v>
      </c>
      <c r="U104" s="185" t="e">
        <f t="shared" si="1"/>
        <v>#N/A</v>
      </c>
      <c r="V104" s="185" t="e">
        <f t="shared" si="1"/>
        <v>#N/A</v>
      </c>
      <c r="W104" s="185" t="e">
        <f t="shared" si="1"/>
        <v>#N/A</v>
      </c>
      <c r="X104" s="185" t="e">
        <f t="shared" si="1"/>
        <v>#N/A</v>
      </c>
      <c r="Y104" s="185" t="e">
        <f t="shared" si="1"/>
        <v>#N/A</v>
      </c>
      <c r="Z104" s="185" t="e">
        <f t="shared" si="1"/>
        <v>#N/A</v>
      </c>
      <c r="AA104" s="185" t="e">
        <f t="shared" si="1"/>
        <v>#N/A</v>
      </c>
      <c r="AB104" s="185" t="e">
        <f t="shared" si="1"/>
        <v>#N/A</v>
      </c>
      <c r="AC104" s="185" t="e">
        <f t="shared" si="1"/>
        <v>#N/A</v>
      </c>
      <c r="AD104" s="185" t="e">
        <f t="shared" si="1"/>
        <v>#N/A</v>
      </c>
      <c r="AE104" s="185" t="e">
        <f t="shared" si="1"/>
        <v>#N/A</v>
      </c>
      <c r="AF104" s="185" t="e">
        <f t="shared" si="1"/>
        <v>#N/A</v>
      </c>
      <c r="AG104" s="185" t="e">
        <f t="shared" si="1"/>
        <v>#N/A</v>
      </c>
      <c r="AH104" s="185" t="e">
        <f t="shared" si="1"/>
        <v>#N/A</v>
      </c>
      <c r="AI104" s="185">
        <f t="shared" si="1"/>
        <v>49999.999999999985</v>
      </c>
    </row>
    <row r="105" spans="1:35" hidden="1" x14ac:dyDescent="0.15">
      <c r="B105" s="186" t="s">
        <v>24</v>
      </c>
      <c r="D105" s="181">
        <f>IF(Automakers!$D$24&gt;0,Automakers!$H$34,NA())</f>
        <v>45399.999999999993</v>
      </c>
    </row>
    <row r="106" spans="1:35" hidden="1" x14ac:dyDescent="0.15">
      <c r="B106" s="186" t="s">
        <v>25</v>
      </c>
      <c r="D106" s="181">
        <f>IF(Automakers!$D$25&gt;0,Automakers!$H$35,NA())</f>
        <v>226999.99999999997</v>
      </c>
    </row>
    <row r="108" spans="1:35" x14ac:dyDescent="0.15">
      <c r="B108" s="1" t="str">
        <f>CONCATENATE("Graph 1 | Use-phase emissions intensity | convergence method (",Automakers!D73,")")</f>
        <v>Graph 1 | Use-phase emissions intensity | convergence method ()</v>
      </c>
    </row>
    <row r="109" spans="1:35" s="2" customFormat="1" x14ac:dyDescent="0.15">
      <c r="A109"/>
      <c r="B109" t="str">
        <f>IF(ISTEXT(Automakers!$D$73)=TRUE,IF(Automakers!D73=Lists!$B$2,"Passenger cars | Use-phase emissions intensity in "&amp;Automakers!D72,IF(Automakers!$D$73=Lists!$B$3,"LCVs | Use-phase emissions intensity in "&amp;Automakers!D72,"select a LDV category")),"select a LDV category")</f>
        <v>select a LDV category</v>
      </c>
      <c r="C109" t="str">
        <f>+C34</f>
        <v>gCO2e/vkm</v>
      </c>
      <c r="D109"/>
      <c r="E109" s="179"/>
      <c r="F109" s="179"/>
      <c r="G109" s="179" t="e">
        <f t="shared" ref="G109:AI109" si="2">IF(G37&lt;&gt;0,G37,NA())</f>
        <v>#N/A</v>
      </c>
      <c r="H109" s="179" t="e">
        <f t="shared" si="2"/>
        <v>#N/A</v>
      </c>
      <c r="I109" s="179" t="e">
        <f t="shared" si="2"/>
        <v>#N/A</v>
      </c>
      <c r="J109" s="179" t="e">
        <f t="shared" si="2"/>
        <v>#N/A</v>
      </c>
      <c r="K109" s="179" t="e">
        <f t="shared" si="2"/>
        <v>#N/A</v>
      </c>
      <c r="L109" s="179" t="e">
        <f t="shared" si="2"/>
        <v>#N/A</v>
      </c>
      <c r="M109" s="179" t="e">
        <f t="shared" si="2"/>
        <v>#N/A</v>
      </c>
      <c r="N109" s="179" t="e">
        <f t="shared" si="2"/>
        <v>#N/A</v>
      </c>
      <c r="O109" s="179" t="e">
        <f t="shared" si="2"/>
        <v>#N/A</v>
      </c>
      <c r="P109" s="179" t="e">
        <f t="shared" si="2"/>
        <v>#N/A</v>
      </c>
      <c r="Q109" s="179" t="e">
        <f t="shared" si="2"/>
        <v>#N/A</v>
      </c>
      <c r="R109" s="179" t="e">
        <f t="shared" si="2"/>
        <v>#N/A</v>
      </c>
      <c r="S109" s="179" t="e">
        <f t="shared" si="2"/>
        <v>#N/A</v>
      </c>
      <c r="T109" s="179" t="e">
        <f t="shared" si="2"/>
        <v>#N/A</v>
      </c>
      <c r="U109" s="179" t="e">
        <f t="shared" si="2"/>
        <v>#N/A</v>
      </c>
      <c r="V109" s="179" t="e">
        <f t="shared" si="2"/>
        <v>#N/A</v>
      </c>
      <c r="W109" s="179" t="e">
        <f t="shared" si="2"/>
        <v>#N/A</v>
      </c>
      <c r="X109" s="179" t="e">
        <f t="shared" si="2"/>
        <v>#N/A</v>
      </c>
      <c r="Y109" s="179" t="e">
        <f t="shared" si="2"/>
        <v>#N/A</v>
      </c>
      <c r="Z109" s="179" t="e">
        <f t="shared" si="2"/>
        <v>#N/A</v>
      </c>
      <c r="AA109" s="179" t="e">
        <f t="shared" si="2"/>
        <v>#N/A</v>
      </c>
      <c r="AB109" s="179" t="e">
        <f t="shared" si="2"/>
        <v>#N/A</v>
      </c>
      <c r="AC109" s="179" t="e">
        <f t="shared" si="2"/>
        <v>#N/A</v>
      </c>
      <c r="AD109" s="179" t="e">
        <f t="shared" si="2"/>
        <v>#N/A</v>
      </c>
      <c r="AE109" s="179" t="e">
        <f t="shared" si="2"/>
        <v>#N/A</v>
      </c>
      <c r="AF109" s="179" t="e">
        <f t="shared" si="2"/>
        <v>#N/A</v>
      </c>
      <c r="AG109" s="179" t="e">
        <f t="shared" si="2"/>
        <v>#N/A</v>
      </c>
      <c r="AH109" s="179" t="e">
        <f t="shared" si="2"/>
        <v>#N/A</v>
      </c>
      <c r="AI109" s="179" t="e">
        <f t="shared" si="2"/>
        <v>#N/A</v>
      </c>
    </row>
    <row r="110" spans="1:35" s="2" customFormat="1" x14ac:dyDescent="0.15">
      <c r="A110"/>
      <c r="B110" t="str">
        <f>IF(ISTEXT(Automakers!$D$73)=TRUE,IF(Automakers!D73=Lists!$B$2,"Passenger cars | Benchmark use-phase emissions intensity in "&amp;Automakers!D72,IF(Automakers!$D$73=Lists!$B$3,"LCVs | Benchmark use-phase emissions intensity in "&amp;Automakers!D72,"select a LDV category")),"select a LDV category")</f>
        <v>select a LDV category</v>
      </c>
      <c r="C110" t="str">
        <f>+C36</f>
        <v>gCO2e/vkm</v>
      </c>
      <c r="D110"/>
      <c r="E110" s="179"/>
      <c r="F110" s="179"/>
      <c r="G110" s="179" t="e">
        <f t="shared" ref="G110:AI110" si="3">IF(G34&lt;&gt;0,G34,NA())</f>
        <v>#N/A</v>
      </c>
      <c r="H110" s="179" t="e">
        <f t="shared" si="3"/>
        <v>#N/A</v>
      </c>
      <c r="I110" s="179" t="e">
        <f t="shared" si="3"/>
        <v>#N/A</v>
      </c>
      <c r="J110" s="179" t="e">
        <f t="shared" si="3"/>
        <v>#N/A</v>
      </c>
      <c r="K110" s="179" t="e">
        <f t="shared" si="3"/>
        <v>#N/A</v>
      </c>
      <c r="L110" s="179" t="e">
        <f t="shared" si="3"/>
        <v>#N/A</v>
      </c>
      <c r="M110" s="179" t="e">
        <f t="shared" si="3"/>
        <v>#N/A</v>
      </c>
      <c r="N110" s="179" t="e">
        <f t="shared" si="3"/>
        <v>#N/A</v>
      </c>
      <c r="O110" s="179" t="e">
        <f t="shared" si="3"/>
        <v>#N/A</v>
      </c>
      <c r="P110" s="179" t="e">
        <f t="shared" si="3"/>
        <v>#N/A</v>
      </c>
      <c r="Q110" s="179" t="e">
        <f t="shared" si="3"/>
        <v>#N/A</v>
      </c>
      <c r="R110" s="179" t="e">
        <f t="shared" si="3"/>
        <v>#N/A</v>
      </c>
      <c r="S110" s="179" t="e">
        <f t="shared" si="3"/>
        <v>#N/A</v>
      </c>
      <c r="T110" s="179" t="e">
        <f t="shared" si="3"/>
        <v>#N/A</v>
      </c>
      <c r="U110" s="179" t="e">
        <f t="shared" si="3"/>
        <v>#N/A</v>
      </c>
      <c r="V110" s="179" t="e">
        <f t="shared" si="3"/>
        <v>#N/A</v>
      </c>
      <c r="W110" s="179" t="e">
        <f t="shared" si="3"/>
        <v>#N/A</v>
      </c>
      <c r="X110" s="179" t="e">
        <f t="shared" si="3"/>
        <v>#N/A</v>
      </c>
      <c r="Y110" s="179" t="e">
        <f t="shared" si="3"/>
        <v>#N/A</v>
      </c>
      <c r="Z110" s="179" t="e">
        <f t="shared" si="3"/>
        <v>#N/A</v>
      </c>
      <c r="AA110" s="179" t="e">
        <f t="shared" si="3"/>
        <v>#N/A</v>
      </c>
      <c r="AB110" s="179" t="e">
        <f t="shared" si="3"/>
        <v>#N/A</v>
      </c>
      <c r="AC110" s="179" t="e">
        <f t="shared" si="3"/>
        <v>#N/A</v>
      </c>
      <c r="AD110" s="179" t="e">
        <f t="shared" si="3"/>
        <v>#N/A</v>
      </c>
      <c r="AE110" s="179" t="e">
        <f t="shared" si="3"/>
        <v>#N/A</v>
      </c>
      <c r="AF110" s="179" t="e">
        <f t="shared" si="3"/>
        <v>#N/A</v>
      </c>
      <c r="AG110" s="179" t="e">
        <f t="shared" si="3"/>
        <v>#N/A</v>
      </c>
      <c r="AH110" s="179" t="e">
        <f t="shared" si="3"/>
        <v>#N/A</v>
      </c>
      <c r="AI110" s="179" t="e">
        <f t="shared" si="3"/>
        <v>#N/A</v>
      </c>
    </row>
    <row r="111" spans="1:35" s="2" customFormat="1" x14ac:dyDescent="0.15">
      <c r="A111"/>
      <c r="B111" s="92" t="str">
        <f>+B38</f>
        <v>select a LDV category</v>
      </c>
      <c r="C111" t="str">
        <f>+C37</f>
        <v>gCO2e/vkm</v>
      </c>
      <c r="D111" s="181" t="e">
        <f>IF(Automakers!$D$74&gt;0,D38,NA())</f>
        <v>#N/A</v>
      </c>
      <c r="E111"/>
      <c r="F111"/>
      <c r="G111"/>
      <c r="H111"/>
      <c r="I111"/>
      <c r="J111"/>
      <c r="K111"/>
      <c r="L111"/>
      <c r="M111"/>
      <c r="N111"/>
      <c r="O111"/>
      <c r="P111"/>
      <c r="Q111"/>
      <c r="R111"/>
      <c r="S111"/>
      <c r="T111"/>
      <c r="U111"/>
      <c r="V111"/>
      <c r="W111"/>
      <c r="X111"/>
      <c r="Y111"/>
      <c r="Z111"/>
      <c r="AA111"/>
      <c r="AB111"/>
      <c r="AC111"/>
      <c r="AD111"/>
      <c r="AE111"/>
      <c r="AF111"/>
      <c r="AG111"/>
      <c r="AH111"/>
      <c r="AI111"/>
    </row>
    <row r="112" spans="1:35" s="2" customFormat="1" x14ac:dyDescent="0.15">
      <c r="A112"/>
      <c r="B112" s="186"/>
      <c r="C112"/>
      <c r="D112"/>
      <c r="E112"/>
      <c r="F112"/>
      <c r="G112"/>
      <c r="H112"/>
      <c r="I112"/>
      <c r="J112"/>
      <c r="K112"/>
      <c r="L112"/>
      <c r="M112"/>
      <c r="N112"/>
      <c r="O112"/>
      <c r="P112"/>
      <c r="Q112"/>
      <c r="R112"/>
      <c r="S112"/>
      <c r="T112"/>
      <c r="U112"/>
      <c r="V112"/>
      <c r="W112"/>
      <c r="X112"/>
      <c r="Y112"/>
      <c r="Z112"/>
      <c r="AA112"/>
      <c r="AB112"/>
      <c r="AC112"/>
      <c r="AD112"/>
      <c r="AE112"/>
      <c r="AF112"/>
      <c r="AG112"/>
      <c r="AH112"/>
      <c r="AI112"/>
    </row>
    <row r="113" spans="1:35" s="2" customFormat="1" x14ac:dyDescent="0.15">
      <c r="A113"/>
      <c r="B113" s="1" t="str">
        <f>CONCATENATE("Graph 2 | ZEV sales share | convergence method (",Automakers!D73,")")</f>
        <v>Graph 2 | ZEV sales share | convergence method ()</v>
      </c>
      <c r="C113"/>
      <c r="D113"/>
      <c r="E113"/>
      <c r="F113"/>
      <c r="G113"/>
      <c r="H113"/>
      <c r="I113"/>
      <c r="J113"/>
      <c r="K113"/>
      <c r="L113"/>
      <c r="M113"/>
      <c r="N113"/>
      <c r="O113"/>
      <c r="P113"/>
      <c r="Q113"/>
      <c r="R113"/>
      <c r="S113"/>
      <c r="T113"/>
      <c r="U113"/>
      <c r="V113"/>
      <c r="W113"/>
      <c r="X113"/>
      <c r="Y113"/>
      <c r="Z113"/>
      <c r="AA113"/>
      <c r="AB113"/>
      <c r="AC113"/>
      <c r="AD113"/>
      <c r="AE113"/>
      <c r="AF113"/>
      <c r="AG113"/>
      <c r="AH113"/>
      <c r="AI113"/>
    </row>
    <row r="114" spans="1:35" s="2" customFormat="1" x14ac:dyDescent="0.15">
      <c r="A114"/>
      <c r="B114" s="92" t="str">
        <f>IF(ISTEXT(Automakers!$D$73)=TRUE,IF(Automakers!D73=Lists!$B$2,"Passenger cars | ZEV sales share in "&amp;Automakers!D72,IF(Automakers!$D$73=Lists!$B$3,"LCVs | ZEV sales share in "&amp;Automakers!D72,"select a LDV category")),"select a LDV category")</f>
        <v>select a LDV category</v>
      </c>
      <c r="C114" t="e">
        <f>INDEX(Lists!$E$2:$E$50,MATCH(Automakers!$D$73,Lists!$B$2:$B$50,0))</f>
        <v>#N/A</v>
      </c>
      <c r="D114"/>
      <c r="E114" s="179"/>
      <c r="F114" s="179"/>
      <c r="G114" s="179" t="e">
        <f t="shared" ref="G114:AI114" si="4">IF(G44&lt;&gt;0,G44,NA())</f>
        <v>#N/A</v>
      </c>
      <c r="H114" s="179" t="e">
        <f t="shared" si="4"/>
        <v>#N/A</v>
      </c>
      <c r="I114" s="179" t="e">
        <f t="shared" si="4"/>
        <v>#N/A</v>
      </c>
      <c r="J114" s="179" t="e">
        <f t="shared" si="4"/>
        <v>#N/A</v>
      </c>
      <c r="K114" s="179" t="e">
        <f t="shared" si="4"/>
        <v>#N/A</v>
      </c>
      <c r="L114" s="179" t="e">
        <f t="shared" si="4"/>
        <v>#N/A</v>
      </c>
      <c r="M114" s="179" t="e">
        <f t="shared" si="4"/>
        <v>#N/A</v>
      </c>
      <c r="N114" s="179" t="e">
        <f t="shared" si="4"/>
        <v>#N/A</v>
      </c>
      <c r="O114" s="179" t="e">
        <f t="shared" si="4"/>
        <v>#N/A</v>
      </c>
      <c r="P114" s="179" t="e">
        <f t="shared" si="4"/>
        <v>#N/A</v>
      </c>
      <c r="Q114" s="179" t="e">
        <f t="shared" si="4"/>
        <v>#N/A</v>
      </c>
      <c r="R114" s="179" t="e">
        <f t="shared" si="4"/>
        <v>#N/A</v>
      </c>
      <c r="S114" s="179" t="e">
        <f t="shared" si="4"/>
        <v>#N/A</v>
      </c>
      <c r="T114" s="179" t="e">
        <f t="shared" si="4"/>
        <v>#N/A</v>
      </c>
      <c r="U114" s="179" t="e">
        <f t="shared" si="4"/>
        <v>#N/A</v>
      </c>
      <c r="V114" s="179" t="e">
        <f t="shared" si="4"/>
        <v>#N/A</v>
      </c>
      <c r="W114" s="179" t="e">
        <f t="shared" si="4"/>
        <v>#N/A</v>
      </c>
      <c r="X114" s="179" t="e">
        <f t="shared" si="4"/>
        <v>#N/A</v>
      </c>
      <c r="Y114" s="179" t="e">
        <f t="shared" si="4"/>
        <v>#N/A</v>
      </c>
      <c r="Z114" s="179" t="e">
        <f t="shared" si="4"/>
        <v>#N/A</v>
      </c>
      <c r="AA114" s="179" t="e">
        <f t="shared" si="4"/>
        <v>#N/A</v>
      </c>
      <c r="AB114" s="179" t="e">
        <f t="shared" si="4"/>
        <v>#N/A</v>
      </c>
      <c r="AC114" s="179" t="e">
        <f t="shared" si="4"/>
        <v>#N/A</v>
      </c>
      <c r="AD114" s="179" t="e">
        <f t="shared" si="4"/>
        <v>#N/A</v>
      </c>
      <c r="AE114" s="179" t="e">
        <f t="shared" si="4"/>
        <v>#N/A</v>
      </c>
      <c r="AF114" s="179" t="e">
        <f t="shared" si="4"/>
        <v>#N/A</v>
      </c>
      <c r="AG114" s="179" t="e">
        <f t="shared" si="4"/>
        <v>#N/A</v>
      </c>
      <c r="AH114" s="179" t="e">
        <f t="shared" si="4"/>
        <v>#N/A</v>
      </c>
      <c r="AI114" s="179" t="e">
        <f t="shared" si="4"/>
        <v>#N/A</v>
      </c>
    </row>
    <row r="115" spans="1:35" s="2" customFormat="1" x14ac:dyDescent="0.15">
      <c r="A115"/>
      <c r="B115" s="92" t="str">
        <f>IF(ISTEXT(Automakers!$D$73)=TRUE,IF(Automakers!D73=Lists!$B$2,"Passenger cars | Benchmark ZEV sales share in "&amp;Automakers!D72,IF(Automakers!$D$73=Lists!$B$3,"LCVs | Benchmark ZEV sales share in "&amp;Automakers!D72,"select a LDV category")),"select a LDV category")</f>
        <v>select a LDV category</v>
      </c>
      <c r="C115" t="e">
        <f>INDEX(Lists!$E$2:$E$50,MATCH(Automakers!$D$73,Lists!$B$2:$B$50,0))</f>
        <v>#N/A</v>
      </c>
      <c r="D115"/>
      <c r="E115" s="179"/>
      <c r="F115" s="179"/>
      <c r="G115" s="179" t="e">
        <f t="shared" ref="G115:AI115" si="5">IF(G41&lt;&gt;0,G41,NA())</f>
        <v>#N/A</v>
      </c>
      <c r="H115" s="179" t="e">
        <f t="shared" si="5"/>
        <v>#N/A</v>
      </c>
      <c r="I115" s="179" t="e">
        <f t="shared" si="5"/>
        <v>#N/A</v>
      </c>
      <c r="J115" s="179" t="e">
        <f t="shared" si="5"/>
        <v>#N/A</v>
      </c>
      <c r="K115" s="179" t="e">
        <f t="shared" si="5"/>
        <v>#N/A</v>
      </c>
      <c r="L115" s="179" t="e">
        <f t="shared" si="5"/>
        <v>#N/A</v>
      </c>
      <c r="M115" s="179" t="e">
        <f t="shared" si="5"/>
        <v>#N/A</v>
      </c>
      <c r="N115" s="179" t="e">
        <f t="shared" si="5"/>
        <v>#N/A</v>
      </c>
      <c r="O115" s="179" t="e">
        <f t="shared" si="5"/>
        <v>#N/A</v>
      </c>
      <c r="P115" s="179" t="e">
        <f t="shared" si="5"/>
        <v>#N/A</v>
      </c>
      <c r="Q115" s="179" t="e">
        <f t="shared" si="5"/>
        <v>#N/A</v>
      </c>
      <c r="R115" s="179" t="e">
        <f t="shared" si="5"/>
        <v>#N/A</v>
      </c>
      <c r="S115" s="179" t="e">
        <f t="shared" si="5"/>
        <v>#N/A</v>
      </c>
      <c r="T115" s="179" t="e">
        <f t="shared" si="5"/>
        <v>#N/A</v>
      </c>
      <c r="U115" s="179" t="e">
        <f t="shared" si="5"/>
        <v>#N/A</v>
      </c>
      <c r="V115" s="179" t="e">
        <f t="shared" si="5"/>
        <v>#N/A</v>
      </c>
      <c r="W115" s="179" t="e">
        <f t="shared" si="5"/>
        <v>#N/A</v>
      </c>
      <c r="X115" s="179" t="e">
        <f t="shared" si="5"/>
        <v>#N/A</v>
      </c>
      <c r="Y115" s="179" t="e">
        <f t="shared" si="5"/>
        <v>#N/A</v>
      </c>
      <c r="Z115" s="179" t="e">
        <f t="shared" si="5"/>
        <v>#N/A</v>
      </c>
      <c r="AA115" s="179" t="e">
        <f t="shared" si="5"/>
        <v>#N/A</v>
      </c>
      <c r="AB115" s="179" t="e">
        <f t="shared" si="5"/>
        <v>#N/A</v>
      </c>
      <c r="AC115" s="179" t="e">
        <f t="shared" si="5"/>
        <v>#N/A</v>
      </c>
      <c r="AD115" s="179" t="e">
        <f t="shared" si="5"/>
        <v>#N/A</v>
      </c>
      <c r="AE115" s="179" t="e">
        <f t="shared" si="5"/>
        <v>#N/A</v>
      </c>
      <c r="AF115" s="179" t="e">
        <f t="shared" si="5"/>
        <v>#N/A</v>
      </c>
      <c r="AG115" s="179" t="e">
        <f t="shared" si="5"/>
        <v>#N/A</v>
      </c>
      <c r="AH115" s="179" t="e">
        <f t="shared" si="5"/>
        <v>#N/A</v>
      </c>
      <c r="AI115" s="179" t="e">
        <f t="shared" si="5"/>
        <v>#N/A</v>
      </c>
    </row>
    <row r="116" spans="1:35" s="2" customFormat="1" x14ac:dyDescent="0.15">
      <c r="A116"/>
      <c r="B116" s="92" t="str">
        <f>+B45</f>
        <v>select a LDV category</v>
      </c>
      <c r="C116" t="e">
        <f>INDEX(Lists!$E$2:$E$50,MATCH(Automakers!$D$73,Lists!$B$2:$B$50,0))</f>
        <v>#N/A</v>
      </c>
      <c r="D116" s="181" t="e">
        <f>IF(Automakers!$D$74&gt;0,D45,NA())</f>
        <v>#N/A</v>
      </c>
      <c r="E116"/>
      <c r="F116"/>
      <c r="G116"/>
      <c r="H116"/>
      <c r="I116"/>
      <c r="J116"/>
      <c r="K116"/>
      <c r="L116"/>
      <c r="M116"/>
      <c r="N116"/>
      <c r="O116"/>
      <c r="P116"/>
      <c r="Q116"/>
      <c r="R116"/>
      <c r="S116"/>
      <c r="T116"/>
      <c r="U116"/>
      <c r="V116"/>
      <c r="W116"/>
      <c r="X116"/>
      <c r="Y116"/>
      <c r="Z116"/>
      <c r="AA116"/>
      <c r="AB116"/>
      <c r="AC116"/>
      <c r="AD116"/>
      <c r="AE116"/>
      <c r="AF116"/>
      <c r="AG116"/>
      <c r="AH116"/>
      <c r="AI116"/>
    </row>
    <row r="118" spans="1:35" x14ac:dyDescent="0.15">
      <c r="B118" s="1" t="str">
        <f>CONCATENATE("Graph 3 | Use-phase emissions intensity | percent improvement method (",Automakers!D114,")")</f>
        <v>Graph 3 | Use-phase emissions intensity | percent improvement method ()</v>
      </c>
    </row>
    <row r="119" spans="1:35" x14ac:dyDescent="0.15">
      <c r="B119" t="str">
        <f>IF(ISTEXT(Automakers!$D$114)=TRUE,Automakers!D114&amp;" | Use-phase emissions intensity in "&amp;Automakers!D113,"select a non-LDV vehicle category")</f>
        <v>select a non-LDV vehicle category</v>
      </c>
      <c r="C119" t="str">
        <f>+C111</f>
        <v>gCO2e/vkm</v>
      </c>
      <c r="G119" s="2" t="e">
        <f t="shared" ref="G119:AI119" si="6">IF(G56&lt;&gt;0,G56,NA())</f>
        <v>#N/A</v>
      </c>
      <c r="H119" s="2" t="e">
        <f t="shared" si="6"/>
        <v>#N/A</v>
      </c>
      <c r="I119" s="2" t="e">
        <f t="shared" si="6"/>
        <v>#N/A</v>
      </c>
      <c r="J119" s="2" t="e">
        <f t="shared" si="6"/>
        <v>#N/A</v>
      </c>
      <c r="K119" s="2" t="e">
        <f t="shared" si="6"/>
        <v>#N/A</v>
      </c>
      <c r="L119" s="2" t="e">
        <f t="shared" si="6"/>
        <v>#N/A</v>
      </c>
      <c r="M119" s="2" t="e">
        <f t="shared" si="6"/>
        <v>#N/A</v>
      </c>
      <c r="N119" s="2" t="e">
        <f t="shared" si="6"/>
        <v>#N/A</v>
      </c>
      <c r="O119" s="2" t="e">
        <f t="shared" si="6"/>
        <v>#N/A</v>
      </c>
      <c r="P119" s="2" t="e">
        <f t="shared" si="6"/>
        <v>#N/A</v>
      </c>
      <c r="Q119" s="2" t="e">
        <f t="shared" si="6"/>
        <v>#N/A</v>
      </c>
      <c r="R119" s="2" t="e">
        <f t="shared" si="6"/>
        <v>#N/A</v>
      </c>
      <c r="S119" s="2" t="e">
        <f t="shared" si="6"/>
        <v>#N/A</v>
      </c>
      <c r="T119" s="2" t="e">
        <f t="shared" si="6"/>
        <v>#N/A</v>
      </c>
      <c r="U119" s="2" t="e">
        <f t="shared" si="6"/>
        <v>#N/A</v>
      </c>
      <c r="V119" s="2" t="e">
        <f t="shared" si="6"/>
        <v>#N/A</v>
      </c>
      <c r="W119" s="2" t="e">
        <f t="shared" si="6"/>
        <v>#N/A</v>
      </c>
      <c r="X119" s="2" t="e">
        <f t="shared" si="6"/>
        <v>#N/A</v>
      </c>
      <c r="Y119" s="2" t="e">
        <f t="shared" si="6"/>
        <v>#N/A</v>
      </c>
      <c r="Z119" s="2" t="e">
        <f t="shared" si="6"/>
        <v>#N/A</v>
      </c>
      <c r="AA119" s="2" t="e">
        <f t="shared" si="6"/>
        <v>#N/A</v>
      </c>
      <c r="AB119" s="2" t="e">
        <f t="shared" si="6"/>
        <v>#N/A</v>
      </c>
      <c r="AC119" s="2" t="e">
        <f t="shared" si="6"/>
        <v>#N/A</v>
      </c>
      <c r="AD119" s="2" t="e">
        <f t="shared" si="6"/>
        <v>#N/A</v>
      </c>
      <c r="AE119" s="2" t="e">
        <f t="shared" si="6"/>
        <v>#N/A</v>
      </c>
      <c r="AF119" s="2" t="e">
        <f t="shared" si="6"/>
        <v>#N/A</v>
      </c>
      <c r="AG119" s="2" t="e">
        <f t="shared" si="6"/>
        <v>#N/A</v>
      </c>
      <c r="AH119" s="2" t="e">
        <f t="shared" si="6"/>
        <v>#N/A</v>
      </c>
      <c r="AI119" s="2" t="e">
        <f t="shared" si="6"/>
        <v>#N/A</v>
      </c>
    </row>
    <row r="120" spans="1:35" x14ac:dyDescent="0.15">
      <c r="B120" t="str">
        <f>IF(ISTEXT(Automakers!$D$114)=TRUE,Automakers!D114&amp;" | Benchmark use-phase emissions intensity in "&amp;Automakers!D113,"select a non-LDV vehicle category")</f>
        <v>select a non-LDV vehicle category</v>
      </c>
      <c r="C120" t="str">
        <f>+C119</f>
        <v>gCO2e/vkm</v>
      </c>
      <c r="G120" s="2" t="e">
        <f t="shared" ref="G120:AI120" si="7">IF(G53&lt;&gt;0,G53,NA())</f>
        <v>#N/A</v>
      </c>
      <c r="H120" s="2" t="e">
        <f t="shared" si="7"/>
        <v>#N/A</v>
      </c>
      <c r="I120" s="2" t="e">
        <f t="shared" si="7"/>
        <v>#N/A</v>
      </c>
      <c r="J120" s="2" t="e">
        <f t="shared" si="7"/>
        <v>#N/A</v>
      </c>
      <c r="K120" s="2" t="e">
        <f t="shared" si="7"/>
        <v>#N/A</v>
      </c>
      <c r="L120" s="2" t="e">
        <f t="shared" si="7"/>
        <v>#N/A</v>
      </c>
      <c r="M120" s="2" t="e">
        <f t="shared" si="7"/>
        <v>#N/A</v>
      </c>
      <c r="N120" s="2" t="e">
        <f t="shared" si="7"/>
        <v>#N/A</v>
      </c>
      <c r="O120" s="2" t="e">
        <f t="shared" si="7"/>
        <v>#N/A</v>
      </c>
      <c r="P120" s="2" t="e">
        <f t="shared" si="7"/>
        <v>#N/A</v>
      </c>
      <c r="Q120" s="2" t="e">
        <f t="shared" si="7"/>
        <v>#N/A</v>
      </c>
      <c r="R120" s="2" t="e">
        <f t="shared" si="7"/>
        <v>#N/A</v>
      </c>
      <c r="S120" s="2" t="e">
        <f t="shared" si="7"/>
        <v>#N/A</v>
      </c>
      <c r="T120" s="2" t="e">
        <f t="shared" si="7"/>
        <v>#N/A</v>
      </c>
      <c r="U120" s="2" t="e">
        <f t="shared" si="7"/>
        <v>#N/A</v>
      </c>
      <c r="V120" s="2" t="e">
        <f t="shared" si="7"/>
        <v>#N/A</v>
      </c>
      <c r="W120" s="2" t="e">
        <f t="shared" si="7"/>
        <v>#N/A</v>
      </c>
      <c r="X120" s="2" t="e">
        <f t="shared" si="7"/>
        <v>#N/A</v>
      </c>
      <c r="Y120" s="2" t="e">
        <f t="shared" si="7"/>
        <v>#N/A</v>
      </c>
      <c r="Z120" s="2" t="e">
        <f t="shared" si="7"/>
        <v>#N/A</v>
      </c>
      <c r="AA120" s="2" t="e">
        <f t="shared" si="7"/>
        <v>#N/A</v>
      </c>
      <c r="AB120" s="2" t="e">
        <f t="shared" si="7"/>
        <v>#N/A</v>
      </c>
      <c r="AC120" s="2" t="e">
        <f t="shared" si="7"/>
        <v>#N/A</v>
      </c>
      <c r="AD120" s="2" t="e">
        <f t="shared" si="7"/>
        <v>#N/A</v>
      </c>
      <c r="AE120" s="2" t="e">
        <f t="shared" si="7"/>
        <v>#N/A</v>
      </c>
      <c r="AF120" s="2" t="e">
        <f t="shared" si="7"/>
        <v>#N/A</v>
      </c>
      <c r="AG120" s="2" t="e">
        <f t="shared" si="7"/>
        <v>#N/A</v>
      </c>
      <c r="AH120" s="2" t="e">
        <f t="shared" si="7"/>
        <v>#N/A</v>
      </c>
      <c r="AI120" s="2" t="e">
        <f t="shared" si="7"/>
        <v>#N/A</v>
      </c>
    </row>
    <row r="121" spans="1:35" x14ac:dyDescent="0.15">
      <c r="B121" s="186" t="str">
        <f>+B57</f>
        <v>select a vehicle category</v>
      </c>
      <c r="C121" t="str">
        <f>+C120</f>
        <v>gCO2e/vkm</v>
      </c>
      <c r="D121" s="181" t="e">
        <f>IF(Automakers!D117&gt;0,D57,NA())</f>
        <v>#N/A</v>
      </c>
    </row>
    <row r="123" spans="1:35" x14ac:dyDescent="0.15">
      <c r="B123" s="1" t="str">
        <f>CONCATENATE("Graph 4 | ZEV sales share | convergence method (",Automakers!D114,")")</f>
        <v>Graph 4 | ZEV sales share | convergence method ()</v>
      </c>
    </row>
    <row r="124" spans="1:35" x14ac:dyDescent="0.15">
      <c r="B124" s="92" t="str">
        <f>IF(ISTEXT(Automakers!$D$114)=TRUE,Automakers!D114&amp;" | ZEV sales share in "&amp;Automakers!D113,"select a vehicle category")</f>
        <v>select a vehicle category</v>
      </c>
      <c r="C124" t="e">
        <f>+C116</f>
        <v>#N/A</v>
      </c>
      <c r="G124" s="2" t="e">
        <f t="shared" ref="G124:AI124" si="8">IF(G63&lt;&gt;0,G63,NA())</f>
        <v>#N/A</v>
      </c>
      <c r="H124" s="2" t="e">
        <f t="shared" si="8"/>
        <v>#N/A</v>
      </c>
      <c r="I124" s="2" t="e">
        <f t="shared" si="8"/>
        <v>#N/A</v>
      </c>
      <c r="J124" s="2" t="e">
        <f t="shared" si="8"/>
        <v>#N/A</v>
      </c>
      <c r="K124" s="2" t="e">
        <f t="shared" si="8"/>
        <v>#N/A</v>
      </c>
      <c r="L124" s="2" t="e">
        <f t="shared" si="8"/>
        <v>#N/A</v>
      </c>
      <c r="M124" s="2" t="e">
        <f t="shared" si="8"/>
        <v>#N/A</v>
      </c>
      <c r="N124" s="2" t="e">
        <f t="shared" si="8"/>
        <v>#N/A</v>
      </c>
      <c r="O124" s="2" t="e">
        <f t="shared" si="8"/>
        <v>#N/A</v>
      </c>
      <c r="P124" s="2" t="e">
        <f t="shared" si="8"/>
        <v>#N/A</v>
      </c>
      <c r="Q124" s="2" t="e">
        <f t="shared" si="8"/>
        <v>#N/A</v>
      </c>
      <c r="R124" s="2" t="e">
        <f t="shared" si="8"/>
        <v>#N/A</v>
      </c>
      <c r="S124" s="2" t="e">
        <f t="shared" si="8"/>
        <v>#N/A</v>
      </c>
      <c r="T124" s="2" t="e">
        <f t="shared" si="8"/>
        <v>#N/A</v>
      </c>
      <c r="U124" s="2" t="e">
        <f t="shared" si="8"/>
        <v>#N/A</v>
      </c>
      <c r="V124" s="2" t="e">
        <f t="shared" si="8"/>
        <v>#N/A</v>
      </c>
      <c r="W124" s="2" t="e">
        <f t="shared" si="8"/>
        <v>#N/A</v>
      </c>
      <c r="X124" s="2" t="e">
        <f t="shared" si="8"/>
        <v>#N/A</v>
      </c>
      <c r="Y124" s="2" t="e">
        <f t="shared" si="8"/>
        <v>#N/A</v>
      </c>
      <c r="Z124" s="2" t="e">
        <f t="shared" si="8"/>
        <v>#N/A</v>
      </c>
      <c r="AA124" s="2" t="e">
        <f t="shared" si="8"/>
        <v>#N/A</v>
      </c>
      <c r="AB124" s="2" t="e">
        <f t="shared" si="8"/>
        <v>#N/A</v>
      </c>
      <c r="AC124" s="2" t="e">
        <f t="shared" si="8"/>
        <v>#N/A</v>
      </c>
      <c r="AD124" s="2" t="e">
        <f t="shared" si="8"/>
        <v>#N/A</v>
      </c>
      <c r="AE124" s="2" t="e">
        <f t="shared" si="8"/>
        <v>#N/A</v>
      </c>
      <c r="AF124" s="2" t="e">
        <f t="shared" si="8"/>
        <v>#N/A</v>
      </c>
      <c r="AG124" s="2" t="e">
        <f t="shared" si="8"/>
        <v>#N/A</v>
      </c>
      <c r="AH124" s="2" t="e">
        <f t="shared" si="8"/>
        <v>#N/A</v>
      </c>
      <c r="AI124" s="2" t="e">
        <f t="shared" si="8"/>
        <v>#N/A</v>
      </c>
    </row>
    <row r="125" spans="1:35" x14ac:dyDescent="0.15">
      <c r="B125" s="92" t="str">
        <f>IF(ISTEXT(Automakers!$D$114)=TRUE,Automakers!D114&amp;" | Benchmark ZEV sales share in "&amp;Automakers!D113,"select a vehicle category")</f>
        <v>select a vehicle category</v>
      </c>
      <c r="C125" t="e">
        <f>+C124</f>
        <v>#N/A</v>
      </c>
      <c r="G125" s="2" t="e">
        <f t="shared" ref="G125:AI125" si="9">IF(G60&lt;&gt;0,G60,NA())</f>
        <v>#N/A</v>
      </c>
      <c r="H125" s="2" t="e">
        <f t="shared" si="9"/>
        <v>#N/A</v>
      </c>
      <c r="I125" s="2" t="e">
        <f t="shared" si="9"/>
        <v>#N/A</v>
      </c>
      <c r="J125" s="2" t="e">
        <f t="shared" si="9"/>
        <v>#N/A</v>
      </c>
      <c r="K125" s="2" t="e">
        <f t="shared" si="9"/>
        <v>#N/A</v>
      </c>
      <c r="L125" s="2" t="e">
        <f t="shared" si="9"/>
        <v>#N/A</v>
      </c>
      <c r="M125" s="2" t="e">
        <f t="shared" si="9"/>
        <v>#N/A</v>
      </c>
      <c r="N125" s="2" t="e">
        <f t="shared" si="9"/>
        <v>#N/A</v>
      </c>
      <c r="O125" s="2" t="e">
        <f t="shared" si="9"/>
        <v>#N/A</v>
      </c>
      <c r="P125" s="2" t="e">
        <f t="shared" si="9"/>
        <v>#N/A</v>
      </c>
      <c r="Q125" s="2" t="e">
        <f t="shared" si="9"/>
        <v>#N/A</v>
      </c>
      <c r="R125" s="2" t="e">
        <f t="shared" si="9"/>
        <v>#N/A</v>
      </c>
      <c r="S125" s="2" t="e">
        <f t="shared" si="9"/>
        <v>#N/A</v>
      </c>
      <c r="T125" s="2" t="e">
        <f t="shared" si="9"/>
        <v>#N/A</v>
      </c>
      <c r="U125" s="2" t="e">
        <f t="shared" si="9"/>
        <v>#N/A</v>
      </c>
      <c r="V125" s="2" t="e">
        <f t="shared" si="9"/>
        <v>#N/A</v>
      </c>
      <c r="W125" s="2" t="e">
        <f t="shared" si="9"/>
        <v>#N/A</v>
      </c>
      <c r="X125" s="2" t="e">
        <f t="shared" si="9"/>
        <v>#N/A</v>
      </c>
      <c r="Y125" s="2" t="e">
        <f t="shared" si="9"/>
        <v>#N/A</v>
      </c>
      <c r="Z125" s="2" t="e">
        <f t="shared" si="9"/>
        <v>#N/A</v>
      </c>
      <c r="AA125" s="2" t="e">
        <f t="shared" si="9"/>
        <v>#N/A</v>
      </c>
      <c r="AB125" s="2" t="e">
        <f t="shared" si="9"/>
        <v>#N/A</v>
      </c>
      <c r="AC125" s="2" t="e">
        <f t="shared" si="9"/>
        <v>#N/A</v>
      </c>
      <c r="AD125" s="2" t="e">
        <f t="shared" si="9"/>
        <v>#N/A</v>
      </c>
      <c r="AE125" s="2" t="e">
        <f t="shared" si="9"/>
        <v>#N/A</v>
      </c>
      <c r="AF125" s="2" t="e">
        <f t="shared" si="9"/>
        <v>#N/A</v>
      </c>
      <c r="AG125" s="2" t="e">
        <f t="shared" si="9"/>
        <v>#N/A</v>
      </c>
      <c r="AH125" s="2" t="e">
        <f t="shared" si="9"/>
        <v>#N/A</v>
      </c>
      <c r="AI125" s="2" t="e">
        <f t="shared" si="9"/>
        <v>#N/A</v>
      </c>
    </row>
    <row r="126" spans="1:35" x14ac:dyDescent="0.15">
      <c r="B126" s="92" t="str">
        <f>+B64</f>
        <v>select a vehicle category</v>
      </c>
      <c r="C126" t="e">
        <f>+C125</f>
        <v>#N/A</v>
      </c>
      <c r="D126" s="181" t="e">
        <f>IF(Automakers!D118&gt;0,D64,NA())</f>
        <v>#N/A</v>
      </c>
    </row>
    <row r="129" spans="2:35" x14ac:dyDescent="0.15">
      <c r="B129" s="1" t="str">
        <f>CONCATENATE("Graph 8 | Scope 3 category 11 fuel-cycle intensity for LDVs | convergence method (",Autoparts!D23,")")</f>
        <v>Graph 8 | Scope 3 category 11 fuel-cycle intensity for LDVs | convergence method ()</v>
      </c>
    </row>
    <row r="130" spans="2:35" x14ac:dyDescent="0.15">
      <c r="B130" t="str">
        <f>IF(ISTEXT(Autoparts!D23)=TRUE,Autoparts!D23&amp;" | Scope 3 category 11 fuel-cycle intensity in "&amp;Autoparts!D22,"select a vehicle category")</f>
        <v>select a vehicle category</v>
      </c>
      <c r="C130" t="e">
        <f>+C126</f>
        <v>#N/A</v>
      </c>
      <c r="G130" s="2" t="e">
        <f>IF(G75&lt;&gt;0,G75,NA())</f>
        <v>#N/A</v>
      </c>
      <c r="H130" s="2" t="e">
        <f t="shared" ref="H130:AI130" si="10">IF(H75&lt;&gt;0,H75,NA())</f>
        <v>#N/A</v>
      </c>
      <c r="I130" s="2" t="e">
        <f t="shared" si="10"/>
        <v>#N/A</v>
      </c>
      <c r="J130" s="2" t="e">
        <f t="shared" si="10"/>
        <v>#N/A</v>
      </c>
      <c r="K130" s="2" t="e">
        <f t="shared" si="10"/>
        <v>#N/A</v>
      </c>
      <c r="L130" s="2" t="e">
        <f t="shared" si="10"/>
        <v>#N/A</v>
      </c>
      <c r="M130" s="2" t="e">
        <f t="shared" si="10"/>
        <v>#N/A</v>
      </c>
      <c r="N130" s="2" t="e">
        <f t="shared" si="10"/>
        <v>#N/A</v>
      </c>
      <c r="O130" s="2" t="e">
        <f t="shared" si="10"/>
        <v>#N/A</v>
      </c>
      <c r="P130" s="2" t="e">
        <f t="shared" si="10"/>
        <v>#N/A</v>
      </c>
      <c r="Q130" s="2" t="e">
        <f t="shared" si="10"/>
        <v>#N/A</v>
      </c>
      <c r="R130" s="2" t="e">
        <f t="shared" si="10"/>
        <v>#N/A</v>
      </c>
      <c r="S130" s="2" t="e">
        <f t="shared" si="10"/>
        <v>#N/A</v>
      </c>
      <c r="T130" s="2" t="e">
        <f t="shared" si="10"/>
        <v>#N/A</v>
      </c>
      <c r="U130" s="2" t="e">
        <f t="shared" si="10"/>
        <v>#N/A</v>
      </c>
      <c r="V130" s="2" t="e">
        <f t="shared" si="10"/>
        <v>#N/A</v>
      </c>
      <c r="W130" s="2" t="e">
        <f t="shared" si="10"/>
        <v>#N/A</v>
      </c>
      <c r="X130" s="2" t="e">
        <f t="shared" si="10"/>
        <v>#N/A</v>
      </c>
      <c r="Y130" s="2" t="e">
        <f t="shared" si="10"/>
        <v>#N/A</v>
      </c>
      <c r="Z130" s="2" t="e">
        <f t="shared" si="10"/>
        <v>#N/A</v>
      </c>
      <c r="AA130" s="2" t="e">
        <f t="shared" si="10"/>
        <v>#N/A</v>
      </c>
      <c r="AB130" s="2" t="e">
        <f t="shared" si="10"/>
        <v>#N/A</v>
      </c>
      <c r="AC130" s="2" t="e">
        <f t="shared" si="10"/>
        <v>#N/A</v>
      </c>
      <c r="AD130" s="2" t="e">
        <f t="shared" si="10"/>
        <v>#N/A</v>
      </c>
      <c r="AE130" s="2" t="e">
        <f t="shared" si="10"/>
        <v>#N/A</v>
      </c>
      <c r="AF130" s="2" t="e">
        <f t="shared" si="10"/>
        <v>#N/A</v>
      </c>
      <c r="AG130" s="2" t="e">
        <f t="shared" si="10"/>
        <v>#N/A</v>
      </c>
      <c r="AH130" s="2" t="e">
        <f t="shared" si="10"/>
        <v>#N/A</v>
      </c>
      <c r="AI130" s="2" t="e">
        <f t="shared" si="10"/>
        <v>#N/A</v>
      </c>
    </row>
    <row r="131" spans="2:35" x14ac:dyDescent="0.15">
      <c r="B131" t="str">
        <f>IF(ISTEXT(Autoparts!D23)=TRUE,Autoparts!D23&amp;" | Benchmark fuel-cycle intensity in "&amp;Autoparts!D22,"select a vehicle category")</f>
        <v>select a vehicle category</v>
      </c>
      <c r="C131" t="e">
        <f>+C130</f>
        <v>#N/A</v>
      </c>
      <c r="G131" s="2" t="e">
        <f>IF(G72&lt;&gt;0,G72,NA())</f>
        <v>#N/A</v>
      </c>
      <c r="H131" s="2" t="e">
        <f t="shared" ref="H131:AI131" si="11">IF(H72&lt;&gt;0,H72,NA())</f>
        <v>#N/A</v>
      </c>
      <c r="I131" s="2" t="e">
        <f t="shared" si="11"/>
        <v>#N/A</v>
      </c>
      <c r="J131" s="2" t="e">
        <f t="shared" si="11"/>
        <v>#N/A</v>
      </c>
      <c r="K131" s="2" t="e">
        <f t="shared" si="11"/>
        <v>#N/A</v>
      </c>
      <c r="L131" s="2" t="e">
        <f t="shared" si="11"/>
        <v>#N/A</v>
      </c>
      <c r="M131" s="2" t="e">
        <f t="shared" si="11"/>
        <v>#N/A</v>
      </c>
      <c r="N131" s="2" t="e">
        <f t="shared" si="11"/>
        <v>#N/A</v>
      </c>
      <c r="O131" s="2" t="e">
        <f t="shared" si="11"/>
        <v>#N/A</v>
      </c>
      <c r="P131" s="2" t="e">
        <f t="shared" si="11"/>
        <v>#N/A</v>
      </c>
      <c r="Q131" s="2" t="e">
        <f t="shared" si="11"/>
        <v>#N/A</v>
      </c>
      <c r="R131" s="2" t="e">
        <f t="shared" si="11"/>
        <v>#N/A</v>
      </c>
      <c r="S131" s="2" t="e">
        <f t="shared" si="11"/>
        <v>#N/A</v>
      </c>
      <c r="T131" s="2" t="e">
        <f t="shared" si="11"/>
        <v>#N/A</v>
      </c>
      <c r="U131" s="2" t="e">
        <f t="shared" si="11"/>
        <v>#N/A</v>
      </c>
      <c r="V131" s="2" t="e">
        <f t="shared" si="11"/>
        <v>#N/A</v>
      </c>
      <c r="W131" s="2" t="e">
        <f t="shared" si="11"/>
        <v>#N/A</v>
      </c>
      <c r="X131" s="2" t="e">
        <f t="shared" si="11"/>
        <v>#N/A</v>
      </c>
      <c r="Y131" s="2" t="e">
        <f t="shared" si="11"/>
        <v>#N/A</v>
      </c>
      <c r="Z131" s="2" t="e">
        <f t="shared" si="11"/>
        <v>#N/A</v>
      </c>
      <c r="AA131" s="2" t="e">
        <f t="shared" si="11"/>
        <v>#N/A</v>
      </c>
      <c r="AB131" s="2" t="e">
        <f t="shared" si="11"/>
        <v>#N/A</v>
      </c>
      <c r="AC131" s="2" t="e">
        <f t="shared" si="11"/>
        <v>#N/A</v>
      </c>
      <c r="AD131" s="2" t="e">
        <f t="shared" si="11"/>
        <v>#N/A</v>
      </c>
      <c r="AE131" s="2" t="e">
        <f t="shared" si="11"/>
        <v>#N/A</v>
      </c>
      <c r="AF131" s="2" t="e">
        <f t="shared" si="11"/>
        <v>#N/A</v>
      </c>
      <c r="AG131" s="2" t="e">
        <f t="shared" si="11"/>
        <v>#N/A</v>
      </c>
      <c r="AH131" s="2" t="e">
        <f t="shared" si="11"/>
        <v>#N/A</v>
      </c>
      <c r="AI131" s="2" t="e">
        <f t="shared" si="11"/>
        <v>#N/A</v>
      </c>
    </row>
    <row r="132" spans="2:35" x14ac:dyDescent="0.15">
      <c r="B132" s="92" t="str">
        <f>+B76</f>
        <v>Scope 3 category 11 intensity target</v>
      </c>
      <c r="C132" t="e">
        <f>+C131</f>
        <v>#N/A</v>
      </c>
      <c r="D132" s="181" t="e">
        <f>IF(Autoparts!#REF!&gt;0,D76,NA())</f>
        <v>#REF!</v>
      </c>
    </row>
    <row r="134" spans="2:35" x14ac:dyDescent="0.15">
      <c r="B134" s="1" t="str">
        <f>CONCATENATE("Graph 8 | Scope 3 category 11 fuel-cycle intensity for non-LDVs | percent improvement method (",Autoparts!D61,")")</f>
        <v>Graph 8 | Scope 3 category 11 fuel-cycle intensity for non-LDVs | percent improvement method ()</v>
      </c>
    </row>
    <row r="135" spans="2:35" x14ac:dyDescent="0.15">
      <c r="B135" t="str">
        <f>IF(ISTEXT(Autoparts!D61)=TRUE,Autoparts!D61&amp;" | Scope 3 category 11 fuel-cycle intensity in "&amp;Autoparts!D60,"select a vehicle category")</f>
        <v>select a vehicle category</v>
      </c>
      <c r="C135" t="e">
        <f>C132</f>
        <v>#N/A</v>
      </c>
      <c r="G135" s="2" t="e">
        <f>IF(G82&lt;&gt;0,G82,NA())</f>
        <v>#N/A</v>
      </c>
      <c r="H135" s="2" t="e">
        <f t="shared" ref="H135:AI135" si="12">IF(H82&lt;&gt;0,H82,NA())</f>
        <v>#N/A</v>
      </c>
      <c r="I135" s="2" t="e">
        <f t="shared" si="12"/>
        <v>#N/A</v>
      </c>
      <c r="J135" s="2" t="e">
        <f t="shared" si="12"/>
        <v>#N/A</v>
      </c>
      <c r="K135" s="2" t="e">
        <f t="shared" si="12"/>
        <v>#N/A</v>
      </c>
      <c r="L135" s="2" t="e">
        <f t="shared" si="12"/>
        <v>#N/A</v>
      </c>
      <c r="M135" s="2" t="e">
        <f t="shared" si="12"/>
        <v>#N/A</v>
      </c>
      <c r="N135" s="2" t="e">
        <f t="shared" si="12"/>
        <v>#N/A</v>
      </c>
      <c r="O135" s="2" t="e">
        <f t="shared" si="12"/>
        <v>#N/A</v>
      </c>
      <c r="P135" s="2" t="e">
        <f t="shared" si="12"/>
        <v>#N/A</v>
      </c>
      <c r="Q135" s="2" t="e">
        <f t="shared" si="12"/>
        <v>#N/A</v>
      </c>
      <c r="R135" s="2" t="e">
        <f t="shared" si="12"/>
        <v>#N/A</v>
      </c>
      <c r="S135" s="2" t="e">
        <f t="shared" si="12"/>
        <v>#N/A</v>
      </c>
      <c r="T135" s="2" t="e">
        <f t="shared" si="12"/>
        <v>#N/A</v>
      </c>
      <c r="U135" s="2" t="e">
        <f t="shared" si="12"/>
        <v>#N/A</v>
      </c>
      <c r="V135" s="2" t="e">
        <f t="shared" si="12"/>
        <v>#N/A</v>
      </c>
      <c r="W135" s="2" t="e">
        <f t="shared" si="12"/>
        <v>#N/A</v>
      </c>
      <c r="X135" s="2" t="e">
        <f t="shared" si="12"/>
        <v>#N/A</v>
      </c>
      <c r="Y135" s="2" t="e">
        <f t="shared" si="12"/>
        <v>#N/A</v>
      </c>
      <c r="Z135" s="2" t="e">
        <f t="shared" si="12"/>
        <v>#N/A</v>
      </c>
      <c r="AA135" s="2" t="e">
        <f t="shared" si="12"/>
        <v>#N/A</v>
      </c>
      <c r="AB135" s="2" t="e">
        <f t="shared" si="12"/>
        <v>#N/A</v>
      </c>
      <c r="AC135" s="2" t="e">
        <f t="shared" si="12"/>
        <v>#N/A</v>
      </c>
      <c r="AD135" s="2" t="e">
        <f t="shared" si="12"/>
        <v>#N/A</v>
      </c>
      <c r="AE135" s="2" t="e">
        <f t="shared" si="12"/>
        <v>#N/A</v>
      </c>
      <c r="AF135" s="2" t="e">
        <f t="shared" si="12"/>
        <v>#N/A</v>
      </c>
      <c r="AG135" s="2" t="e">
        <f t="shared" si="12"/>
        <v>#N/A</v>
      </c>
      <c r="AH135" s="2" t="e">
        <f t="shared" si="12"/>
        <v>#N/A</v>
      </c>
      <c r="AI135" s="2" t="e">
        <f t="shared" si="12"/>
        <v>#N/A</v>
      </c>
    </row>
    <row r="136" spans="2:35" x14ac:dyDescent="0.15">
      <c r="B136" t="str">
        <f>IF(ISTEXT(Autoparts!D61)=TRUE,Autoparts!D61&amp;" | Benchmark fuel-cycle intensity in "&amp;Autoparts!D60,"select a vehicle category")</f>
        <v>select a vehicle category</v>
      </c>
      <c r="C136" t="e">
        <f>+C135</f>
        <v>#N/A</v>
      </c>
      <c r="G136" s="2" t="e">
        <f>IF(G79&lt;&gt;0,G79,NA())</f>
        <v>#N/A</v>
      </c>
      <c r="H136" s="2" t="e">
        <f t="shared" ref="H136:AI136" si="13">IF(H79&lt;&gt;0,H79,NA())</f>
        <v>#N/A</v>
      </c>
      <c r="I136" s="2" t="e">
        <f t="shared" si="13"/>
        <v>#N/A</v>
      </c>
      <c r="J136" s="2" t="e">
        <f t="shared" si="13"/>
        <v>#N/A</v>
      </c>
      <c r="K136" s="2" t="e">
        <f t="shared" si="13"/>
        <v>#N/A</v>
      </c>
      <c r="L136" s="2" t="e">
        <f t="shared" si="13"/>
        <v>#N/A</v>
      </c>
      <c r="M136" s="2" t="e">
        <f t="shared" si="13"/>
        <v>#N/A</v>
      </c>
      <c r="N136" s="2" t="e">
        <f t="shared" si="13"/>
        <v>#N/A</v>
      </c>
      <c r="O136" s="2" t="e">
        <f t="shared" si="13"/>
        <v>#N/A</v>
      </c>
      <c r="P136" s="2" t="e">
        <f t="shared" si="13"/>
        <v>#N/A</v>
      </c>
      <c r="Q136" s="2" t="e">
        <f t="shared" si="13"/>
        <v>#N/A</v>
      </c>
      <c r="R136" s="2" t="e">
        <f t="shared" si="13"/>
        <v>#N/A</v>
      </c>
      <c r="S136" s="2" t="e">
        <f t="shared" si="13"/>
        <v>#N/A</v>
      </c>
      <c r="T136" s="2" t="e">
        <f t="shared" si="13"/>
        <v>#N/A</v>
      </c>
      <c r="U136" s="2" t="e">
        <f t="shared" si="13"/>
        <v>#N/A</v>
      </c>
      <c r="V136" s="2" t="e">
        <f t="shared" si="13"/>
        <v>#N/A</v>
      </c>
      <c r="W136" s="2" t="e">
        <f t="shared" si="13"/>
        <v>#N/A</v>
      </c>
      <c r="X136" s="2" t="e">
        <f t="shared" si="13"/>
        <v>#N/A</v>
      </c>
      <c r="Y136" s="2" t="e">
        <f t="shared" si="13"/>
        <v>#N/A</v>
      </c>
      <c r="Z136" s="2" t="e">
        <f t="shared" si="13"/>
        <v>#N/A</v>
      </c>
      <c r="AA136" s="2" t="e">
        <f t="shared" si="13"/>
        <v>#N/A</v>
      </c>
      <c r="AB136" s="2" t="e">
        <f t="shared" si="13"/>
        <v>#N/A</v>
      </c>
      <c r="AC136" s="2" t="e">
        <f t="shared" si="13"/>
        <v>#N/A</v>
      </c>
      <c r="AD136" s="2" t="e">
        <f t="shared" si="13"/>
        <v>#N/A</v>
      </c>
      <c r="AE136" s="2" t="e">
        <f t="shared" si="13"/>
        <v>#N/A</v>
      </c>
      <c r="AF136" s="2" t="e">
        <f t="shared" si="13"/>
        <v>#N/A</v>
      </c>
      <c r="AG136" s="2" t="e">
        <f t="shared" si="13"/>
        <v>#N/A</v>
      </c>
      <c r="AH136" s="2" t="e">
        <f t="shared" si="13"/>
        <v>#N/A</v>
      </c>
      <c r="AI136" s="2" t="e">
        <f t="shared" si="13"/>
        <v>#N/A</v>
      </c>
    </row>
    <row r="137" spans="2:35" x14ac:dyDescent="0.15">
      <c r="B137" s="92" t="str">
        <f>+B83</f>
        <v>Scope 3 category 11 intensity target</v>
      </c>
      <c r="C137" t="e">
        <f>+C136</f>
        <v>#N/A</v>
      </c>
      <c r="D137" s="181" t="e">
        <f>IF(Autoparts!D62&gt;0,D83,NA())</f>
        <v>#N/A</v>
      </c>
    </row>
  </sheetData>
  <sheetProtection algorithmName="SHA-512" hashValue="pgDUk13DxafV8GnxOXVti7rrFuYU3c0MHRNXiL8nxohKpWVZE5F2n9SuV8KZkTYIE1w6vlz6JiXcrA5Vj1HKBA==" saltValue="vZy5pmyMo2H0E5d8d4xj9A==" spinCount="100000" sheet="1" objects="1" scenarios="1"/>
  <conditionalFormatting sqref="A30 A31:XFD47 A65:XFD118 A127:XFD128">
    <cfRule type="expression" dxfId="120" priority="59">
      <formula>ISNA(A30)</formula>
    </cfRule>
  </conditionalFormatting>
  <conditionalFormatting sqref="A49">
    <cfRule type="expression" dxfId="119" priority="58">
      <formula>ISNA(A49)</formula>
    </cfRule>
  </conditionalFormatting>
  <conditionalFormatting sqref="A62:C64">
    <cfRule type="expression" dxfId="118" priority="1">
      <formula>ISNA(A62)</formula>
    </cfRule>
  </conditionalFormatting>
  <conditionalFormatting sqref="A48:D48">
    <cfRule type="expression" dxfId="117" priority="111">
      <formula>ISNA(A48)</formula>
    </cfRule>
  </conditionalFormatting>
  <conditionalFormatting sqref="A54:D55">
    <cfRule type="expression" dxfId="116" priority="110">
      <formula>ISNA(A54)</formula>
    </cfRule>
  </conditionalFormatting>
  <conditionalFormatting sqref="A59:E61 D62:E62">
    <cfRule type="expression" dxfId="115" priority="101">
      <formula>ISNA(A59)</formula>
    </cfRule>
  </conditionalFormatting>
  <conditionalFormatting sqref="A7:XFD8 A1:XFD5 A6:C6 E6:XFD6 T7:Y11 A9:C11 E9:XFD11 A12:F12 Y12:XFD12 A13:XFD14 A15:C15 E15:XFD15 A16:XFD16 A17:C18 E17:XFD18 A19:XFD21 A22:C22 E22:XFD22 A23:XFD23 A24:C25 A26:D29">
    <cfRule type="expression" dxfId="114" priority="163">
      <formula>ISNA(A1)</formula>
    </cfRule>
  </conditionalFormatting>
  <conditionalFormatting sqref="A56:XFD58">
    <cfRule type="expression" dxfId="113" priority="107">
      <formula>ISNA(A56)</formula>
    </cfRule>
  </conditionalFormatting>
  <conditionalFormatting sqref="B19:D20">
    <cfRule type="expression" dxfId="112" priority="172">
      <formula>ISNA(B19)</formula>
    </cfRule>
  </conditionalFormatting>
  <conditionalFormatting sqref="B26:D27">
    <cfRule type="expression" dxfId="111" priority="168">
      <formula>ISNA(B26)</formula>
    </cfRule>
  </conditionalFormatting>
  <conditionalFormatting sqref="D7:D8 D105:D106 E26:AI108 D69 E1:AI11 D5 E12:F12 Y12:AI12 D13 E13:AI24 D16 D23 E25:T25 V25:AI25 E117:AI1048576">
    <cfRule type="cellIs" dxfId="110" priority="146" operator="equal">
      <formula>0</formula>
    </cfRule>
  </conditionalFormatting>
  <conditionalFormatting sqref="D7:D8">
    <cfRule type="expression" dxfId="109" priority="142">
      <formula>ISNA(D7)</formula>
    </cfRule>
    <cfRule type="expression" dxfId="108" priority="143">
      <formula>ISNUMBER(D7)</formula>
    </cfRule>
  </conditionalFormatting>
  <conditionalFormatting sqref="D16">
    <cfRule type="cellIs" dxfId="107" priority="221" operator="lessThan">
      <formula>10</formula>
    </cfRule>
    <cfRule type="cellIs" dxfId="106" priority="220" operator="equal">
      <formula>0</formula>
    </cfRule>
  </conditionalFormatting>
  <conditionalFormatting sqref="D35:D36 D38:D39">
    <cfRule type="cellIs" dxfId="105" priority="136" operator="lessThan">
      <formula>10</formula>
    </cfRule>
    <cfRule type="cellIs" dxfId="104" priority="135" operator="equal">
      <formula>0</formula>
    </cfRule>
  </conditionalFormatting>
  <conditionalFormatting sqref="D42:D43">
    <cfRule type="cellIs" dxfId="103" priority="117" operator="lessThan">
      <formula>10</formula>
    </cfRule>
    <cfRule type="cellIs" dxfId="102" priority="116" operator="equal">
      <formula>0</formula>
    </cfRule>
  </conditionalFormatting>
  <conditionalFormatting sqref="D45">
    <cfRule type="cellIs" dxfId="101" priority="127" operator="lessThan">
      <formula>10</formula>
    </cfRule>
    <cfRule type="cellIs" dxfId="100" priority="126" operator="equal">
      <formula>0</formula>
    </cfRule>
  </conditionalFormatting>
  <conditionalFormatting sqref="D54:D55">
    <cfRule type="cellIs" dxfId="99" priority="109" operator="lessThan">
      <formula>10</formula>
    </cfRule>
    <cfRule type="cellIs" dxfId="98" priority="108" operator="equal">
      <formula>0</formula>
    </cfRule>
  </conditionalFormatting>
  <conditionalFormatting sqref="D57">
    <cfRule type="cellIs" dxfId="97" priority="106" operator="lessThan">
      <formula>10</formula>
    </cfRule>
    <cfRule type="cellIs" dxfId="96" priority="105" operator="equal">
      <formula>0</formula>
    </cfRule>
  </conditionalFormatting>
  <conditionalFormatting sqref="D61:D62">
    <cfRule type="cellIs" dxfId="95" priority="99" operator="equal">
      <formula>0</formula>
    </cfRule>
    <cfRule type="cellIs" dxfId="94" priority="100" operator="lessThan">
      <formula>10</formula>
    </cfRule>
  </conditionalFormatting>
  <conditionalFormatting sqref="D64">
    <cfRule type="cellIs" dxfId="93" priority="102" operator="equal">
      <formula>0</formula>
    </cfRule>
    <cfRule type="cellIs" dxfId="92" priority="103" operator="lessThan">
      <formula>10</formula>
    </cfRule>
  </conditionalFormatting>
  <conditionalFormatting sqref="D73:D74 D76:D84">
    <cfRule type="cellIs" dxfId="91" priority="44" operator="equal">
      <formula>0</formula>
    </cfRule>
    <cfRule type="cellIs" dxfId="90" priority="45" operator="lessThan">
      <formula>10</formula>
    </cfRule>
  </conditionalFormatting>
  <conditionalFormatting sqref="D105:D106">
    <cfRule type="cellIs" dxfId="89" priority="124" operator="equal">
      <formula>0</formula>
    </cfRule>
    <cfRule type="cellIs" dxfId="88" priority="125" operator="lessThan">
      <formula>10</formula>
    </cfRule>
  </conditionalFormatting>
  <conditionalFormatting sqref="D111:D112">
    <cfRule type="cellIs" dxfId="87" priority="195" operator="equal">
      <formula>0</formula>
    </cfRule>
    <cfRule type="cellIs" dxfId="86" priority="196" operator="lessThan">
      <formula>10</formula>
    </cfRule>
  </conditionalFormatting>
  <conditionalFormatting sqref="D116">
    <cfRule type="cellIs" dxfId="85" priority="123" operator="lessThan">
      <formula>10</formula>
    </cfRule>
    <cfRule type="cellIs" dxfId="84" priority="122" operator="equal">
      <formula>0</formula>
    </cfRule>
    <cfRule type="cellIs" dxfId="83" priority="194" operator="lessThan">
      <formula>10</formula>
    </cfRule>
    <cfRule type="cellIs" dxfId="82" priority="193" operator="equal">
      <formula>0</formula>
    </cfRule>
    <cfRule type="cellIs" dxfId="81" priority="112" operator="equal">
      <formula>0</formula>
    </cfRule>
    <cfRule type="cellIs" dxfId="80" priority="113" operator="lessThan">
      <formula>10</formula>
    </cfRule>
    <cfRule type="cellIs" dxfId="79" priority="114" operator="equal">
      <formula>0</formula>
    </cfRule>
    <cfRule type="cellIs" dxfId="78" priority="115" operator="lessThan">
      <formula>10</formula>
    </cfRule>
  </conditionalFormatting>
  <conditionalFormatting sqref="D121">
    <cfRule type="cellIs" dxfId="77" priority="95" operator="equal">
      <formula>0</formula>
    </cfRule>
    <cfRule type="cellIs" dxfId="76" priority="96" operator="lessThan">
      <formula>10</formula>
    </cfRule>
    <cfRule type="cellIs" dxfId="75" priority="97" operator="equal">
      <formula>0</formula>
    </cfRule>
    <cfRule type="cellIs" dxfId="74" priority="98" operator="lessThan">
      <formula>10</formula>
    </cfRule>
    <cfRule type="cellIs" dxfId="73" priority="94" operator="lessThan">
      <formula>10</formula>
    </cfRule>
    <cfRule type="cellIs" dxfId="72" priority="93" operator="equal">
      <formula>0</formula>
    </cfRule>
    <cfRule type="cellIs" dxfId="71" priority="92" operator="lessThan">
      <formula>10</formula>
    </cfRule>
    <cfRule type="cellIs" dxfId="70" priority="91" operator="equal">
      <formula>0</formula>
    </cfRule>
  </conditionalFormatting>
  <conditionalFormatting sqref="D126">
    <cfRule type="cellIs" dxfId="69" priority="86" operator="lessThan">
      <formula>10</formula>
    </cfRule>
    <cfRule type="cellIs" dxfId="68" priority="85" operator="equal">
      <formula>0</formula>
    </cfRule>
    <cfRule type="cellIs" dxfId="67" priority="84" operator="lessThan">
      <formula>10</formula>
    </cfRule>
    <cfRule type="cellIs" dxfId="66" priority="90" operator="lessThan">
      <formula>10</formula>
    </cfRule>
    <cfRule type="cellIs" dxfId="65" priority="89" operator="equal">
      <formula>0</formula>
    </cfRule>
    <cfRule type="cellIs" dxfId="64" priority="88" operator="lessThan">
      <formula>10</formula>
    </cfRule>
    <cfRule type="cellIs" dxfId="63" priority="87" operator="equal">
      <formula>0</formula>
    </cfRule>
    <cfRule type="cellIs" dxfId="62" priority="83" operator="equal">
      <formula>0</formula>
    </cfRule>
  </conditionalFormatting>
  <conditionalFormatting sqref="D132">
    <cfRule type="cellIs" dxfId="61" priority="40" operator="lessThan">
      <formula>10</formula>
    </cfRule>
    <cfRule type="cellIs" dxfId="60" priority="41" operator="equal">
      <formula>0</formula>
    </cfRule>
    <cfRule type="cellIs" dxfId="59" priority="42" operator="lessThan">
      <formula>10</formula>
    </cfRule>
    <cfRule type="cellIs" dxfId="58" priority="38" operator="lessThan">
      <formula>10</formula>
    </cfRule>
    <cfRule type="cellIs" dxfId="57" priority="37" operator="equal">
      <formula>0</formula>
    </cfRule>
    <cfRule type="cellIs" dxfId="56" priority="36" operator="lessThan">
      <formula>10</formula>
    </cfRule>
    <cfRule type="cellIs" dxfId="55" priority="35" operator="equal">
      <formula>0</formula>
    </cfRule>
    <cfRule type="cellIs" dxfId="54" priority="39" operator="equal">
      <formula>0</formula>
    </cfRule>
  </conditionalFormatting>
  <conditionalFormatting sqref="D137">
    <cfRule type="cellIs" dxfId="53" priority="12" operator="equal">
      <formula>0</formula>
    </cfRule>
    <cfRule type="cellIs" dxfId="52" priority="17" operator="lessThan">
      <formula>10</formula>
    </cfRule>
    <cfRule type="cellIs" dxfId="51" priority="16" operator="equal">
      <formula>0</formula>
    </cfRule>
    <cfRule type="cellIs" dxfId="50" priority="15" operator="lessThan">
      <formula>10</formula>
    </cfRule>
    <cfRule type="cellIs" dxfId="49" priority="10" operator="equal">
      <formula>0</formula>
    </cfRule>
    <cfRule type="cellIs" dxfId="48" priority="14" operator="equal">
      <formula>0</formula>
    </cfRule>
    <cfRule type="cellIs" dxfId="47" priority="13" operator="lessThan">
      <formula>10</formula>
    </cfRule>
    <cfRule type="cellIs" dxfId="46" priority="11" operator="lessThan">
      <formula>10</formula>
    </cfRule>
  </conditionalFormatting>
  <conditionalFormatting sqref="D64:E64">
    <cfRule type="expression" dxfId="45" priority="104">
      <formula>ISNA(D64)</formula>
    </cfRule>
  </conditionalFormatting>
  <conditionalFormatting sqref="D5:AI5 D13 E13:AI14 E21:AI24">
    <cfRule type="cellIs" dxfId="44" priority="240" operator="lessThan">
      <formula>10</formula>
    </cfRule>
    <cfRule type="cellIs" dxfId="43" priority="239" operator="equal">
      <formula>0</formula>
    </cfRule>
  </conditionalFormatting>
  <conditionalFormatting sqref="D69:AI69">
    <cfRule type="cellIs" dxfId="42" priority="80" operator="equal">
      <formula>0</formula>
    </cfRule>
    <cfRule type="cellIs" dxfId="41" priority="81" operator="lessThan">
      <formula>10</formula>
    </cfRule>
  </conditionalFormatting>
  <conditionalFormatting sqref="E50:F50">
    <cfRule type="expression" dxfId="40" priority="63">
      <formula>ISNA(E50)</formula>
    </cfRule>
  </conditionalFormatting>
  <conditionalFormatting sqref="E1:AI11 D5 D7:D8 E12:F12 Y12:AI12 D13 E13:AI24 D16 D23 E25:T25 V25:AI25 E26:AI108 D69 D105:D106 E117:AI1048576">
    <cfRule type="cellIs" dxfId="39" priority="147" operator="lessThan">
      <formula>10</formula>
    </cfRule>
  </conditionalFormatting>
  <conditionalFormatting sqref="E19:AI19">
    <cfRule type="cellIs" dxfId="38" priority="171" operator="lessThan">
      <formula>10</formula>
    </cfRule>
    <cfRule type="cellIs" dxfId="37" priority="170" operator="equal">
      <formula>0</formula>
    </cfRule>
    <cfRule type="expression" dxfId="36" priority="169">
      <formula>ISNA(E19)</formula>
    </cfRule>
  </conditionalFormatting>
  <conditionalFormatting sqref="E24:XFD24 E25:T25 V25:XFD25 E26:XFD30 C30:D30 E48:AI49 C49:D49 A50:AI53 E54:AI54 E55:XFD55 F59:XFD64 D63:AI63 A119:B121 D119:XFD121 A122:XFD122 B123:E123 A123:A126 F123:XFD126 B124:B126 D124:E126 B129:E129 A129:A132 F129:XFD132 B130:B132 D130:E132 A133:XFD133 B134:E134 A134:A137 F134:XFD137 B135:B137 D135:E137 A138:XFD1048576">
    <cfRule type="expression" dxfId="35" priority="234">
      <formula>ISNA(A24)</formula>
    </cfRule>
  </conditionalFormatting>
  <pageMargins left="0.7" right="0.7" top="0.75" bottom="0.75" header="0.3" footer="0.3"/>
  <pageSetup paperSize="9" orientation="portrait" horizontalDpi="4294967294" r:id="rId1"/>
  <cellWatches>
    <cellWatch r="J44"/>
  </cellWatch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489B2-FC8E-4B46-9435-325977455393}">
  <sheetPr codeName="Sheet12">
    <tabColor theme="0" tint="-0.249977111117893"/>
  </sheetPr>
  <dimension ref="A1:BF125"/>
  <sheetViews>
    <sheetView zoomScale="110" zoomScaleNormal="110" workbookViewId="0">
      <selection activeCell="V73" sqref="V73"/>
    </sheetView>
  </sheetViews>
  <sheetFormatPr baseColWidth="10" defaultColWidth="8.83203125" defaultRowHeight="12" x14ac:dyDescent="0.15"/>
  <cols>
    <col min="1" max="1" width="13.6640625" style="150" customWidth="1"/>
    <col min="2" max="2" width="9.83203125" style="187" customWidth="1"/>
    <col min="3" max="3" width="39" style="150" bestFit="1" customWidth="1"/>
    <col min="4" max="4" width="16.5" style="150" bestFit="1" customWidth="1"/>
    <col min="5" max="5" width="14.5" style="150" bestFit="1" customWidth="1"/>
    <col min="6" max="6" width="54.5" style="150" hidden="1" customWidth="1"/>
    <col min="7" max="7" width="18.1640625" style="150" bestFit="1" customWidth="1"/>
    <col min="8" max="18" width="0" style="5" hidden="1" customWidth="1"/>
    <col min="19" max="19" width="7.1640625" style="5" hidden="1" customWidth="1"/>
    <col min="20" max="20" width="8.83203125" style="5"/>
    <col min="21" max="22" width="8.83203125" style="5" customWidth="1"/>
    <col min="23" max="23" width="8.83203125" style="5"/>
    <col min="24" max="27" width="8.83203125" style="5" customWidth="1"/>
    <col min="28" max="28" width="8.83203125" style="5"/>
    <col min="29" max="32" width="8.83203125" style="5" customWidth="1"/>
    <col min="33" max="33" width="8.83203125" style="5"/>
    <col min="34" max="37" width="8.83203125" style="5" customWidth="1"/>
    <col min="38" max="38" width="8.83203125" style="5"/>
    <col min="39" max="42" width="8.83203125" style="5" customWidth="1"/>
    <col min="43" max="43" width="8.83203125" style="5"/>
    <col min="44" max="47" width="8.83203125" style="5" customWidth="1"/>
    <col min="48" max="16384" width="8.83203125" style="5"/>
  </cols>
  <sheetData>
    <row r="1" spans="1:58" s="190" customFormat="1" ht="15" customHeight="1" x14ac:dyDescent="0.15">
      <c r="A1" s="189" t="s">
        <v>14</v>
      </c>
      <c r="B1" s="191" t="s">
        <v>2</v>
      </c>
      <c r="C1" s="190" t="s">
        <v>3</v>
      </c>
      <c r="D1" s="189" t="s">
        <v>248</v>
      </c>
      <c r="E1" s="189" t="s">
        <v>4</v>
      </c>
      <c r="F1" s="189" t="s">
        <v>22</v>
      </c>
      <c r="G1" s="189" t="s">
        <v>249</v>
      </c>
      <c r="H1" s="190" t="s">
        <v>253</v>
      </c>
      <c r="I1" s="190" t="s">
        <v>250</v>
      </c>
      <c r="J1" s="190" t="s">
        <v>251</v>
      </c>
      <c r="K1" s="190" t="s">
        <v>252</v>
      </c>
      <c r="L1" s="190" t="s">
        <v>53</v>
      </c>
      <c r="M1" s="190" t="s">
        <v>54</v>
      </c>
      <c r="N1" s="190" t="s">
        <v>55</v>
      </c>
      <c r="O1" s="190" t="s">
        <v>56</v>
      </c>
      <c r="P1" s="190" t="s">
        <v>57</v>
      </c>
      <c r="Q1" s="190" t="s">
        <v>58</v>
      </c>
      <c r="R1" s="190" t="s">
        <v>59</v>
      </c>
      <c r="S1" s="190" t="s">
        <v>60</v>
      </c>
      <c r="T1" s="190" t="s">
        <v>61</v>
      </c>
      <c r="U1" s="190" t="s">
        <v>62</v>
      </c>
      <c r="V1" s="190" t="s">
        <v>63</v>
      </c>
      <c r="W1" s="190" t="s">
        <v>64</v>
      </c>
      <c r="X1" s="190" t="s">
        <v>65</v>
      </c>
      <c r="Y1" s="190" t="s">
        <v>66</v>
      </c>
      <c r="Z1" s="190" t="s">
        <v>67</v>
      </c>
      <c r="AA1" s="190" t="s">
        <v>68</v>
      </c>
      <c r="AB1" s="190" t="s">
        <v>69</v>
      </c>
      <c r="AC1" s="190" t="s">
        <v>70</v>
      </c>
      <c r="AD1" s="190" t="s">
        <v>71</v>
      </c>
      <c r="AE1" s="190" t="s">
        <v>72</v>
      </c>
      <c r="AF1" s="190" t="s">
        <v>73</v>
      </c>
      <c r="AG1" s="190" t="s">
        <v>74</v>
      </c>
      <c r="AH1" s="190" t="s">
        <v>75</v>
      </c>
      <c r="AI1" s="190" t="s">
        <v>76</v>
      </c>
      <c r="AJ1" s="190" t="s">
        <v>77</v>
      </c>
      <c r="AK1" s="190" t="s">
        <v>78</v>
      </c>
      <c r="AL1" s="190" t="s">
        <v>79</v>
      </c>
      <c r="AM1" s="190" t="s">
        <v>80</v>
      </c>
      <c r="AN1" s="190" t="s">
        <v>81</v>
      </c>
      <c r="AO1" s="190" t="s">
        <v>82</v>
      </c>
      <c r="AP1" s="190" t="s">
        <v>83</v>
      </c>
      <c r="AQ1" s="190" t="s">
        <v>84</v>
      </c>
      <c r="AR1" s="190" t="s">
        <v>85</v>
      </c>
      <c r="AS1" s="190" t="s">
        <v>86</v>
      </c>
      <c r="AT1" s="190" t="s">
        <v>87</v>
      </c>
      <c r="AU1" s="190" t="s">
        <v>88</v>
      </c>
      <c r="AV1" s="190" t="s">
        <v>89</v>
      </c>
      <c r="AW1" s="190" t="s">
        <v>354</v>
      </c>
      <c r="AX1" s="190" t="s">
        <v>355</v>
      </c>
      <c r="AY1" s="190" t="s">
        <v>356</v>
      </c>
      <c r="AZ1" s="190" t="s">
        <v>357</v>
      </c>
      <c r="BA1" s="190" t="s">
        <v>358</v>
      </c>
      <c r="BB1" s="190" t="s">
        <v>359</v>
      </c>
      <c r="BC1" s="190" t="s">
        <v>360</v>
      </c>
      <c r="BD1" s="190" t="s">
        <v>361</v>
      </c>
      <c r="BE1" s="190" t="s">
        <v>362</v>
      </c>
      <c r="BF1" s="190" t="s">
        <v>363</v>
      </c>
    </row>
    <row r="2" spans="1:58" s="250" customFormat="1" ht="15" hidden="1" customHeight="1" x14ac:dyDescent="0.15">
      <c r="A2" s="248" t="s">
        <v>257</v>
      </c>
      <c r="B2" s="249" t="s">
        <v>52</v>
      </c>
      <c r="C2" s="250" t="s">
        <v>326</v>
      </c>
      <c r="D2" s="248" t="s">
        <v>7</v>
      </c>
      <c r="E2" s="248" t="s">
        <v>262</v>
      </c>
      <c r="F2" s="189" t="s">
        <v>263</v>
      </c>
      <c r="G2" s="248" t="s">
        <v>364</v>
      </c>
      <c r="H2" s="190"/>
      <c r="I2" s="190"/>
      <c r="J2" s="190"/>
      <c r="K2" s="190"/>
      <c r="L2" s="190"/>
      <c r="M2" s="190"/>
      <c r="N2" s="190"/>
      <c r="O2" s="190"/>
      <c r="P2" s="190"/>
      <c r="Q2" s="190"/>
      <c r="R2" s="190"/>
      <c r="S2" s="190"/>
      <c r="T2" s="251">
        <v>248.62162493978258</v>
      </c>
      <c r="U2" s="251">
        <v>243.99625068031128</v>
      </c>
      <c r="V2" s="251">
        <v>236.60613328895445</v>
      </c>
      <c r="W2" s="251">
        <v>155.95664657209241</v>
      </c>
      <c r="X2" s="251">
        <v>125.37923725600223</v>
      </c>
      <c r="Y2" s="251">
        <v>94.835519764386959</v>
      </c>
      <c r="Z2" s="251">
        <v>67.344573983111005</v>
      </c>
      <c r="AA2" s="251">
        <v>49.132225953470382</v>
      </c>
      <c r="AB2" s="251">
        <v>34.918072079932543</v>
      </c>
      <c r="AC2" s="251">
        <v>29.70774152470392</v>
      </c>
      <c r="AD2" s="251">
        <v>24.828892475391228</v>
      </c>
      <c r="AE2" s="251">
        <v>22.03047266932488</v>
      </c>
      <c r="AF2" s="251">
        <v>18.914706779590603</v>
      </c>
      <c r="AG2" s="251">
        <v>16.734242107895053</v>
      </c>
      <c r="AH2" s="251">
        <v>15.273163946583885</v>
      </c>
      <c r="AI2" s="251">
        <v>13.837338082009888</v>
      </c>
      <c r="AJ2" s="251">
        <v>12.5025970377636</v>
      </c>
      <c r="AK2" s="251">
        <v>11.171031694217051</v>
      </c>
      <c r="AL2" s="251">
        <v>9.8531201616499775</v>
      </c>
      <c r="AM2" s="251">
        <v>9.0069602765590613</v>
      </c>
      <c r="AN2" s="251">
        <v>8.1702799197616116</v>
      </c>
      <c r="AO2" s="251">
        <v>7.3395733407333337</v>
      </c>
      <c r="AP2" s="251">
        <v>6.5140057517230057</v>
      </c>
      <c r="AQ2" s="251">
        <v>5.6895271446334723</v>
      </c>
      <c r="AR2" s="251">
        <v>4.8664966435682651</v>
      </c>
      <c r="AS2" s="251">
        <v>4.0471375682652617</v>
      </c>
      <c r="AT2" s="251">
        <v>3.2313179133204781</v>
      </c>
      <c r="AU2" s="251">
        <v>2.4179384672031845</v>
      </c>
      <c r="AV2" s="251">
        <v>1.6103876465787832</v>
      </c>
      <c r="AW2" s="251">
        <v>0</v>
      </c>
      <c r="AX2" s="251">
        <v>0</v>
      </c>
      <c r="AY2" s="251">
        <v>0</v>
      </c>
      <c r="AZ2" s="251">
        <v>0</v>
      </c>
      <c r="BA2" s="251">
        <v>0</v>
      </c>
      <c r="BB2" s="251">
        <v>0</v>
      </c>
      <c r="BC2" s="251">
        <v>0</v>
      </c>
      <c r="BD2" s="251">
        <v>0</v>
      </c>
      <c r="BE2" s="251">
        <v>0</v>
      </c>
      <c r="BF2" s="251">
        <v>0</v>
      </c>
    </row>
    <row r="3" spans="1:58" s="250" customFormat="1" ht="15" hidden="1" customHeight="1" x14ac:dyDescent="0.15">
      <c r="A3" s="248" t="s">
        <v>257</v>
      </c>
      <c r="B3" s="249" t="s">
        <v>52</v>
      </c>
      <c r="C3" s="250" t="s">
        <v>413</v>
      </c>
      <c r="D3" s="248" t="s">
        <v>7</v>
      </c>
      <c r="E3" s="248" t="s">
        <v>262</v>
      </c>
      <c r="F3" s="189" t="s">
        <v>263</v>
      </c>
      <c r="G3" s="248" t="s">
        <v>364</v>
      </c>
      <c r="H3" s="190"/>
      <c r="I3" s="190"/>
      <c r="J3" s="190"/>
      <c r="K3" s="190"/>
      <c r="L3" s="190"/>
      <c r="M3" s="190"/>
      <c r="N3" s="190"/>
      <c r="O3" s="190"/>
      <c r="P3" s="190"/>
      <c r="Q3" s="190"/>
      <c r="R3" s="190"/>
      <c r="S3" s="190"/>
      <c r="T3" s="251">
        <v>231.9949792006787</v>
      </c>
      <c r="U3" s="251">
        <v>227.45113875850427</v>
      </c>
      <c r="V3" s="251">
        <v>219.4531462978868</v>
      </c>
      <c r="W3" s="251">
        <v>177.67565851384046</v>
      </c>
      <c r="X3" s="251">
        <v>150.48861434508524</v>
      </c>
      <c r="Y3" s="251">
        <v>123.73904004681809</v>
      </c>
      <c r="Z3" s="251">
        <v>90.051428912162052</v>
      </c>
      <c r="AA3" s="251">
        <v>67.69683531695739</v>
      </c>
      <c r="AB3" s="251">
        <v>50.961235382608216</v>
      </c>
      <c r="AC3" s="251">
        <v>41.365707658799501</v>
      </c>
      <c r="AD3" s="251">
        <v>33.828932642965626</v>
      </c>
      <c r="AE3" s="251">
        <v>27.588411602039184</v>
      </c>
      <c r="AF3" s="251">
        <v>22.964689094960498</v>
      </c>
      <c r="AG3" s="251">
        <v>19.239980066777797</v>
      </c>
      <c r="AH3" s="251">
        <v>16.818894849486686</v>
      </c>
      <c r="AI3" s="251">
        <v>14.902071508833862</v>
      </c>
      <c r="AJ3" s="251">
        <v>13.392810796584651</v>
      </c>
      <c r="AK3" s="251">
        <v>11.52289959025445</v>
      </c>
      <c r="AL3" s="251">
        <v>10.111223203116145</v>
      </c>
      <c r="AM3" s="251">
        <v>9.2377304652800571</v>
      </c>
      <c r="AN3" s="251">
        <v>8.3737854014295827</v>
      </c>
      <c r="AO3" s="251">
        <v>7.5159709256629386</v>
      </c>
      <c r="AP3" s="251">
        <v>6.6634672821163061</v>
      </c>
      <c r="AQ3" s="251">
        <v>5.8120612872913462</v>
      </c>
      <c r="AR3" s="251">
        <v>4.9621878273558497</v>
      </c>
      <c r="AS3" s="251">
        <v>4.116154118475702</v>
      </c>
      <c r="AT3" s="251">
        <v>3.2738167100813693</v>
      </c>
      <c r="AU3" s="251">
        <v>2.4341124796920006</v>
      </c>
      <c r="AV3" s="251">
        <v>1.6002956529359043</v>
      </c>
      <c r="AW3" s="251">
        <v>0</v>
      </c>
      <c r="AX3" s="251">
        <v>0</v>
      </c>
      <c r="AY3" s="251">
        <v>0</v>
      </c>
      <c r="AZ3" s="251">
        <v>0</v>
      </c>
      <c r="BA3" s="251">
        <v>0</v>
      </c>
      <c r="BB3" s="251">
        <v>0</v>
      </c>
      <c r="BC3" s="251">
        <v>0</v>
      </c>
      <c r="BD3" s="251">
        <v>0</v>
      </c>
      <c r="BE3" s="251">
        <v>0</v>
      </c>
      <c r="BF3" s="251">
        <v>0</v>
      </c>
    </row>
    <row r="4" spans="1:58" s="250" customFormat="1" ht="15" hidden="1" customHeight="1" x14ac:dyDescent="0.15">
      <c r="A4" s="248" t="s">
        <v>257</v>
      </c>
      <c r="B4" s="249" t="s">
        <v>52</v>
      </c>
      <c r="C4" s="250" t="s">
        <v>327</v>
      </c>
      <c r="D4" s="248" t="s">
        <v>7</v>
      </c>
      <c r="E4" s="248" t="s">
        <v>262</v>
      </c>
      <c r="F4" s="189" t="s">
        <v>263</v>
      </c>
      <c r="G4" s="248" t="s">
        <v>364</v>
      </c>
      <c r="H4" s="190"/>
      <c r="I4" s="190"/>
      <c r="J4" s="190"/>
      <c r="K4" s="190"/>
      <c r="L4" s="190"/>
      <c r="M4" s="190"/>
      <c r="N4" s="190"/>
      <c r="O4" s="190"/>
      <c r="P4" s="190"/>
      <c r="Q4" s="190"/>
      <c r="R4" s="190"/>
      <c r="S4" s="190"/>
      <c r="T4" s="251">
        <v>246.99482660525774</v>
      </c>
      <c r="U4" s="251">
        <v>243.76267843039994</v>
      </c>
      <c r="V4" s="251">
        <v>239.67902913342314</v>
      </c>
      <c r="W4" s="251">
        <v>222.73020340793369</v>
      </c>
      <c r="X4" s="251">
        <v>175.2699128617802</v>
      </c>
      <c r="Y4" s="251">
        <v>154.95863795486235</v>
      </c>
      <c r="Z4" s="251">
        <v>131.10500075233236</v>
      </c>
      <c r="AA4" s="251">
        <v>94.481981477457566</v>
      </c>
      <c r="AB4" s="251">
        <v>80.720302994770179</v>
      </c>
      <c r="AC4" s="251">
        <v>68.209108033293589</v>
      </c>
      <c r="AD4" s="251">
        <v>57.345861360088506</v>
      </c>
      <c r="AE4" s="251">
        <v>47.184192291477501</v>
      </c>
      <c r="AF4" s="251">
        <v>37.918183843115031</v>
      </c>
      <c r="AG4" s="251">
        <v>29.414158507332893</v>
      </c>
      <c r="AH4" s="251">
        <v>24.228258646385395</v>
      </c>
      <c r="AI4" s="251">
        <v>20.28909449168982</v>
      </c>
      <c r="AJ4" s="251">
        <v>16.959725445369479</v>
      </c>
      <c r="AK4" s="251">
        <v>13.664534413581874</v>
      </c>
      <c r="AL4" s="251">
        <v>10.884792797668984</v>
      </c>
      <c r="AM4" s="251">
        <v>9.9942577369043999</v>
      </c>
      <c r="AN4" s="251">
        <v>9.0861091391555178</v>
      </c>
      <c r="AO4" s="251">
        <v>8.1982428793701043</v>
      </c>
      <c r="AP4" s="251">
        <v>7.1718107078452569</v>
      </c>
      <c r="AQ4" s="251">
        <v>6.2244007209730539</v>
      </c>
      <c r="AR4" s="251">
        <v>5.3481512267224014</v>
      </c>
      <c r="AS4" s="251">
        <v>4.4729711788710178</v>
      </c>
      <c r="AT4" s="251">
        <v>3.5982301810646695</v>
      </c>
      <c r="AU4" s="251">
        <v>2.7244515242532317</v>
      </c>
      <c r="AV4" s="251">
        <v>1.8522327466329538</v>
      </c>
      <c r="AW4" s="251">
        <v>0</v>
      </c>
      <c r="AX4" s="251">
        <v>0</v>
      </c>
      <c r="AY4" s="251">
        <v>0</v>
      </c>
      <c r="AZ4" s="251">
        <v>0</v>
      </c>
      <c r="BA4" s="251">
        <v>0</v>
      </c>
      <c r="BB4" s="251">
        <v>0</v>
      </c>
      <c r="BC4" s="251">
        <v>0</v>
      </c>
      <c r="BD4" s="251">
        <v>0</v>
      </c>
      <c r="BE4" s="251">
        <v>0</v>
      </c>
      <c r="BF4" s="251">
        <v>0</v>
      </c>
    </row>
    <row r="5" spans="1:58" s="250" customFormat="1" ht="15" hidden="1" customHeight="1" x14ac:dyDescent="0.15">
      <c r="A5" s="248" t="s">
        <v>257</v>
      </c>
      <c r="B5" s="249" t="s">
        <v>52</v>
      </c>
      <c r="C5" s="250" t="s">
        <v>233</v>
      </c>
      <c r="D5" s="248" t="s">
        <v>7</v>
      </c>
      <c r="E5" s="248" t="s">
        <v>262</v>
      </c>
      <c r="F5" s="189" t="s">
        <v>263</v>
      </c>
      <c r="G5" s="248" t="s">
        <v>364</v>
      </c>
      <c r="H5" s="190"/>
      <c r="I5" s="190"/>
      <c r="J5" s="190"/>
      <c r="K5" s="190"/>
      <c r="L5" s="190"/>
      <c r="M5" s="190"/>
      <c r="N5" s="190"/>
      <c r="O5" s="190"/>
      <c r="P5" s="190"/>
      <c r="Q5" s="190"/>
      <c r="R5" s="190"/>
      <c r="S5" s="190"/>
      <c r="T5" s="251">
        <v>248.22234923920547</v>
      </c>
      <c r="U5" s="251">
        <v>243.89244455025249</v>
      </c>
      <c r="V5" s="251">
        <v>238.29667756867838</v>
      </c>
      <c r="W5" s="251">
        <v>178.31237358126782</v>
      </c>
      <c r="X5" s="251">
        <v>145.22162264544386</v>
      </c>
      <c r="Y5" s="251">
        <v>118.11969253284616</v>
      </c>
      <c r="Z5" s="251">
        <v>91.538468516800435</v>
      </c>
      <c r="AA5" s="251">
        <v>67.043723995653892</v>
      </c>
      <c r="AB5" s="251">
        <v>52.835116761402766</v>
      </c>
      <c r="AC5" s="251">
        <v>43.708143146401476</v>
      </c>
      <c r="AD5" s="251">
        <v>36.55735867915655</v>
      </c>
      <c r="AE5" s="251">
        <v>30.998719886139909</v>
      </c>
      <c r="AF5" s="251">
        <v>25.750851093167636</v>
      </c>
      <c r="AG5" s="251">
        <v>21.350875101975952</v>
      </c>
      <c r="AH5" s="251">
        <v>18.571913787287009</v>
      </c>
      <c r="AI5" s="251">
        <v>16.238113469054017</v>
      </c>
      <c r="AJ5" s="251">
        <v>14.179974005528372</v>
      </c>
      <c r="AK5" s="251">
        <v>12.074060756235745</v>
      </c>
      <c r="AL5" s="251">
        <v>10.220149318701074</v>
      </c>
      <c r="AM5" s="251">
        <v>9.3749164111962404</v>
      </c>
      <c r="AN5" s="251">
        <v>8.5114110325306136</v>
      </c>
      <c r="AO5" s="251">
        <v>7.6578478373309693</v>
      </c>
      <c r="AP5" s="251">
        <v>6.7540862419660916</v>
      </c>
      <c r="AQ5" s="251">
        <v>5.879770205593271</v>
      </c>
      <c r="AR5" s="251">
        <v>5.045206943444259</v>
      </c>
      <c r="AS5" s="251">
        <v>4.2019523425861598</v>
      </c>
      <c r="AT5" s="251">
        <v>3.3607714828779232</v>
      </c>
      <c r="AU5" s="251">
        <v>2.5213262790560584</v>
      </c>
      <c r="AV5" s="251">
        <v>1.6862964099628364</v>
      </c>
      <c r="AW5" s="251">
        <v>0</v>
      </c>
      <c r="AX5" s="251">
        <v>0</v>
      </c>
      <c r="AY5" s="251">
        <v>0</v>
      </c>
      <c r="AZ5" s="251">
        <v>0</v>
      </c>
      <c r="BA5" s="251">
        <v>0</v>
      </c>
      <c r="BB5" s="251">
        <v>0</v>
      </c>
      <c r="BC5" s="251">
        <v>0</v>
      </c>
      <c r="BD5" s="251">
        <v>0</v>
      </c>
      <c r="BE5" s="251">
        <v>0</v>
      </c>
      <c r="BF5" s="251">
        <v>0</v>
      </c>
    </row>
    <row r="6" spans="1:58" s="190" customFormat="1" ht="15" customHeight="1" x14ac:dyDescent="0.15">
      <c r="A6" s="189" t="s">
        <v>254</v>
      </c>
      <c r="B6" s="191" t="s">
        <v>52</v>
      </c>
      <c r="C6" s="190" t="s">
        <v>326</v>
      </c>
      <c r="D6" s="189" t="s">
        <v>256</v>
      </c>
      <c r="E6" s="189" t="s">
        <v>29</v>
      </c>
      <c r="F6" s="189" t="s">
        <v>258</v>
      </c>
      <c r="G6" s="189" t="s">
        <v>364</v>
      </c>
      <c r="T6" s="226">
        <v>8.9493439740926717E-2</v>
      </c>
      <c r="U6" s="226">
        <v>0.10328926613341638</v>
      </c>
      <c r="V6" s="226">
        <v>0.10265998296559076</v>
      </c>
      <c r="W6" s="226">
        <v>0.49999231070257932</v>
      </c>
      <c r="X6" s="226">
        <v>0.61699567504172537</v>
      </c>
      <c r="Y6" s="226">
        <v>0.73299543682784096</v>
      </c>
      <c r="Z6" s="226">
        <v>0.84999509823215014</v>
      </c>
      <c r="AA6" s="226">
        <v>0.9249961703748576</v>
      </c>
      <c r="AB6" s="226">
        <v>0.99999573105403616</v>
      </c>
      <c r="AC6" s="226">
        <v>0.99999625529670289</v>
      </c>
      <c r="AD6" s="226">
        <v>0.9999968502121539</v>
      </c>
      <c r="AE6" s="226">
        <v>0.99999743589378343</v>
      </c>
      <c r="AF6" s="226">
        <v>0.99999809360669967</v>
      </c>
      <c r="AG6" s="226">
        <v>0.9999987221598019</v>
      </c>
      <c r="AH6" s="226">
        <v>0.99999899557474659</v>
      </c>
      <c r="AI6" s="226">
        <v>0.99999924288389963</v>
      </c>
      <c r="AJ6" s="226">
        <v>0.99999951566665024</v>
      </c>
      <c r="AK6" s="226">
        <v>0.99999973285121901</v>
      </c>
      <c r="AL6" s="226">
        <v>1</v>
      </c>
      <c r="AM6" s="226">
        <v>1</v>
      </c>
      <c r="AN6" s="226">
        <v>1</v>
      </c>
      <c r="AO6" s="226">
        <v>1</v>
      </c>
      <c r="AP6" s="226">
        <v>1</v>
      </c>
      <c r="AQ6" s="226">
        <v>1</v>
      </c>
      <c r="AR6" s="226">
        <v>1</v>
      </c>
      <c r="AS6" s="226">
        <v>1</v>
      </c>
      <c r="AT6" s="226">
        <v>1</v>
      </c>
      <c r="AU6" s="226">
        <v>1</v>
      </c>
      <c r="AV6" s="226">
        <v>1</v>
      </c>
      <c r="AW6" s="192"/>
      <c r="AX6" s="192"/>
      <c r="AY6" s="192"/>
      <c r="AZ6" s="192"/>
      <c r="BA6" s="192"/>
      <c r="BB6" s="192"/>
      <c r="BC6" s="192"/>
      <c r="BD6" s="192"/>
      <c r="BE6" s="192"/>
      <c r="BF6" s="192"/>
    </row>
    <row r="7" spans="1:58" s="190" customFormat="1" ht="15" customHeight="1" x14ac:dyDescent="0.15">
      <c r="A7" s="189" t="s">
        <v>254</v>
      </c>
      <c r="B7" s="191" t="s">
        <v>52</v>
      </c>
      <c r="C7" s="190" t="s">
        <v>413</v>
      </c>
      <c r="D7" s="189" t="s">
        <v>256</v>
      </c>
      <c r="E7" s="189" t="s">
        <v>29</v>
      </c>
      <c r="F7" s="189" t="s">
        <v>258</v>
      </c>
      <c r="G7" s="189" t="s">
        <v>364</v>
      </c>
      <c r="T7" s="226">
        <v>0.216289286388966</v>
      </c>
      <c r="U7" s="226">
        <v>0.25011556037836469</v>
      </c>
      <c r="V7" s="226">
        <v>0.24999891430554444</v>
      </c>
      <c r="W7" s="226">
        <v>0.5</v>
      </c>
      <c r="X7" s="226">
        <v>0.6000001064163627</v>
      </c>
      <c r="Y7" s="226">
        <v>0.70000018086591032</v>
      </c>
      <c r="Z7" s="226">
        <v>0.84999998465697446</v>
      </c>
      <c r="AA7" s="226">
        <v>0.92500000240655178</v>
      </c>
      <c r="AB7" s="226">
        <v>0.99</v>
      </c>
      <c r="AC7" s="226">
        <v>1</v>
      </c>
      <c r="AD7" s="226">
        <v>1</v>
      </c>
      <c r="AE7" s="226">
        <v>1</v>
      </c>
      <c r="AF7" s="226">
        <v>1</v>
      </c>
      <c r="AG7" s="226">
        <v>1</v>
      </c>
      <c r="AH7" s="226">
        <v>1</v>
      </c>
      <c r="AI7" s="226">
        <v>1</v>
      </c>
      <c r="AJ7" s="226">
        <v>1</v>
      </c>
      <c r="AK7" s="226">
        <v>1</v>
      </c>
      <c r="AL7" s="226">
        <v>1</v>
      </c>
      <c r="AM7" s="226">
        <v>1</v>
      </c>
      <c r="AN7" s="226">
        <v>1</v>
      </c>
      <c r="AO7" s="226">
        <v>1</v>
      </c>
      <c r="AP7" s="226">
        <v>1</v>
      </c>
      <c r="AQ7" s="226">
        <v>1</v>
      </c>
      <c r="AR7" s="226">
        <v>1</v>
      </c>
      <c r="AS7" s="226">
        <v>1</v>
      </c>
      <c r="AT7" s="226">
        <v>1</v>
      </c>
      <c r="AU7" s="226">
        <v>1</v>
      </c>
      <c r="AV7" s="226">
        <v>1</v>
      </c>
      <c r="AW7" s="192"/>
      <c r="AX7" s="192"/>
      <c r="AY7" s="192"/>
      <c r="AZ7" s="192"/>
      <c r="BA7" s="192"/>
      <c r="BB7" s="192"/>
      <c r="BC7" s="192"/>
      <c r="BD7" s="192"/>
      <c r="BE7" s="192"/>
      <c r="BF7" s="192"/>
    </row>
    <row r="8" spans="1:58" s="190" customFormat="1" ht="15" customHeight="1" x14ac:dyDescent="0.15">
      <c r="A8" s="189" t="s">
        <v>254</v>
      </c>
      <c r="B8" s="191" t="s">
        <v>52</v>
      </c>
      <c r="C8" s="190" t="s">
        <v>327</v>
      </c>
      <c r="D8" s="189" t="s">
        <v>256</v>
      </c>
      <c r="E8" s="189" t="s">
        <v>29</v>
      </c>
      <c r="F8" s="189" t="s">
        <v>258</v>
      </c>
      <c r="G8" s="189" t="s">
        <v>364</v>
      </c>
      <c r="T8" s="226">
        <v>1.5998942133355256E-2</v>
      </c>
      <c r="U8" s="226">
        <v>3.0891088947703055E-2</v>
      </c>
      <c r="V8" s="226">
        <v>3.2204999763748583E-2</v>
      </c>
      <c r="W8" s="226">
        <v>0.10762649629913316</v>
      </c>
      <c r="X8" s="226">
        <v>0.38581886677467042</v>
      </c>
      <c r="Y8" s="226">
        <v>0.48275118567161457</v>
      </c>
      <c r="Z8" s="226">
        <v>0.57795645906874149</v>
      </c>
      <c r="AA8" s="226">
        <v>0.70508250956119378</v>
      </c>
      <c r="AB8" s="226">
        <v>0.75464779598984655</v>
      </c>
      <c r="AC8" s="226">
        <v>0.78839740829123217</v>
      </c>
      <c r="AD8" s="226">
        <v>0.82177903694763699</v>
      </c>
      <c r="AE8" s="226">
        <v>0.85491021035146875</v>
      </c>
      <c r="AF8" s="226">
        <v>0.89039865650281269</v>
      </c>
      <c r="AG8" s="226">
        <v>0.92621874200837784</v>
      </c>
      <c r="AH8" s="226">
        <v>0.94691898370225702</v>
      </c>
      <c r="AI8" s="226">
        <v>0.96005948737447411</v>
      </c>
      <c r="AJ8" s="226">
        <v>0.97304681701414208</v>
      </c>
      <c r="AK8" s="226">
        <v>0.98633149327369796</v>
      </c>
      <c r="AL8" s="226">
        <v>1</v>
      </c>
      <c r="AM8" s="226">
        <v>1</v>
      </c>
      <c r="AN8" s="226">
        <v>1</v>
      </c>
      <c r="AO8" s="226">
        <v>1</v>
      </c>
      <c r="AP8" s="226">
        <v>1</v>
      </c>
      <c r="AQ8" s="226">
        <v>1</v>
      </c>
      <c r="AR8" s="226">
        <v>1</v>
      </c>
      <c r="AS8" s="226">
        <v>1</v>
      </c>
      <c r="AT8" s="226">
        <v>1</v>
      </c>
      <c r="AU8" s="226">
        <v>1</v>
      </c>
      <c r="AV8" s="226">
        <v>1</v>
      </c>
      <c r="AW8" s="192"/>
      <c r="AX8" s="192"/>
      <c r="AY8" s="192"/>
      <c r="AZ8" s="192"/>
      <c r="BA8" s="192"/>
      <c r="BB8" s="192"/>
      <c r="BC8" s="192"/>
      <c r="BD8" s="192"/>
      <c r="BE8" s="192"/>
      <c r="BF8" s="192"/>
    </row>
    <row r="9" spans="1:58" s="190" customFormat="1" ht="15" customHeight="1" x14ac:dyDescent="0.15">
      <c r="A9" s="189" t="s">
        <v>254</v>
      </c>
      <c r="B9" s="191" t="s">
        <v>52</v>
      </c>
      <c r="C9" s="190" t="s">
        <v>233</v>
      </c>
      <c r="D9" s="189" t="s">
        <v>256</v>
      </c>
      <c r="E9" s="189" t="s">
        <v>29</v>
      </c>
      <c r="F9" s="189" t="s">
        <v>258</v>
      </c>
      <c r="G9" s="189" t="s">
        <v>364</v>
      </c>
      <c r="T9" s="226">
        <v>0.11853598332851799</v>
      </c>
      <c r="U9" s="226">
        <v>0.14227802939480202</v>
      </c>
      <c r="V9" s="226">
        <f>U9</f>
        <v>0.14227802939480202</v>
      </c>
      <c r="W9" s="226">
        <v>0.42646565565054345</v>
      </c>
      <c r="X9" s="226">
        <v>0.56112738353879721</v>
      </c>
      <c r="Y9" s="226">
        <v>0.66872715473417432</v>
      </c>
      <c r="Z9" s="226">
        <v>0.79023998238039528</v>
      </c>
      <c r="AA9" s="226">
        <v>0.87654980071993449</v>
      </c>
      <c r="AB9" s="226">
        <v>0.94566138156340607</v>
      </c>
      <c r="AC9" s="226">
        <v>0.95560578200009882</v>
      </c>
      <c r="AD9" s="226">
        <v>0.96232604660461418</v>
      </c>
      <c r="AE9" s="226">
        <v>0.96897585691715959</v>
      </c>
      <c r="AF9" s="226">
        <v>0.97621413236132792</v>
      </c>
      <c r="AG9" s="226">
        <v>0.98374260448425233</v>
      </c>
      <c r="AH9" s="226">
        <v>0.98734811013413903</v>
      </c>
      <c r="AI9" s="226">
        <v>0.99031799540353349</v>
      </c>
      <c r="AJ9" s="226">
        <v>0.99338550116267021</v>
      </c>
      <c r="AK9" s="226">
        <v>0.99661329145672151</v>
      </c>
      <c r="AL9" s="226">
        <v>1</v>
      </c>
      <c r="AM9" s="226">
        <v>1</v>
      </c>
      <c r="AN9" s="226">
        <v>1</v>
      </c>
      <c r="AO9" s="226">
        <v>1</v>
      </c>
      <c r="AP9" s="226">
        <v>1</v>
      </c>
      <c r="AQ9" s="226">
        <v>1</v>
      </c>
      <c r="AR9" s="226">
        <v>1</v>
      </c>
      <c r="AS9" s="226">
        <v>1</v>
      </c>
      <c r="AT9" s="226">
        <v>1</v>
      </c>
      <c r="AU9" s="226">
        <v>1</v>
      </c>
      <c r="AV9" s="226">
        <v>1</v>
      </c>
      <c r="AW9" s="192"/>
      <c r="AX9" s="192"/>
      <c r="AY9" s="192"/>
      <c r="AZ9" s="192"/>
      <c r="BA9" s="192"/>
      <c r="BB9" s="192"/>
      <c r="BC9" s="192"/>
      <c r="BD9" s="192"/>
      <c r="BE9" s="192"/>
      <c r="BF9" s="192"/>
    </row>
    <row r="10" spans="1:58" s="256" customFormat="1" ht="15" customHeight="1" x14ac:dyDescent="0.15">
      <c r="A10" s="254" t="s">
        <v>443</v>
      </c>
      <c r="B10" s="255" t="s">
        <v>52</v>
      </c>
      <c r="C10" s="256" t="s">
        <v>326</v>
      </c>
      <c r="D10" s="254" t="s">
        <v>7</v>
      </c>
      <c r="E10" s="254" t="s">
        <v>262</v>
      </c>
      <c r="F10" s="254" t="s">
        <v>364</v>
      </c>
      <c r="G10" s="254" t="s">
        <v>364</v>
      </c>
      <c r="T10" s="257">
        <v>215.902002391482</v>
      </c>
      <c r="U10" s="257">
        <v>211.19679198123899</v>
      </c>
      <c r="V10" s="257">
        <v>205.71042929551899</v>
      </c>
      <c r="W10" s="257">
        <v>123.492488977025</v>
      </c>
      <c r="X10" s="257">
        <v>93.228066430795096</v>
      </c>
      <c r="Y10" s="257">
        <v>63.433975567237297</v>
      </c>
      <c r="Z10" s="257">
        <v>36.851339066381101</v>
      </c>
      <c r="AA10" s="257">
        <v>19.803099025469301</v>
      </c>
      <c r="AB10" s="257">
        <v>6.7971261191430896</v>
      </c>
      <c r="AC10" s="257">
        <v>4.3281965824777204</v>
      </c>
      <c r="AD10" s="257">
        <v>2.06114067830682</v>
      </c>
      <c r="AE10" s="257">
        <v>1.47597446382033</v>
      </c>
      <c r="AF10" s="257">
        <v>0.41414245372820202</v>
      </c>
      <c r="AG10" s="257">
        <v>4.2877420755977197E-2</v>
      </c>
      <c r="AH10" s="257">
        <v>4.0056674106314201E-2</v>
      </c>
      <c r="AI10" s="257">
        <v>6.5954421214207094E-5</v>
      </c>
      <c r="AJ10" s="257">
        <v>3.95626274027646E-5</v>
      </c>
      <c r="AK10" s="257">
        <v>2.0851006947350201E-5</v>
      </c>
      <c r="AL10" s="257">
        <v>0</v>
      </c>
      <c r="AM10" s="257">
        <v>0</v>
      </c>
      <c r="AN10" s="257">
        <v>0</v>
      </c>
      <c r="AO10" s="257">
        <v>0</v>
      </c>
      <c r="AP10" s="257">
        <v>0</v>
      </c>
      <c r="AQ10" s="257">
        <v>0</v>
      </c>
      <c r="AR10" s="257">
        <v>0</v>
      </c>
      <c r="AS10" s="257">
        <v>0</v>
      </c>
      <c r="AT10" s="257">
        <v>0</v>
      </c>
      <c r="AU10" s="257">
        <v>0</v>
      </c>
      <c r="AV10" s="257">
        <v>0</v>
      </c>
      <c r="AW10" s="258"/>
      <c r="AX10" s="258"/>
      <c r="AY10" s="258"/>
      <c r="AZ10" s="258"/>
      <c r="BA10" s="258"/>
      <c r="BB10" s="258"/>
      <c r="BC10" s="258"/>
      <c r="BD10" s="258"/>
      <c r="BE10" s="258"/>
      <c r="BF10" s="258"/>
    </row>
    <row r="11" spans="1:58" s="261" customFormat="1" ht="15" customHeight="1" x14ac:dyDescent="0.15">
      <c r="A11" s="259" t="s">
        <v>443</v>
      </c>
      <c r="B11" s="260" t="s">
        <v>52</v>
      </c>
      <c r="C11" s="261" t="s">
        <v>413</v>
      </c>
      <c r="D11" s="259" t="s">
        <v>7</v>
      </c>
      <c r="E11" s="259" t="s">
        <v>262</v>
      </c>
      <c r="F11" s="259" t="s">
        <v>364</v>
      </c>
      <c r="G11" s="259" t="s">
        <v>364</v>
      </c>
      <c r="T11" s="262">
        <v>190.90177100526699</v>
      </c>
      <c r="U11" s="262">
        <v>185.63806288489801</v>
      </c>
      <c r="V11" s="262">
        <v>179.474770561908</v>
      </c>
      <c r="W11" s="262">
        <v>134.45590472722199</v>
      </c>
      <c r="X11" s="262">
        <v>108.17404301818</v>
      </c>
      <c r="Y11" s="262">
        <v>83.045861223448298</v>
      </c>
      <c r="Z11" s="262">
        <v>51.437149476912801</v>
      </c>
      <c r="AA11" s="262">
        <v>31.736429434750001</v>
      </c>
      <c r="AB11" s="262">
        <v>17.472000000000001</v>
      </c>
      <c r="AC11" s="262">
        <v>11.956</v>
      </c>
      <c r="AD11" s="262">
        <v>8.14</v>
      </c>
      <c r="AE11" s="262">
        <v>5.0309999999999997</v>
      </c>
      <c r="AF11" s="262">
        <v>2.952</v>
      </c>
      <c r="AG11" s="262">
        <v>1.4039999999999999</v>
      </c>
      <c r="AH11" s="262">
        <v>0.67</v>
      </c>
      <c r="AI11" s="262">
        <v>0.31900000000000001</v>
      </c>
      <c r="AJ11" s="262">
        <v>0.30399999999999999</v>
      </c>
      <c r="AK11" s="262">
        <v>0</v>
      </c>
      <c r="AL11" s="262">
        <v>0</v>
      </c>
      <c r="AM11" s="262">
        <v>0</v>
      </c>
      <c r="AN11" s="262">
        <v>0</v>
      </c>
      <c r="AO11" s="262">
        <v>0</v>
      </c>
      <c r="AP11" s="262">
        <v>0</v>
      </c>
      <c r="AQ11" s="262">
        <v>0</v>
      </c>
      <c r="AR11" s="262">
        <v>0</v>
      </c>
      <c r="AS11" s="262">
        <v>0</v>
      </c>
      <c r="AT11" s="262">
        <v>0</v>
      </c>
      <c r="AU11" s="262">
        <v>0</v>
      </c>
      <c r="AV11" s="262">
        <v>0</v>
      </c>
      <c r="AW11" s="263"/>
      <c r="AX11" s="263"/>
      <c r="AY11" s="263"/>
      <c r="AZ11" s="263"/>
      <c r="BA11" s="263"/>
      <c r="BB11" s="263"/>
      <c r="BC11" s="263"/>
      <c r="BD11" s="263"/>
      <c r="BE11" s="263"/>
      <c r="BF11" s="263"/>
    </row>
    <row r="12" spans="1:58" s="256" customFormat="1" ht="15" customHeight="1" x14ac:dyDescent="0.15">
      <c r="A12" s="254" t="s">
        <v>443</v>
      </c>
      <c r="B12" s="255" t="s">
        <v>52</v>
      </c>
      <c r="C12" s="256" t="s">
        <v>327</v>
      </c>
      <c r="D12" s="254" t="s">
        <v>7</v>
      </c>
      <c r="E12" s="254" t="s">
        <v>262</v>
      </c>
      <c r="F12" s="254" t="s">
        <v>364</v>
      </c>
      <c r="G12" s="254" t="s">
        <v>364</v>
      </c>
      <c r="T12" s="257">
        <v>212.75469501112499</v>
      </c>
      <c r="U12" s="257">
        <v>209.08353520386399</v>
      </c>
      <c r="V12" s="257">
        <v>206.40697182732899</v>
      </c>
      <c r="W12" s="257">
        <v>190.029713446947</v>
      </c>
      <c r="X12" s="257">
        <v>139.57662544551599</v>
      </c>
      <c r="Y12" s="257">
        <v>117.245573837712</v>
      </c>
      <c r="Z12" s="257">
        <v>95.772714691098201</v>
      </c>
      <c r="AA12" s="257">
        <v>61.372345282924499</v>
      </c>
      <c r="AB12" s="257">
        <v>49.8972461818433</v>
      </c>
      <c r="AC12" s="257">
        <v>40.432521711813202</v>
      </c>
      <c r="AD12" s="257">
        <v>32.0655934636289</v>
      </c>
      <c r="AE12" s="257">
        <v>24.450883385333501</v>
      </c>
      <c r="AF12" s="257">
        <v>17.532093753662998</v>
      </c>
      <c r="AG12" s="257">
        <v>11.2700303528989</v>
      </c>
      <c r="AH12" s="257">
        <v>7.7877485103571997</v>
      </c>
      <c r="AI12" s="257">
        <v>5.3858247131680796</v>
      </c>
      <c r="AJ12" s="257">
        <v>3.48330038263166</v>
      </c>
      <c r="AK12" s="257">
        <v>1.61811823357167</v>
      </c>
      <c r="AL12" s="257">
        <v>0.27500000000000002</v>
      </c>
      <c r="AM12" s="257">
        <v>0.26200000000000001</v>
      </c>
      <c r="AN12" s="257">
        <v>0.23132176377720601</v>
      </c>
      <c r="AO12" s="257">
        <v>0.22008810324404801</v>
      </c>
      <c r="AP12" s="257">
        <v>7.0622865897164794E-2</v>
      </c>
      <c r="AQ12" s="257">
        <v>0</v>
      </c>
      <c r="AR12" s="257">
        <v>0</v>
      </c>
      <c r="AS12" s="257">
        <v>0</v>
      </c>
      <c r="AT12" s="257">
        <v>0</v>
      </c>
      <c r="AU12" s="257">
        <v>0</v>
      </c>
      <c r="AV12" s="257">
        <v>0</v>
      </c>
      <c r="AW12" s="258"/>
      <c r="AX12" s="258"/>
      <c r="AY12" s="258"/>
      <c r="AZ12" s="258"/>
      <c r="BA12" s="258"/>
      <c r="BB12" s="258"/>
      <c r="BC12" s="258"/>
      <c r="BD12" s="258"/>
      <c r="BE12" s="258"/>
      <c r="BF12" s="258"/>
    </row>
    <row r="13" spans="1:58" s="261" customFormat="1" ht="15" customHeight="1" x14ac:dyDescent="0.15">
      <c r="A13" s="259" t="s">
        <v>443</v>
      </c>
      <c r="B13" s="260" t="s">
        <v>52</v>
      </c>
      <c r="C13" s="261" t="s">
        <v>233</v>
      </c>
      <c r="D13" s="259" t="s">
        <v>7</v>
      </c>
      <c r="E13" s="259" t="s">
        <v>262</v>
      </c>
      <c r="F13" s="259" t="s">
        <v>364</v>
      </c>
      <c r="G13" s="259" t="s">
        <v>364</v>
      </c>
      <c r="T13" s="262">
        <v>212.27033979759199</v>
      </c>
      <c r="U13" s="262">
        <v>207.45503918789501</v>
      </c>
      <c r="V13" s="262">
        <v>203.86283961666899</v>
      </c>
      <c r="W13" s="262">
        <v>142.06585153954299</v>
      </c>
      <c r="X13" s="262">
        <v>109.17376588630999</v>
      </c>
      <c r="Y13" s="262">
        <v>82.324538836816004</v>
      </c>
      <c r="Z13" s="262">
        <v>57.2613225798125</v>
      </c>
      <c r="AA13" s="262">
        <v>34.593601866442697</v>
      </c>
      <c r="AB13" s="262">
        <v>22.218637110364799</v>
      </c>
      <c r="AC13" s="262">
        <v>16.476530802890601</v>
      </c>
      <c r="AD13" s="262">
        <v>12.262018907921</v>
      </c>
      <c r="AE13" s="262">
        <v>9.2861009910271495</v>
      </c>
      <c r="AF13" s="262">
        <v>6.3138492499405698</v>
      </c>
      <c r="AG13" s="262">
        <v>3.93873000755113</v>
      </c>
      <c r="AH13" s="262">
        <v>2.7775261026470401</v>
      </c>
      <c r="AI13" s="262">
        <v>1.92014896511294</v>
      </c>
      <c r="AJ13" s="262">
        <v>1.26322860070419</v>
      </c>
      <c r="AK13" s="262">
        <v>0.580132006626215</v>
      </c>
      <c r="AL13" s="262">
        <v>9.9379123862663094E-2</v>
      </c>
      <c r="AM13" s="262">
        <v>9.7933191429684499E-2</v>
      </c>
      <c r="AN13" s="262">
        <v>8.7616180295002302E-2</v>
      </c>
      <c r="AO13" s="262">
        <v>8.4061086780907804E-2</v>
      </c>
      <c r="AP13" s="262">
        <v>2.7193700230571102E-2</v>
      </c>
      <c r="AQ13" s="262">
        <v>0</v>
      </c>
      <c r="AR13" s="262">
        <v>0</v>
      </c>
      <c r="AS13" s="262">
        <v>0</v>
      </c>
      <c r="AT13" s="262">
        <v>0</v>
      </c>
      <c r="AU13" s="262">
        <v>0</v>
      </c>
      <c r="AV13" s="262">
        <v>0</v>
      </c>
      <c r="AW13" s="263"/>
      <c r="AX13" s="263"/>
      <c r="AY13" s="263"/>
      <c r="AZ13" s="263"/>
      <c r="BA13" s="263"/>
      <c r="BB13" s="263"/>
      <c r="BC13" s="263"/>
      <c r="BD13" s="263"/>
      <c r="BE13" s="263"/>
      <c r="BF13" s="263"/>
    </row>
    <row r="14" spans="1:58" s="250" customFormat="1" ht="15" hidden="1" customHeight="1" x14ac:dyDescent="0.15">
      <c r="A14" s="248" t="s">
        <v>257</v>
      </c>
      <c r="B14" s="249" t="s">
        <v>52</v>
      </c>
      <c r="C14" s="250" t="s">
        <v>326</v>
      </c>
      <c r="D14" s="248" t="s">
        <v>7</v>
      </c>
      <c r="E14" s="248" t="s">
        <v>262</v>
      </c>
      <c r="F14" s="189" t="s">
        <v>263</v>
      </c>
      <c r="G14" s="248" t="s">
        <v>234</v>
      </c>
      <c r="H14" s="190"/>
      <c r="I14" s="190"/>
      <c r="J14" s="190"/>
      <c r="K14" s="190"/>
      <c r="L14" s="190"/>
      <c r="M14" s="190"/>
      <c r="N14" s="190"/>
      <c r="O14" s="190"/>
      <c r="P14" s="190"/>
      <c r="Q14" s="190"/>
      <c r="R14" s="190"/>
      <c r="S14" s="190"/>
      <c r="T14" s="251">
        <v>294.4008589074553</v>
      </c>
      <c r="U14" s="251">
        <v>291.05514855586216</v>
      </c>
      <c r="V14" s="251">
        <v>289.2111076392984</v>
      </c>
      <c r="W14" s="251">
        <v>235.43999726127333</v>
      </c>
      <c r="X14" s="251">
        <v>207.44273394434191</v>
      </c>
      <c r="Y14" s="251">
        <v>177.07466045929584</v>
      </c>
      <c r="Z14" s="251">
        <v>140.23334976888779</v>
      </c>
      <c r="AA14" s="251">
        <v>108.76213679091674</v>
      </c>
      <c r="AB14" s="251">
        <v>83.009432080381131</v>
      </c>
      <c r="AC14" s="251">
        <v>56.721452697334513</v>
      </c>
      <c r="AD14" s="251">
        <v>31.96061998371087</v>
      </c>
      <c r="AE14" s="251">
        <v>22.233594687528935</v>
      </c>
      <c r="AF14" s="251">
        <v>12.260156449008086</v>
      </c>
      <c r="AG14" s="251">
        <v>10.567345606161926</v>
      </c>
      <c r="AH14" s="251">
        <v>9.645772944985346</v>
      </c>
      <c r="AI14" s="251">
        <v>8.7579836551241232</v>
      </c>
      <c r="AJ14" s="251">
        <v>7.9119102337764975</v>
      </c>
      <c r="AK14" s="251">
        <v>7.0676373559291408</v>
      </c>
      <c r="AL14" s="251">
        <v>6.2321864358127117</v>
      </c>
      <c r="AM14" s="251">
        <v>5.6969295186816016</v>
      </c>
      <c r="AN14" s="251">
        <v>5.167545069590914</v>
      </c>
      <c r="AO14" s="251">
        <v>4.6418368338461518</v>
      </c>
      <c r="AP14" s="251">
        <v>4.1192779818646601</v>
      </c>
      <c r="AQ14" s="251">
        <v>3.5973512853952507</v>
      </c>
      <c r="AR14" s="251">
        <v>3.0762873738418541</v>
      </c>
      <c r="AS14" s="251">
        <v>2.5574657739946409</v>
      </c>
      <c r="AT14" s="251">
        <v>2.040804341212195</v>
      </c>
      <c r="AU14" s="251">
        <v>1.5256320552138913</v>
      </c>
      <c r="AV14" s="251">
        <v>1.0140168019848332</v>
      </c>
      <c r="AW14" s="251"/>
      <c r="AX14" s="251"/>
      <c r="AY14" s="251"/>
      <c r="AZ14" s="251"/>
      <c r="BA14" s="251"/>
      <c r="BB14" s="251"/>
      <c r="BC14" s="251"/>
      <c r="BD14" s="251"/>
      <c r="BE14" s="251"/>
      <c r="BF14" s="251"/>
    </row>
    <row r="15" spans="1:58" s="250" customFormat="1" ht="15" hidden="1" customHeight="1" x14ac:dyDescent="0.15">
      <c r="A15" s="248" t="s">
        <v>257</v>
      </c>
      <c r="B15" s="249" t="s">
        <v>52</v>
      </c>
      <c r="C15" s="250" t="s">
        <v>413</v>
      </c>
      <c r="D15" s="248" t="s">
        <v>7</v>
      </c>
      <c r="E15" s="248" t="s">
        <v>262</v>
      </c>
      <c r="F15" s="189" t="s">
        <v>263</v>
      </c>
      <c r="G15" s="248" t="s">
        <v>234</v>
      </c>
      <c r="H15" s="190"/>
      <c r="I15" s="190"/>
      <c r="J15" s="190"/>
      <c r="K15" s="190"/>
      <c r="L15" s="190"/>
      <c r="M15" s="190"/>
      <c r="N15" s="190"/>
      <c r="O15" s="190"/>
      <c r="P15" s="190"/>
      <c r="Q15" s="190"/>
      <c r="R15" s="190"/>
      <c r="S15" s="190"/>
      <c r="T15" s="251">
        <v>237.24522856296988</v>
      </c>
      <c r="U15" s="251">
        <v>234.95365046381735</v>
      </c>
      <c r="V15" s="251">
        <v>229.45770246036298</v>
      </c>
      <c r="W15" s="251">
        <v>212.20101592903768</v>
      </c>
      <c r="X15" s="251">
        <v>191.37171587786042</v>
      </c>
      <c r="Y15" s="251">
        <v>169.259639508411</v>
      </c>
      <c r="Z15" s="251">
        <v>139.59871061229444</v>
      </c>
      <c r="AA15" s="251">
        <v>113.37795672287257</v>
      </c>
      <c r="AB15" s="251">
        <v>89.433895051418119</v>
      </c>
      <c r="AC15" s="251">
        <v>64.958224605614248</v>
      </c>
      <c r="AD15" s="251">
        <v>42.77785686322045</v>
      </c>
      <c r="AE15" s="251">
        <v>28.943233232934105</v>
      </c>
      <c r="AF15" s="251">
        <v>17.225833329952863</v>
      </c>
      <c r="AG15" s="251">
        <v>13.485124774828046</v>
      </c>
      <c r="AH15" s="251">
        <v>11.291654875530348</v>
      </c>
      <c r="AI15" s="251">
        <v>9.761583892482955</v>
      </c>
      <c r="AJ15" s="251">
        <v>8.7882666115907266</v>
      </c>
      <c r="AK15" s="251">
        <v>7.3457862982452546</v>
      </c>
      <c r="AL15" s="251">
        <v>6.4480153926385926</v>
      </c>
      <c r="AM15" s="251">
        <v>5.8910265337866621</v>
      </c>
      <c r="AN15" s="251">
        <v>5.3403888605134409</v>
      </c>
      <c r="AO15" s="251">
        <v>4.7936989884644214</v>
      </c>
      <c r="AP15" s="251">
        <v>4.2503634739061651</v>
      </c>
      <c r="AQ15" s="251">
        <v>3.7076905477782685</v>
      </c>
      <c r="AR15" s="251">
        <v>3.1659541057782943</v>
      </c>
      <c r="AS15" s="251">
        <v>2.6266161394792067</v>
      </c>
      <c r="AT15" s="251">
        <v>2.0895858122805664</v>
      </c>
      <c r="AU15" s="251">
        <v>1.55419323026408</v>
      </c>
      <c r="AV15" s="251">
        <v>1.0224900492621145</v>
      </c>
      <c r="AW15" s="251"/>
      <c r="AX15" s="251"/>
      <c r="AY15" s="251"/>
      <c r="AZ15" s="251"/>
      <c r="BA15" s="251"/>
      <c r="BB15" s="251"/>
      <c r="BC15" s="251"/>
      <c r="BD15" s="251"/>
      <c r="BE15" s="251"/>
      <c r="BF15" s="251"/>
    </row>
    <row r="16" spans="1:58" s="250" customFormat="1" ht="15" hidden="1" customHeight="1" x14ac:dyDescent="0.15">
      <c r="A16" s="248" t="s">
        <v>257</v>
      </c>
      <c r="B16" s="249" t="s">
        <v>52</v>
      </c>
      <c r="C16" s="250" t="s">
        <v>327</v>
      </c>
      <c r="D16" s="248" t="s">
        <v>7</v>
      </c>
      <c r="E16" s="248" t="s">
        <v>262</v>
      </c>
      <c r="F16" s="189" t="s">
        <v>263</v>
      </c>
      <c r="G16" s="248" t="s">
        <v>234</v>
      </c>
      <c r="H16" s="190"/>
      <c r="I16" s="190"/>
      <c r="J16" s="190"/>
      <c r="K16" s="190"/>
      <c r="L16" s="190"/>
      <c r="M16" s="190"/>
      <c r="N16" s="190"/>
      <c r="O16" s="190"/>
      <c r="P16" s="190"/>
      <c r="Q16" s="190"/>
      <c r="R16" s="190"/>
      <c r="S16" s="190"/>
      <c r="T16" s="251">
        <v>251.96549972545222</v>
      </c>
      <c r="U16" s="251">
        <v>250.17023870936424</v>
      </c>
      <c r="V16" s="251">
        <v>249.2504375153228</v>
      </c>
      <c r="W16" s="251">
        <v>218.27801663744458</v>
      </c>
      <c r="X16" s="251">
        <v>202.83947198770727</v>
      </c>
      <c r="Y16" s="251">
        <v>184.54113472778994</v>
      </c>
      <c r="Z16" s="251">
        <v>161.65793355822109</v>
      </c>
      <c r="AA16" s="251">
        <v>138.80891491656601</v>
      </c>
      <c r="AB16" s="251">
        <v>116.79529165209952</v>
      </c>
      <c r="AC16" s="251">
        <v>99.194301837915276</v>
      </c>
      <c r="AD16" s="251">
        <v>82.978966437810058</v>
      </c>
      <c r="AE16" s="251">
        <v>70.88659236393633</v>
      </c>
      <c r="AF16" s="251">
        <v>60.592125191545833</v>
      </c>
      <c r="AG16" s="251">
        <v>48.143913679111712</v>
      </c>
      <c r="AH16" s="251">
        <v>37.135206182244879</v>
      </c>
      <c r="AI16" s="251">
        <v>26.866604632369267</v>
      </c>
      <c r="AJ16" s="251">
        <v>17.693425754828358</v>
      </c>
      <c r="AK16" s="251">
        <v>12.005923622197276</v>
      </c>
      <c r="AL16" s="251">
        <v>7.230004807772259</v>
      </c>
      <c r="AM16" s="251">
        <v>6.6459452418836324</v>
      </c>
      <c r="AN16" s="251">
        <v>5.9549704418115548</v>
      </c>
      <c r="AO16" s="251">
        <v>5.3796920910146024</v>
      </c>
      <c r="AP16" s="251">
        <v>4.6200295540215599</v>
      </c>
      <c r="AQ16" s="251">
        <v>3.9951625204338099</v>
      </c>
      <c r="AR16" s="251">
        <v>3.4316126118341228</v>
      </c>
      <c r="AS16" s="251">
        <v>2.8688536909763203</v>
      </c>
      <c r="AT16" s="251">
        <v>2.3064660736936586</v>
      </c>
      <c r="AU16" s="251">
        <v>1.7448142595717924</v>
      </c>
      <c r="AV16" s="251">
        <v>1.1842959741781378</v>
      </c>
      <c r="AW16" s="251"/>
      <c r="AX16" s="251"/>
      <c r="AY16" s="251"/>
      <c r="AZ16" s="251"/>
      <c r="BA16" s="251"/>
      <c r="BB16" s="251"/>
      <c r="BC16" s="251"/>
      <c r="BD16" s="251"/>
      <c r="BE16" s="251"/>
      <c r="BF16" s="251"/>
    </row>
    <row r="17" spans="1:58" s="250" customFormat="1" ht="15" hidden="1" customHeight="1" x14ac:dyDescent="0.15">
      <c r="A17" s="248" t="s">
        <v>257</v>
      </c>
      <c r="B17" s="249" t="s">
        <v>52</v>
      </c>
      <c r="C17" s="250" t="s">
        <v>233</v>
      </c>
      <c r="D17" s="248" t="s">
        <v>7</v>
      </c>
      <c r="E17" s="248" t="s">
        <v>262</v>
      </c>
      <c r="F17" s="189" t="s">
        <v>263</v>
      </c>
      <c r="G17" s="248" t="s">
        <v>234</v>
      </c>
      <c r="H17" s="190"/>
      <c r="I17" s="190"/>
      <c r="J17" s="190"/>
      <c r="K17" s="190"/>
      <c r="L17" s="190"/>
      <c r="M17" s="190"/>
      <c r="N17" s="190"/>
      <c r="O17" s="190"/>
      <c r="P17" s="190"/>
      <c r="Q17" s="190"/>
      <c r="R17" s="190"/>
      <c r="S17" s="190"/>
      <c r="T17" s="251">
        <v>282.38456906414081</v>
      </c>
      <c r="U17" s="251">
        <v>279.17680942217004</v>
      </c>
      <c r="V17" s="251">
        <v>273.94676207674735</v>
      </c>
      <c r="W17" s="251">
        <v>230.22037390980449</v>
      </c>
      <c r="X17" s="251">
        <v>204.49975182976462</v>
      </c>
      <c r="Y17" s="251">
        <v>176.90009526433042</v>
      </c>
      <c r="Z17" s="251">
        <v>143.26140209435141</v>
      </c>
      <c r="AA17" s="251">
        <v>114.01173999139509</v>
      </c>
      <c r="AB17" s="251">
        <v>88.906767823610011</v>
      </c>
      <c r="AC17" s="251">
        <v>64.416504217246143</v>
      </c>
      <c r="AD17" s="251">
        <v>41.511998292506441</v>
      </c>
      <c r="AE17" s="251">
        <v>30.928052127765334</v>
      </c>
      <c r="AF17" s="251">
        <v>20.667720936513756</v>
      </c>
      <c r="AG17" s="251">
        <v>16.944501009906901</v>
      </c>
      <c r="AH17" s="251">
        <v>14.23974488765233</v>
      </c>
      <c r="AI17" s="251">
        <v>11.804087915756808</v>
      </c>
      <c r="AJ17" s="251">
        <v>9.6519457042254295</v>
      </c>
      <c r="AK17" s="251">
        <v>7.9464702118835406</v>
      </c>
      <c r="AL17" s="251">
        <v>6.4828681619584776</v>
      </c>
      <c r="AM17" s="251">
        <v>5.927370114729281</v>
      </c>
      <c r="AN17" s="251">
        <v>5.3662110171678687</v>
      </c>
      <c r="AO17" s="251">
        <v>4.8251778803011387</v>
      </c>
      <c r="AP17" s="251">
        <v>4.260032790742339</v>
      </c>
      <c r="AQ17" s="251">
        <v>3.7150349400688061</v>
      </c>
      <c r="AR17" s="251">
        <v>3.1795567252363717</v>
      </c>
      <c r="AS17" s="251">
        <v>2.6460287290583171</v>
      </c>
      <c r="AT17" s="251">
        <v>2.1142588643588307</v>
      </c>
      <c r="AU17" s="251">
        <v>1.5840073038448896</v>
      </c>
      <c r="AV17" s="251">
        <v>1.0567577190844655</v>
      </c>
      <c r="AW17" s="251"/>
      <c r="AX17" s="251"/>
      <c r="AY17" s="251"/>
      <c r="AZ17" s="251"/>
      <c r="BA17" s="251"/>
      <c r="BB17" s="251"/>
      <c r="BC17" s="251"/>
      <c r="BD17" s="251"/>
      <c r="BE17" s="251"/>
      <c r="BF17" s="251"/>
    </row>
    <row r="18" spans="1:58" s="190" customFormat="1" ht="15" customHeight="1" x14ac:dyDescent="0.15">
      <c r="A18" s="189" t="s">
        <v>254</v>
      </c>
      <c r="B18" s="191" t="s">
        <v>52</v>
      </c>
      <c r="C18" s="190" t="s">
        <v>326</v>
      </c>
      <c r="D18" s="189" t="s">
        <v>256</v>
      </c>
      <c r="E18" s="189" t="s">
        <v>29</v>
      </c>
      <c r="F18" s="189" t="s">
        <v>258</v>
      </c>
      <c r="G18" s="189" t="s">
        <v>234</v>
      </c>
      <c r="T18" s="226">
        <v>2.03818680378565E-2</v>
      </c>
      <c r="U18" s="226">
        <v>2.7633422090810336E-2</v>
      </c>
      <c r="V18" s="226">
        <v>3.3082473588158814E-2</v>
      </c>
      <c r="W18" s="226">
        <v>0.22222136115881266</v>
      </c>
      <c r="X18" s="226">
        <v>0.29411656748590259</v>
      </c>
      <c r="Y18" s="226">
        <v>0.37499880955782222</v>
      </c>
      <c r="Z18" s="226">
        <v>0.4994217390413101</v>
      </c>
      <c r="AA18" s="226">
        <v>0.6077152976518676</v>
      </c>
      <c r="AB18" s="226">
        <v>0.69999822534825684</v>
      </c>
      <c r="AC18" s="226">
        <v>0.79999795389965411</v>
      </c>
      <c r="AD18" s="226">
        <v>0.89999782272903039</v>
      </c>
      <c r="AE18" s="226">
        <v>0.94999771420345336</v>
      </c>
      <c r="AF18" s="226">
        <v>0.99999760033912</v>
      </c>
      <c r="AG18" s="226">
        <v>0.99999812096212382</v>
      </c>
      <c r="AH18" s="226">
        <v>0.99999850210880026</v>
      </c>
      <c r="AI18" s="226">
        <v>0.99999908990933561</v>
      </c>
      <c r="AJ18" s="226">
        <v>0.99999943899553279</v>
      </c>
      <c r="AK18" s="226">
        <v>0.99999977930347728</v>
      </c>
      <c r="AL18" s="226">
        <v>1</v>
      </c>
      <c r="AM18" s="226">
        <v>1</v>
      </c>
      <c r="AN18" s="226">
        <v>1</v>
      </c>
      <c r="AO18" s="226">
        <v>1</v>
      </c>
      <c r="AP18" s="226">
        <v>1</v>
      </c>
      <c r="AQ18" s="226">
        <v>1</v>
      </c>
      <c r="AR18" s="226">
        <v>1</v>
      </c>
      <c r="AS18" s="226">
        <v>1</v>
      </c>
      <c r="AT18" s="226">
        <v>1</v>
      </c>
      <c r="AU18" s="226">
        <v>1</v>
      </c>
      <c r="AV18" s="226">
        <v>1</v>
      </c>
      <c r="AW18" s="192"/>
      <c r="AX18" s="192"/>
      <c r="AY18" s="192"/>
      <c r="AZ18" s="192"/>
      <c r="BA18" s="192"/>
      <c r="BB18" s="192"/>
      <c r="BC18" s="192"/>
      <c r="BD18" s="192"/>
      <c r="BE18" s="192"/>
      <c r="BF18" s="192"/>
    </row>
    <row r="19" spans="1:58" s="190" customFormat="1" ht="15" customHeight="1" x14ac:dyDescent="0.15">
      <c r="A19" s="189" t="s">
        <v>254</v>
      </c>
      <c r="B19" s="191" t="s">
        <v>52</v>
      </c>
      <c r="C19" s="190" t="s">
        <v>413</v>
      </c>
      <c r="D19" s="189" t="s">
        <v>256</v>
      </c>
      <c r="E19" s="189" t="s">
        <v>29</v>
      </c>
      <c r="F19" s="189" t="s">
        <v>258</v>
      </c>
      <c r="G19" s="189" t="s">
        <v>234</v>
      </c>
      <c r="T19" s="226">
        <v>9.866502676125545E-2</v>
      </c>
      <c r="U19" s="226">
        <v>0.11790702371585587</v>
      </c>
      <c r="V19" s="226">
        <v>0.11711714222897859</v>
      </c>
      <c r="W19" s="226">
        <v>0.22222222222222224</v>
      </c>
      <c r="X19" s="226">
        <v>0.2941176271576369</v>
      </c>
      <c r="Y19" s="226">
        <v>0.37500008171638399</v>
      </c>
      <c r="Z19" s="226">
        <v>0.49942314795677267</v>
      </c>
      <c r="AA19" s="226">
        <v>0.60771717814824355</v>
      </c>
      <c r="AB19" s="226">
        <v>0.70000003001041056</v>
      </c>
      <c r="AC19" s="226">
        <v>0.80000021063399773</v>
      </c>
      <c r="AD19" s="226">
        <v>0.90000013763185127</v>
      </c>
      <c r="AE19" s="226">
        <v>0.9500000336177169</v>
      </c>
      <c r="AF19" s="226">
        <v>1</v>
      </c>
      <c r="AG19" s="226">
        <v>1</v>
      </c>
      <c r="AH19" s="226">
        <v>1</v>
      </c>
      <c r="AI19" s="226">
        <v>1</v>
      </c>
      <c r="AJ19" s="226">
        <v>1</v>
      </c>
      <c r="AK19" s="226">
        <v>1</v>
      </c>
      <c r="AL19" s="226">
        <v>1</v>
      </c>
      <c r="AM19" s="226">
        <v>1</v>
      </c>
      <c r="AN19" s="226">
        <v>1</v>
      </c>
      <c r="AO19" s="226">
        <v>1</v>
      </c>
      <c r="AP19" s="226">
        <v>1</v>
      </c>
      <c r="AQ19" s="226">
        <v>1</v>
      </c>
      <c r="AR19" s="226">
        <v>1</v>
      </c>
      <c r="AS19" s="226">
        <v>1</v>
      </c>
      <c r="AT19" s="226">
        <v>1</v>
      </c>
      <c r="AU19" s="226">
        <v>1</v>
      </c>
      <c r="AV19" s="226">
        <v>1</v>
      </c>
      <c r="AW19" s="192"/>
      <c r="AX19" s="192"/>
      <c r="AY19" s="192"/>
      <c r="AZ19" s="192"/>
      <c r="BA19" s="192"/>
      <c r="BB19" s="192"/>
      <c r="BC19" s="192"/>
      <c r="BD19" s="192"/>
      <c r="BE19" s="192"/>
      <c r="BF19" s="192"/>
    </row>
    <row r="20" spans="1:58" s="190" customFormat="1" ht="15" customHeight="1" x14ac:dyDescent="0.15">
      <c r="A20" s="189" t="s">
        <v>254</v>
      </c>
      <c r="B20" s="191" t="s">
        <v>52</v>
      </c>
      <c r="C20" s="190" t="s">
        <v>327</v>
      </c>
      <c r="D20" s="189" t="s">
        <v>256</v>
      </c>
      <c r="E20" s="189" t="s">
        <v>29</v>
      </c>
      <c r="F20" s="189" t="s">
        <v>258</v>
      </c>
      <c r="G20" s="189" t="s">
        <v>234</v>
      </c>
      <c r="T20" s="226">
        <v>1.4195605916275714E-3</v>
      </c>
      <c r="U20" s="226">
        <v>1.974666122166303E-3</v>
      </c>
      <c r="V20" s="226">
        <v>2.3104163067887372E-3</v>
      </c>
      <c r="W20" s="226">
        <v>5.5767170814424102E-2</v>
      </c>
      <c r="X20" s="226">
        <v>8.7877091010097122E-2</v>
      </c>
      <c r="Y20" s="226">
        <v>0.12453011799319053</v>
      </c>
      <c r="Z20" s="226">
        <v>0.19378149340178183</v>
      </c>
      <c r="AA20" s="226">
        <v>0.27280709103628004</v>
      </c>
      <c r="AB20" s="226">
        <v>0.36625497606048663</v>
      </c>
      <c r="AC20" s="226">
        <v>0.41905358786630276</v>
      </c>
      <c r="AD20" s="226">
        <v>0.46774185737461843</v>
      </c>
      <c r="AE20" s="226">
        <v>0.5068171577591597</v>
      </c>
      <c r="AF20" s="226">
        <v>0.54092727516085293</v>
      </c>
      <c r="AG20" s="226">
        <v>0.63240124508183704</v>
      </c>
      <c r="AH20" s="226">
        <v>0.72400660189016686</v>
      </c>
      <c r="AI20" s="226">
        <v>0.81578936111912781</v>
      </c>
      <c r="AJ20" s="226">
        <v>0.90778013826060333</v>
      </c>
      <c r="AK20" s="226">
        <v>0.95382370018016349</v>
      </c>
      <c r="AL20" s="226">
        <v>1</v>
      </c>
      <c r="AM20" s="226">
        <v>1</v>
      </c>
      <c r="AN20" s="226">
        <v>1</v>
      </c>
      <c r="AO20" s="226">
        <v>1</v>
      </c>
      <c r="AP20" s="226">
        <v>1</v>
      </c>
      <c r="AQ20" s="226">
        <v>1</v>
      </c>
      <c r="AR20" s="226">
        <v>1</v>
      </c>
      <c r="AS20" s="226">
        <v>1</v>
      </c>
      <c r="AT20" s="226">
        <v>1</v>
      </c>
      <c r="AU20" s="226">
        <v>1</v>
      </c>
      <c r="AV20" s="226">
        <v>1</v>
      </c>
      <c r="AW20" s="192"/>
      <c r="AX20" s="192"/>
      <c r="AY20" s="192"/>
      <c r="AZ20" s="192"/>
      <c r="BA20" s="192"/>
      <c r="BB20" s="192"/>
      <c r="BC20" s="192"/>
      <c r="BD20" s="192"/>
      <c r="BE20" s="192"/>
      <c r="BF20" s="192"/>
    </row>
    <row r="21" spans="1:58" s="190" customFormat="1" ht="15" customHeight="1" x14ac:dyDescent="0.15">
      <c r="A21" s="189" t="s">
        <v>254</v>
      </c>
      <c r="B21" s="191" t="s">
        <v>52</v>
      </c>
      <c r="C21" s="190" t="s">
        <v>233</v>
      </c>
      <c r="D21" s="189" t="s">
        <v>256</v>
      </c>
      <c r="E21" s="189" t="s">
        <v>29</v>
      </c>
      <c r="F21" s="189" t="s">
        <v>258</v>
      </c>
      <c r="G21" s="189" t="s">
        <v>234</v>
      </c>
      <c r="T21" s="226">
        <v>2.4964802310785066E-2</v>
      </c>
      <c r="U21" s="226">
        <v>3.1796101860331362E-2</v>
      </c>
      <c r="V21" s="226">
        <v>4.5102915753461516E-2</v>
      </c>
      <c r="W21" s="226">
        <v>0.19102765833293492</v>
      </c>
      <c r="X21" s="226">
        <v>0.25423362220113926</v>
      </c>
      <c r="Y21" s="226">
        <v>0.32487201841318553</v>
      </c>
      <c r="Z21" s="226">
        <v>0.43502319815195184</v>
      </c>
      <c r="AA21" s="226">
        <v>0.53641417637541944</v>
      </c>
      <c r="AB21" s="226">
        <v>0.63017467114297865</v>
      </c>
      <c r="AC21" s="226">
        <v>0.71048206446696638</v>
      </c>
      <c r="AD21" s="226">
        <v>0.79633754361083731</v>
      </c>
      <c r="AE21" s="226">
        <v>0.84204728422576081</v>
      </c>
      <c r="AF21" s="226">
        <v>0.88761208751199816</v>
      </c>
      <c r="AG21" s="226">
        <v>0.91013736374616816</v>
      </c>
      <c r="AH21" s="226">
        <v>0.93261251515888932</v>
      </c>
      <c r="AI21" s="226">
        <v>0.95491951690624333</v>
      </c>
      <c r="AJ21" s="226">
        <v>0.97737382873427525</v>
      </c>
      <c r="AK21" s="226">
        <v>0.98863963026285617</v>
      </c>
      <c r="AL21" s="226">
        <v>1</v>
      </c>
      <c r="AM21" s="226">
        <v>1</v>
      </c>
      <c r="AN21" s="226">
        <v>1</v>
      </c>
      <c r="AO21" s="226">
        <v>1</v>
      </c>
      <c r="AP21" s="226">
        <v>1</v>
      </c>
      <c r="AQ21" s="226">
        <v>1</v>
      </c>
      <c r="AR21" s="226">
        <v>1</v>
      </c>
      <c r="AS21" s="226">
        <v>1</v>
      </c>
      <c r="AT21" s="226">
        <v>1</v>
      </c>
      <c r="AU21" s="226">
        <v>1</v>
      </c>
      <c r="AV21" s="226">
        <v>1</v>
      </c>
      <c r="AW21" s="192"/>
      <c r="AX21" s="192"/>
      <c r="AY21" s="192"/>
      <c r="AZ21" s="192"/>
      <c r="BA21" s="192"/>
      <c r="BB21" s="192"/>
      <c r="BC21" s="192"/>
      <c r="BD21" s="192"/>
      <c r="BE21" s="192"/>
      <c r="BF21" s="192"/>
    </row>
    <row r="22" spans="1:58" s="256" customFormat="1" ht="15" customHeight="1" x14ac:dyDescent="0.15">
      <c r="A22" s="254" t="s">
        <v>443</v>
      </c>
      <c r="B22" s="255" t="s">
        <v>52</v>
      </c>
      <c r="C22" s="256" t="s">
        <v>326</v>
      </c>
      <c r="D22" s="254" t="s">
        <v>7</v>
      </c>
      <c r="E22" s="254" t="s">
        <v>262</v>
      </c>
      <c r="F22" s="254"/>
      <c r="G22" s="254" t="s">
        <v>234</v>
      </c>
      <c r="T22" s="257">
        <v>275.81743572575198</v>
      </c>
      <c r="U22" s="257">
        <v>272.40964419751401</v>
      </c>
      <c r="V22" s="257">
        <v>271.48960252292898</v>
      </c>
      <c r="W22" s="257">
        <v>216.68503512274901</v>
      </c>
      <c r="X22" s="257">
        <v>189.16302880884001</v>
      </c>
      <c r="Y22" s="257">
        <v>159.40786949216999</v>
      </c>
      <c r="Z22" s="257">
        <v>122.940251528901</v>
      </c>
      <c r="AA22" s="257">
        <v>92.113881460153806</v>
      </c>
      <c r="AB22" s="257">
        <v>67.1296299748347</v>
      </c>
      <c r="AC22" s="257">
        <v>41.782016946361701</v>
      </c>
      <c r="AD22" s="257">
        <v>18.0100587777541</v>
      </c>
      <c r="AE22" s="257">
        <v>9.4364657197933504</v>
      </c>
      <c r="AF22" s="257">
        <v>0.55909448067393497</v>
      </c>
      <c r="AG22" s="257">
        <v>4.7303119512563802E-3</v>
      </c>
      <c r="AH22" s="257">
        <v>4.4168974357580697E-3</v>
      </c>
      <c r="AI22" s="257">
        <v>1.69961503746785E-4</v>
      </c>
      <c r="AJ22" s="257">
        <v>9.8492126521604505E-5</v>
      </c>
      <c r="AK22" s="257">
        <v>4.2549779509232101E-5</v>
      </c>
      <c r="AL22" s="257">
        <v>0</v>
      </c>
      <c r="AM22" s="257">
        <v>0</v>
      </c>
      <c r="AN22" s="257">
        <v>0</v>
      </c>
      <c r="AO22" s="257">
        <v>0</v>
      </c>
      <c r="AP22" s="257">
        <v>0</v>
      </c>
      <c r="AQ22" s="257">
        <v>0</v>
      </c>
      <c r="AR22" s="257">
        <v>0</v>
      </c>
      <c r="AS22" s="257">
        <v>0</v>
      </c>
      <c r="AT22" s="257">
        <v>0</v>
      </c>
      <c r="AU22" s="257">
        <v>0</v>
      </c>
      <c r="AV22" s="257">
        <v>0</v>
      </c>
      <c r="AW22" s="258"/>
      <c r="AX22" s="258"/>
      <c r="AY22" s="258"/>
      <c r="AZ22" s="258"/>
      <c r="BA22" s="258"/>
      <c r="BB22" s="258"/>
      <c r="BC22" s="258"/>
      <c r="BD22" s="258"/>
      <c r="BE22" s="258"/>
      <c r="BF22" s="258"/>
    </row>
    <row r="23" spans="1:58" s="261" customFormat="1" ht="15" customHeight="1" x14ac:dyDescent="0.15">
      <c r="A23" s="259" t="s">
        <v>443</v>
      </c>
      <c r="B23" s="260" t="s">
        <v>52</v>
      </c>
      <c r="C23" s="261" t="s">
        <v>413</v>
      </c>
      <c r="D23" s="259" t="s">
        <v>7</v>
      </c>
      <c r="E23" s="259" t="s">
        <v>262</v>
      </c>
      <c r="F23" s="259"/>
      <c r="G23" s="259" t="s">
        <v>234</v>
      </c>
      <c r="T23" s="262">
        <v>214.25132316981899</v>
      </c>
      <c r="U23" s="262">
        <v>211.73483237099799</v>
      </c>
      <c r="V23" s="262">
        <v>207.12464721549301</v>
      </c>
      <c r="W23" s="262">
        <v>189.25985444444399</v>
      </c>
      <c r="X23" s="262">
        <v>168.865886094232</v>
      </c>
      <c r="Y23" s="262">
        <v>147.43004790859001</v>
      </c>
      <c r="Z23" s="262">
        <v>118.256605041285</v>
      </c>
      <c r="AA23" s="262">
        <v>93.101964632313397</v>
      </c>
      <c r="AB23" s="262">
        <v>70.376715731409206</v>
      </c>
      <c r="AC23" s="262">
        <v>47.418716962292699</v>
      </c>
      <c r="AD23" s="262">
        <v>26.806800923888201</v>
      </c>
      <c r="AE23" s="262">
        <v>14.703141692568</v>
      </c>
      <c r="AF23" s="262">
        <v>4.4320000000000004</v>
      </c>
      <c r="AG23" s="262">
        <v>2.1080000000000001</v>
      </c>
      <c r="AH23" s="262">
        <v>1.004</v>
      </c>
      <c r="AI23" s="262">
        <v>0.47799999999999998</v>
      </c>
      <c r="AJ23" s="262">
        <v>0.45600000000000002</v>
      </c>
      <c r="AK23" s="262">
        <v>0</v>
      </c>
      <c r="AL23" s="262">
        <v>0</v>
      </c>
      <c r="AM23" s="262">
        <v>0</v>
      </c>
      <c r="AN23" s="262">
        <v>0</v>
      </c>
      <c r="AO23" s="262">
        <v>0</v>
      </c>
      <c r="AP23" s="262">
        <v>0</v>
      </c>
      <c r="AQ23" s="262">
        <v>0</v>
      </c>
      <c r="AR23" s="262">
        <v>0</v>
      </c>
      <c r="AS23" s="262">
        <v>0</v>
      </c>
      <c r="AT23" s="262">
        <v>0</v>
      </c>
      <c r="AU23" s="262">
        <v>0</v>
      </c>
      <c r="AV23" s="262">
        <v>0</v>
      </c>
      <c r="AW23" s="263"/>
      <c r="AX23" s="263"/>
      <c r="AY23" s="263"/>
      <c r="AZ23" s="263"/>
      <c r="BA23" s="263"/>
      <c r="BB23" s="263"/>
      <c r="BC23" s="263"/>
      <c r="BD23" s="263"/>
      <c r="BE23" s="263"/>
      <c r="BF23" s="263"/>
    </row>
    <row r="24" spans="1:58" s="256" customFormat="1" ht="15" customHeight="1" x14ac:dyDescent="0.15">
      <c r="A24" s="254" t="s">
        <v>443</v>
      </c>
      <c r="B24" s="255" t="s">
        <v>52</v>
      </c>
      <c r="C24" s="256" t="s">
        <v>327</v>
      </c>
      <c r="D24" s="254" t="s">
        <v>7</v>
      </c>
      <c r="E24" s="254" t="s">
        <v>262</v>
      </c>
      <c r="F24" s="254"/>
      <c r="G24" s="254" t="s">
        <v>234</v>
      </c>
      <c r="T24" s="257">
        <v>231.08522799125299</v>
      </c>
      <c r="U24" s="257">
        <v>229.24134376411001</v>
      </c>
      <c r="V24" s="257">
        <v>229.17846382625399</v>
      </c>
      <c r="W24" s="257">
        <v>198.380787058538</v>
      </c>
      <c r="X24" s="257">
        <v>183.647537249875</v>
      </c>
      <c r="Y24" s="257">
        <v>166.10161096298901</v>
      </c>
      <c r="Z24" s="257">
        <v>143.931963499375</v>
      </c>
      <c r="AA24" s="257">
        <v>121.864956126208</v>
      </c>
      <c r="AB24" s="257">
        <v>100.721252596067</v>
      </c>
      <c r="AC24" s="257">
        <v>84.344736712754099</v>
      </c>
      <c r="AD24" s="257">
        <v>69.195203472704705</v>
      </c>
      <c r="AE24" s="257">
        <v>58.258856146033303</v>
      </c>
      <c r="AF24" s="257">
        <v>49.066486060390297</v>
      </c>
      <c r="AG24" s="257">
        <v>37.5831617907942</v>
      </c>
      <c r="AH24" s="257">
        <v>27.303921157658799</v>
      </c>
      <c r="AI24" s="257">
        <v>17.720097596511501</v>
      </c>
      <c r="AJ24" s="257">
        <v>9.2219726764893508</v>
      </c>
      <c r="AK24" s="257">
        <v>4.3493511732690999</v>
      </c>
      <c r="AL24" s="257">
        <v>0.41299999999999998</v>
      </c>
      <c r="AM24" s="257">
        <v>0.39400000000000002</v>
      </c>
      <c r="AN24" s="257">
        <v>0.26770866786002601</v>
      </c>
      <c r="AO24" s="257">
        <v>0.25640170594196099</v>
      </c>
      <c r="AP24" s="257">
        <v>6.0890698625949403E-2</v>
      </c>
      <c r="AQ24" s="257">
        <v>0</v>
      </c>
      <c r="AR24" s="257">
        <v>0</v>
      </c>
      <c r="AS24" s="257">
        <v>0</v>
      </c>
      <c r="AT24" s="257">
        <v>0</v>
      </c>
      <c r="AU24" s="257">
        <v>0</v>
      </c>
      <c r="AV24" s="257">
        <v>0</v>
      </c>
      <c r="AW24" s="258"/>
      <c r="AX24" s="258"/>
      <c r="AY24" s="258"/>
      <c r="AZ24" s="258"/>
      <c r="BA24" s="258"/>
      <c r="BB24" s="258"/>
      <c r="BC24" s="258"/>
      <c r="BD24" s="258"/>
      <c r="BE24" s="258"/>
      <c r="BF24" s="258"/>
    </row>
    <row r="25" spans="1:58" s="261" customFormat="1" ht="15" customHeight="1" x14ac:dyDescent="0.15">
      <c r="A25" s="259" t="s">
        <v>443</v>
      </c>
      <c r="B25" s="260" t="s">
        <v>52</v>
      </c>
      <c r="C25" s="261" t="s">
        <v>233</v>
      </c>
      <c r="D25" s="259" t="s">
        <v>7</v>
      </c>
      <c r="E25" s="259" t="s">
        <v>262</v>
      </c>
      <c r="F25" s="259"/>
      <c r="G25" s="259" t="s">
        <v>234</v>
      </c>
      <c r="T25" s="262">
        <v>262.796738206079</v>
      </c>
      <c r="U25" s="262">
        <v>259.49607266484298</v>
      </c>
      <c r="V25" s="262">
        <v>255.046593952325</v>
      </c>
      <c r="W25" s="262">
        <v>210.56127117782299</v>
      </c>
      <c r="X25" s="262">
        <v>185.22564467497</v>
      </c>
      <c r="Y25" s="262">
        <v>158.238665838061</v>
      </c>
      <c r="Z25" s="262">
        <v>125.00748141506701</v>
      </c>
      <c r="AA25" s="262">
        <v>96.512350178052102</v>
      </c>
      <c r="AB25" s="262">
        <v>72.3146929204527</v>
      </c>
      <c r="AC25" s="262">
        <v>49.015274275345497</v>
      </c>
      <c r="AD25" s="262">
        <v>27.228113619345699</v>
      </c>
      <c r="AE25" s="262">
        <v>17.905610171218701</v>
      </c>
      <c r="AF25" s="262">
        <v>8.8070593454112291</v>
      </c>
      <c r="AG25" s="262">
        <v>6.2299662143160601</v>
      </c>
      <c r="AH25" s="262">
        <v>4.4289538136467002</v>
      </c>
      <c r="AI25" s="262">
        <v>2.8491583227486399</v>
      </c>
      <c r="AJ25" s="262">
        <v>1.5203376855669299</v>
      </c>
      <c r="AK25" s="262">
        <v>0.67951422764811598</v>
      </c>
      <c r="AL25" s="262">
        <v>6.4506820068279999E-2</v>
      </c>
      <c r="AM25" s="262">
        <v>5.7591974993691702E-2</v>
      </c>
      <c r="AN25" s="262">
        <v>3.87791570160212E-2</v>
      </c>
      <c r="AO25" s="262">
        <v>3.6997423210277998E-2</v>
      </c>
      <c r="AP25" s="262">
        <v>8.7468837252830303E-3</v>
      </c>
      <c r="AQ25" s="262">
        <v>0</v>
      </c>
      <c r="AR25" s="262">
        <v>0</v>
      </c>
      <c r="AS25" s="262">
        <v>0</v>
      </c>
      <c r="AT25" s="262">
        <v>0</v>
      </c>
      <c r="AU25" s="262">
        <v>0</v>
      </c>
      <c r="AV25" s="262">
        <v>0</v>
      </c>
      <c r="AW25" s="263"/>
      <c r="AX25" s="263"/>
      <c r="AY25" s="263"/>
      <c r="AZ25" s="263"/>
      <c r="BA25" s="263"/>
      <c r="BB25" s="263"/>
      <c r="BC25" s="263"/>
      <c r="BD25" s="263"/>
      <c r="BE25" s="263"/>
      <c r="BF25" s="263"/>
    </row>
    <row r="26" spans="1:58" s="250" customFormat="1" ht="15" hidden="1" customHeight="1" x14ac:dyDescent="0.15">
      <c r="A26" s="248" t="s">
        <v>257</v>
      </c>
      <c r="B26" s="249" t="s">
        <v>52</v>
      </c>
      <c r="C26" s="250" t="s">
        <v>326</v>
      </c>
      <c r="D26" s="248" t="s">
        <v>7</v>
      </c>
      <c r="E26" s="248" t="s">
        <v>262</v>
      </c>
      <c r="F26" s="189" t="s">
        <v>263</v>
      </c>
      <c r="G26" s="248" t="s">
        <v>331</v>
      </c>
      <c r="H26" s="190"/>
      <c r="I26" s="190"/>
      <c r="J26" s="190"/>
      <c r="K26" s="190"/>
      <c r="L26" s="190"/>
      <c r="M26" s="190"/>
      <c r="N26" s="190"/>
      <c r="O26" s="190"/>
      <c r="P26" s="190"/>
      <c r="Q26" s="190"/>
      <c r="R26" s="190"/>
      <c r="S26" s="190"/>
      <c r="T26" s="251">
        <v>62.374837675826427</v>
      </c>
      <c r="U26" s="251">
        <v>61.843259077269977</v>
      </c>
      <c r="V26" s="251">
        <v>60.667995991043895</v>
      </c>
      <c r="W26" s="251">
        <v>55.564907383681032</v>
      </c>
      <c r="X26" s="251">
        <v>49.49589758052435</v>
      </c>
      <c r="Y26" s="251">
        <v>42.383207310264602</v>
      </c>
      <c r="Z26" s="251">
        <v>35.412331861368273</v>
      </c>
      <c r="AA26" s="251">
        <v>28.082366325567975</v>
      </c>
      <c r="AB26" s="251">
        <v>22.137185406387879</v>
      </c>
      <c r="AC26" s="251">
        <v>16.450460018027261</v>
      </c>
      <c r="AD26" s="251">
        <v>11.81463174011153</v>
      </c>
      <c r="AE26" s="251">
        <v>8.1972277111154686</v>
      </c>
      <c r="AF26" s="251">
        <v>5.5434932053053743</v>
      </c>
      <c r="AG26" s="251">
        <v>3.3761612883606009</v>
      </c>
      <c r="AH26" s="251">
        <v>1.5969245320614365</v>
      </c>
      <c r="AI26" s="251">
        <v>1.3934124995856436</v>
      </c>
      <c r="AJ26" s="251">
        <v>1.2601265015543925</v>
      </c>
      <c r="AK26" s="251">
        <v>1.1265321628787583</v>
      </c>
      <c r="AL26" s="251">
        <v>0.99501664672417789</v>
      </c>
      <c r="AM26" s="251">
        <v>0.90933865000925496</v>
      </c>
      <c r="AN26" s="251">
        <v>0.82502587354256463</v>
      </c>
      <c r="AO26" s="251">
        <v>0.74156117781731734</v>
      </c>
      <c r="AP26" s="251">
        <v>0.65881910136003186</v>
      </c>
      <c r="AQ26" s="251">
        <v>0.57619703353701501</v>
      </c>
      <c r="AR26" s="251">
        <v>0.49375595809874129</v>
      </c>
      <c r="AS26" s="251">
        <v>0.41182554316803971</v>
      </c>
      <c r="AT26" s="251">
        <v>0.33038601349078567</v>
      </c>
      <c r="AU26" s="251">
        <v>0.24928477620213224</v>
      </c>
      <c r="AV26" s="251">
        <v>0.16899166313165032</v>
      </c>
      <c r="AW26" s="251"/>
      <c r="AX26" s="251"/>
      <c r="AY26" s="251"/>
      <c r="AZ26" s="251"/>
      <c r="BA26" s="251"/>
      <c r="BB26" s="251"/>
      <c r="BC26" s="251"/>
      <c r="BD26" s="251"/>
      <c r="BE26" s="251"/>
      <c r="BF26" s="251"/>
    </row>
    <row r="27" spans="1:58" s="250" customFormat="1" ht="15" hidden="1" customHeight="1" x14ac:dyDescent="0.15">
      <c r="A27" s="248" t="s">
        <v>257</v>
      </c>
      <c r="B27" s="249" t="s">
        <v>52</v>
      </c>
      <c r="C27" s="250" t="s">
        <v>413</v>
      </c>
      <c r="D27" s="248" t="s">
        <v>7</v>
      </c>
      <c r="E27" s="248" t="s">
        <v>262</v>
      </c>
      <c r="F27" s="189" t="s">
        <v>263</v>
      </c>
      <c r="G27" s="248" t="s">
        <v>331</v>
      </c>
      <c r="H27" s="190"/>
      <c r="I27" s="190"/>
      <c r="J27" s="190"/>
      <c r="K27" s="190"/>
      <c r="L27" s="190"/>
      <c r="M27" s="190"/>
      <c r="N27" s="190"/>
      <c r="O27" s="190"/>
      <c r="P27" s="190"/>
      <c r="Q27" s="190"/>
      <c r="R27" s="190"/>
      <c r="S27" s="190"/>
      <c r="T27" s="251">
        <v>67.821349298658689</v>
      </c>
      <c r="U27" s="251">
        <v>66.024264596056653</v>
      </c>
      <c r="V27" s="251">
        <v>61.992939902388024</v>
      </c>
      <c r="W27" s="251">
        <v>57.541339676022439</v>
      </c>
      <c r="X27" s="251">
        <v>52.744386173692014</v>
      </c>
      <c r="Y27" s="251">
        <v>47.653556738584975</v>
      </c>
      <c r="Z27" s="251">
        <v>41.987201791952359</v>
      </c>
      <c r="AA27" s="251">
        <v>36.813582537991081</v>
      </c>
      <c r="AB27" s="251">
        <v>29.767371771785253</v>
      </c>
      <c r="AC27" s="251">
        <v>22.544823685465037</v>
      </c>
      <c r="AD27" s="251">
        <v>17.073063746654871</v>
      </c>
      <c r="AE27" s="251">
        <v>11.669827336909471</v>
      </c>
      <c r="AF27" s="251">
        <v>8.1557050336086725</v>
      </c>
      <c r="AG27" s="251">
        <v>4.8541840450563543</v>
      </c>
      <c r="AH27" s="251">
        <v>2.2444388368209731</v>
      </c>
      <c r="AI27" s="251">
        <v>1.7716439245596394</v>
      </c>
      <c r="AJ27" s="251">
        <v>1.6232686908614136</v>
      </c>
      <c r="AK27" s="251">
        <v>1.1610378042299254</v>
      </c>
      <c r="AL27" s="251">
        <v>1.0215928669903009</v>
      </c>
      <c r="AM27" s="251">
        <v>0.93323889538082738</v>
      </c>
      <c r="AN27" s="251">
        <v>0.84630909117352671</v>
      </c>
      <c r="AO27" s="251">
        <v>0.76026080983416067</v>
      </c>
      <c r="AP27" s="251">
        <v>0.67496038731823904</v>
      </c>
      <c r="AQ27" s="251">
        <v>0.58978372081113417</v>
      </c>
      <c r="AR27" s="251">
        <v>0.50479712168277646</v>
      </c>
      <c r="AS27" s="251">
        <v>0.42034041240351172</v>
      </c>
      <c r="AT27" s="251">
        <v>0.33639274742994107</v>
      </c>
      <c r="AU27" s="251">
        <v>0.25280167259247838</v>
      </c>
      <c r="AV27" s="251">
        <v>0.17003502121168787</v>
      </c>
      <c r="AW27" s="251"/>
      <c r="AX27" s="251"/>
      <c r="AY27" s="251"/>
      <c r="AZ27" s="251"/>
      <c r="BA27" s="251"/>
      <c r="BB27" s="251"/>
      <c r="BC27" s="251"/>
      <c r="BD27" s="251"/>
      <c r="BE27" s="251"/>
      <c r="BF27" s="251"/>
    </row>
    <row r="28" spans="1:58" s="250" customFormat="1" ht="15" hidden="1" customHeight="1" x14ac:dyDescent="0.15">
      <c r="A28" s="248" t="s">
        <v>257</v>
      </c>
      <c r="B28" s="249" t="s">
        <v>52</v>
      </c>
      <c r="C28" s="250" t="s">
        <v>327</v>
      </c>
      <c r="D28" s="248" t="s">
        <v>7</v>
      </c>
      <c r="E28" s="248" t="s">
        <v>262</v>
      </c>
      <c r="F28" s="189" t="s">
        <v>263</v>
      </c>
      <c r="G28" s="248" t="s">
        <v>331</v>
      </c>
      <c r="H28" s="190"/>
      <c r="I28" s="190"/>
      <c r="J28" s="190"/>
      <c r="K28" s="190"/>
      <c r="L28" s="190"/>
      <c r="M28" s="190"/>
      <c r="N28" s="190"/>
      <c r="O28" s="190"/>
      <c r="P28" s="190"/>
      <c r="Q28" s="190"/>
      <c r="R28" s="190"/>
      <c r="S28" s="190"/>
      <c r="T28" s="251">
        <v>63.157100591063909</v>
      </c>
      <c r="U28" s="251">
        <v>62.260743660416573</v>
      </c>
      <c r="V28" s="251">
        <v>61.000913129101221</v>
      </c>
      <c r="W28" s="251">
        <v>57.739199149296127</v>
      </c>
      <c r="X28" s="251">
        <v>53.028556025189538</v>
      </c>
      <c r="Y28" s="251">
        <v>47.494803898536411</v>
      </c>
      <c r="Z28" s="251">
        <v>41.161619941188924</v>
      </c>
      <c r="AA28" s="251">
        <v>34.267433045765181</v>
      </c>
      <c r="AB28" s="251">
        <v>28.253328565240828</v>
      </c>
      <c r="AC28" s="251">
        <v>21.835253548112206</v>
      </c>
      <c r="AD28" s="251">
        <v>16.898753353777863</v>
      </c>
      <c r="AE28" s="251">
        <v>11.993203673795346</v>
      </c>
      <c r="AF28" s="251">
        <v>8.9032666326274139</v>
      </c>
      <c r="AG28" s="251">
        <v>5.9975636661761316</v>
      </c>
      <c r="AH28" s="251">
        <v>3.5889866925486853</v>
      </c>
      <c r="AI28" s="251">
        <v>2.8107082540851787</v>
      </c>
      <c r="AJ28" s="251">
        <v>2.3151109798094827</v>
      </c>
      <c r="AK28" s="251">
        <v>1.6263735127133456</v>
      </c>
      <c r="AL28" s="251">
        <v>1.4186290217197834</v>
      </c>
      <c r="AM28" s="251">
        <v>1.3223218148969837</v>
      </c>
      <c r="AN28" s="251">
        <v>1.2216734606232036</v>
      </c>
      <c r="AO28" s="251">
        <v>1.1257630725191152</v>
      </c>
      <c r="AP28" s="251">
        <v>0.81036789253555919</v>
      </c>
      <c r="AQ28" s="251">
        <v>0.66797894447463335</v>
      </c>
      <c r="AR28" s="251">
        <v>0.57515809083705405</v>
      </c>
      <c r="AS28" s="251">
        <v>0.48260344996531124</v>
      </c>
      <c r="AT28" s="251">
        <v>0.39020425119655866</v>
      </c>
      <c r="AU28" s="251">
        <v>0.29806856874028825</v>
      </c>
      <c r="AV28" s="251">
        <v>0.2063014799599317</v>
      </c>
      <c r="AW28" s="251"/>
      <c r="AX28" s="251"/>
      <c r="AY28" s="251"/>
      <c r="AZ28" s="251"/>
      <c r="BA28" s="251"/>
      <c r="BB28" s="251"/>
      <c r="BC28" s="251"/>
      <c r="BD28" s="251"/>
      <c r="BE28" s="251"/>
      <c r="BF28" s="251"/>
    </row>
    <row r="29" spans="1:58" s="250" customFormat="1" ht="15" hidden="1" customHeight="1" x14ac:dyDescent="0.15">
      <c r="A29" s="248" t="s">
        <v>257</v>
      </c>
      <c r="B29" s="249" t="s">
        <v>52</v>
      </c>
      <c r="C29" s="250" t="s">
        <v>233</v>
      </c>
      <c r="D29" s="248" t="s">
        <v>7</v>
      </c>
      <c r="E29" s="248" t="s">
        <v>262</v>
      </c>
      <c r="F29" s="189" t="s">
        <v>263</v>
      </c>
      <c r="G29" s="248" t="s">
        <v>331</v>
      </c>
      <c r="H29" s="190"/>
      <c r="I29" s="190"/>
      <c r="J29" s="190"/>
      <c r="K29" s="190"/>
      <c r="L29" s="190"/>
      <c r="M29" s="190"/>
      <c r="N29" s="190"/>
      <c r="O29" s="190"/>
      <c r="P29" s="190"/>
      <c r="Q29" s="190"/>
      <c r="R29" s="190"/>
      <c r="S29" s="190"/>
      <c r="T29" s="251">
        <v>65.55192075662201</v>
      </c>
      <c r="U29" s="251">
        <v>64.126929615108409</v>
      </c>
      <c r="V29" s="251">
        <v>61.194686670570498</v>
      </c>
      <c r="W29" s="251">
        <v>57.56608449954048</v>
      </c>
      <c r="X29" s="251">
        <v>52.909807415167947</v>
      </c>
      <c r="Y29" s="251">
        <v>47.433194113896569</v>
      </c>
      <c r="Z29" s="251">
        <v>41.23619242373551</v>
      </c>
      <c r="AA29" s="251">
        <v>34.750126303595167</v>
      </c>
      <c r="AB29" s="251">
        <v>28.522160496576497</v>
      </c>
      <c r="AC29" s="251">
        <v>21.819379090656394</v>
      </c>
      <c r="AD29" s="251">
        <v>16.74765205835509</v>
      </c>
      <c r="AE29" s="251">
        <v>11.76781612803722</v>
      </c>
      <c r="AF29" s="251">
        <v>8.6116212005932304</v>
      </c>
      <c r="AG29" s="251">
        <v>5.6693634249538061</v>
      </c>
      <c r="AH29" s="251">
        <v>3.2773247361970288</v>
      </c>
      <c r="AI29" s="251">
        <v>2.5758728033558747</v>
      </c>
      <c r="AJ29" s="251">
        <v>2.1515656268516423</v>
      </c>
      <c r="AK29" s="251">
        <v>1.5216463693721152</v>
      </c>
      <c r="AL29" s="251">
        <v>1.3288146723452183</v>
      </c>
      <c r="AM29" s="251">
        <v>1.2285170524672806</v>
      </c>
      <c r="AN29" s="251">
        <v>1.1351062846351865</v>
      </c>
      <c r="AO29" s="251">
        <v>1.0463684177124095</v>
      </c>
      <c r="AP29" s="251">
        <v>0.7815083479431737</v>
      </c>
      <c r="AQ29" s="251">
        <v>0.65146496616389005</v>
      </c>
      <c r="AR29" s="251">
        <v>0.56082154548143148</v>
      </c>
      <c r="AS29" s="251">
        <v>0.46996730059880437</v>
      </c>
      <c r="AT29" s="251">
        <v>0.37925921414842251</v>
      </c>
      <c r="AU29" s="251">
        <v>0.28886213796286525</v>
      </c>
      <c r="AV29" s="251">
        <v>0.1990326464173191</v>
      </c>
      <c r="AW29" s="251"/>
      <c r="AX29" s="251"/>
      <c r="AY29" s="251"/>
      <c r="AZ29" s="251"/>
      <c r="BA29" s="251"/>
      <c r="BB29" s="251"/>
      <c r="BC29" s="251"/>
      <c r="BD29" s="251"/>
      <c r="BE29" s="251"/>
      <c r="BF29" s="251"/>
    </row>
    <row r="30" spans="1:58" s="190" customFormat="1" ht="15" customHeight="1" x14ac:dyDescent="0.15">
      <c r="A30" s="189" t="s">
        <v>254</v>
      </c>
      <c r="B30" s="191" t="s">
        <v>52</v>
      </c>
      <c r="C30" s="190" t="s">
        <v>326</v>
      </c>
      <c r="D30" s="189" t="s">
        <v>256</v>
      </c>
      <c r="E30" s="189" t="s">
        <v>29</v>
      </c>
      <c r="F30" s="189" t="s">
        <v>258</v>
      </c>
      <c r="G30" s="189" t="s">
        <v>331</v>
      </c>
      <c r="T30" s="226">
        <v>4.9592852828858981E-2</v>
      </c>
      <c r="U30" s="226">
        <v>4.4222483747877107E-2</v>
      </c>
      <c r="V30" s="226">
        <f>Table2[[#This Row],[2022]]</f>
        <v>4.9592852828858981E-2</v>
      </c>
      <c r="W30" s="226">
        <v>0.15792263965115724</v>
      </c>
      <c r="X30" s="226">
        <v>0.26676056755430716</v>
      </c>
      <c r="Y30" s="226">
        <v>0.37797973596404172</v>
      </c>
      <c r="Z30" s="226">
        <v>0.48876689510358501</v>
      </c>
      <c r="AA30" s="226">
        <v>0.59999940338341273</v>
      </c>
      <c r="AB30" s="226">
        <v>0.68999916152653773</v>
      </c>
      <c r="AC30" s="226">
        <v>0.78000001083957382</v>
      </c>
      <c r="AD30" s="226">
        <v>0.83999984635367086</v>
      </c>
      <c r="AE30" s="226">
        <v>0.89999977730591385</v>
      </c>
      <c r="AF30" s="226">
        <v>0.9329998725447155</v>
      </c>
      <c r="AG30" s="226">
        <v>0.96700009552846222</v>
      </c>
      <c r="AH30" s="226">
        <v>0.99</v>
      </c>
      <c r="AI30" s="226">
        <v>1</v>
      </c>
      <c r="AJ30" s="226">
        <v>1</v>
      </c>
      <c r="AK30" s="226">
        <v>1</v>
      </c>
      <c r="AL30" s="226">
        <v>1</v>
      </c>
      <c r="AM30" s="226">
        <v>1</v>
      </c>
      <c r="AN30" s="226">
        <v>1</v>
      </c>
      <c r="AO30" s="226">
        <v>1</v>
      </c>
      <c r="AP30" s="226">
        <v>1</v>
      </c>
      <c r="AQ30" s="226">
        <v>1</v>
      </c>
      <c r="AR30" s="226">
        <v>1</v>
      </c>
      <c r="AS30" s="226">
        <v>1</v>
      </c>
      <c r="AT30" s="226">
        <v>1</v>
      </c>
      <c r="AU30" s="226">
        <v>1</v>
      </c>
      <c r="AV30" s="226">
        <v>1</v>
      </c>
      <c r="AW30" s="192"/>
      <c r="AX30" s="192"/>
      <c r="AY30" s="192"/>
      <c r="AZ30" s="192"/>
      <c r="BA30" s="192"/>
      <c r="BB30" s="192"/>
      <c r="BC30" s="192"/>
      <c r="BD30" s="192"/>
      <c r="BE30" s="192"/>
      <c r="BF30" s="192"/>
    </row>
    <row r="31" spans="1:58" s="190" customFormat="1" ht="15" customHeight="1" x14ac:dyDescent="0.15">
      <c r="A31" s="189" t="s">
        <v>254</v>
      </c>
      <c r="B31" s="191" t="s">
        <v>52</v>
      </c>
      <c r="C31" s="190" t="s">
        <v>413</v>
      </c>
      <c r="D31" s="189" t="s">
        <v>256</v>
      </c>
      <c r="E31" s="189" t="s">
        <v>29</v>
      </c>
      <c r="F31" s="189" t="s">
        <v>258</v>
      </c>
      <c r="G31" s="189" t="s">
        <v>331</v>
      </c>
      <c r="T31" s="226">
        <v>0.38911123060055752</v>
      </c>
      <c r="U31" s="226">
        <v>0.30445187391410133</v>
      </c>
      <c r="V31" s="226">
        <v>0.30399993025162614</v>
      </c>
      <c r="W31" s="226">
        <v>0.36399992930252062</v>
      </c>
      <c r="X31" s="226">
        <v>0.42299999748700434</v>
      </c>
      <c r="Y31" s="226">
        <v>0.4819999876982422</v>
      </c>
      <c r="Z31" s="226">
        <v>0.54099998496988788</v>
      </c>
      <c r="AA31" s="226">
        <v>0.59999996253734789</v>
      </c>
      <c r="AB31" s="226">
        <v>0.68999998479968261</v>
      </c>
      <c r="AC31" s="226">
        <v>0.78000004471105744</v>
      </c>
      <c r="AD31" s="226">
        <v>0.84000001389474754</v>
      </c>
      <c r="AE31" s="226">
        <v>0.8999999880944074</v>
      </c>
      <c r="AF31" s="226">
        <v>0.93300001944565714</v>
      </c>
      <c r="AG31" s="226">
        <v>0.96700001508170264</v>
      </c>
      <c r="AH31" s="226">
        <v>0.99</v>
      </c>
      <c r="AI31" s="226">
        <v>1</v>
      </c>
      <c r="AJ31" s="226">
        <v>1</v>
      </c>
      <c r="AK31" s="226">
        <v>1</v>
      </c>
      <c r="AL31" s="226">
        <v>1</v>
      </c>
      <c r="AM31" s="226">
        <v>1</v>
      </c>
      <c r="AN31" s="226">
        <v>1</v>
      </c>
      <c r="AO31" s="226">
        <v>1</v>
      </c>
      <c r="AP31" s="226">
        <v>1</v>
      </c>
      <c r="AQ31" s="226">
        <v>1</v>
      </c>
      <c r="AR31" s="226">
        <v>1</v>
      </c>
      <c r="AS31" s="226">
        <v>1</v>
      </c>
      <c r="AT31" s="226">
        <v>1</v>
      </c>
      <c r="AU31" s="226">
        <v>1</v>
      </c>
      <c r="AV31" s="226">
        <v>1</v>
      </c>
      <c r="AW31" s="192"/>
      <c r="AX31" s="192"/>
      <c r="AY31" s="192"/>
      <c r="AZ31" s="192"/>
      <c r="BA31" s="192"/>
      <c r="BB31" s="192"/>
      <c r="BC31" s="192"/>
      <c r="BD31" s="192"/>
      <c r="BE31" s="192"/>
      <c r="BF31" s="192"/>
    </row>
    <row r="32" spans="1:58" s="190" customFormat="1" ht="15" customHeight="1" x14ac:dyDescent="0.15">
      <c r="A32" s="189" t="s">
        <v>254</v>
      </c>
      <c r="B32" s="191" t="s">
        <v>52</v>
      </c>
      <c r="C32" s="190" t="s">
        <v>327</v>
      </c>
      <c r="D32" s="189" t="s">
        <v>256</v>
      </c>
      <c r="E32" s="189" t="s">
        <v>29</v>
      </c>
      <c r="F32" s="189" t="s">
        <v>258</v>
      </c>
      <c r="G32" s="189" t="s">
        <v>331</v>
      </c>
      <c r="T32" s="226">
        <v>4.0140775624774333E-2</v>
      </c>
      <c r="U32" s="226">
        <v>4.8934868304304643E-2</v>
      </c>
      <c r="V32" s="226">
        <v>5.6733638375325947E-2</v>
      </c>
      <c r="W32" s="226">
        <v>0.16501295970468416</v>
      </c>
      <c r="X32" s="226">
        <v>0.27601435384067635</v>
      </c>
      <c r="Y32" s="226">
        <v>0.38381684393478965</v>
      </c>
      <c r="Z32" s="226">
        <v>0.49200980850427223</v>
      </c>
      <c r="AA32" s="226">
        <v>0.60000002350958637</v>
      </c>
      <c r="AB32" s="226">
        <v>0.69000001475623851</v>
      </c>
      <c r="AC32" s="226">
        <v>0.7800000181599317</v>
      </c>
      <c r="AD32" s="226">
        <v>0.84000001107869093</v>
      </c>
      <c r="AE32" s="226">
        <v>0.89999996657267689</v>
      </c>
      <c r="AF32" s="226">
        <v>0.93300001278548861</v>
      </c>
      <c r="AG32" s="226">
        <v>0.96700001940386782</v>
      </c>
      <c r="AH32" s="226">
        <v>0.99</v>
      </c>
      <c r="AI32" s="226">
        <v>1</v>
      </c>
      <c r="AJ32" s="226">
        <v>1</v>
      </c>
      <c r="AK32" s="226">
        <v>1</v>
      </c>
      <c r="AL32" s="226">
        <v>1</v>
      </c>
      <c r="AM32" s="226">
        <v>1</v>
      </c>
      <c r="AN32" s="226">
        <v>1</v>
      </c>
      <c r="AO32" s="226">
        <v>1</v>
      </c>
      <c r="AP32" s="226">
        <v>1</v>
      </c>
      <c r="AQ32" s="226">
        <v>1</v>
      </c>
      <c r="AR32" s="226">
        <v>1</v>
      </c>
      <c r="AS32" s="226">
        <v>1</v>
      </c>
      <c r="AT32" s="226">
        <v>1</v>
      </c>
      <c r="AU32" s="226">
        <v>1</v>
      </c>
      <c r="AV32" s="226">
        <v>1</v>
      </c>
      <c r="AW32" s="192"/>
      <c r="AX32" s="192"/>
      <c r="AY32" s="192"/>
      <c r="AZ32" s="192"/>
      <c r="BA32" s="192"/>
      <c r="BB32" s="192"/>
      <c r="BC32" s="192"/>
      <c r="BD32" s="192"/>
      <c r="BE32" s="192"/>
      <c r="BF32" s="192"/>
    </row>
    <row r="33" spans="1:58" s="190" customFormat="1" ht="15" customHeight="1" x14ac:dyDescent="0.15">
      <c r="A33" s="189" t="s">
        <v>254</v>
      </c>
      <c r="B33" s="191" t="s">
        <v>52</v>
      </c>
      <c r="C33" s="190" t="s">
        <v>233</v>
      </c>
      <c r="D33" s="189" t="s">
        <v>256</v>
      </c>
      <c r="E33" s="189" t="s">
        <v>29</v>
      </c>
      <c r="F33" s="189" t="s">
        <v>258</v>
      </c>
      <c r="G33" s="189" t="s">
        <v>331</v>
      </c>
      <c r="T33" s="226">
        <v>0.23265248774043487</v>
      </c>
      <c r="U33" s="226">
        <v>0.18625347693853794</v>
      </c>
      <c r="V33" s="226">
        <v>0.11262943188903769</v>
      </c>
      <c r="W33" s="226">
        <v>0.20549274872698492</v>
      </c>
      <c r="X33" s="226">
        <v>0.30968580711297294</v>
      </c>
      <c r="Y33" s="226">
        <v>0.4074807095807701</v>
      </c>
      <c r="Z33" s="226">
        <v>0.50436718416593063</v>
      </c>
      <c r="AA33" s="226">
        <v>0.59999999664189851</v>
      </c>
      <c r="AB33" s="226">
        <v>0.68999999232919951</v>
      </c>
      <c r="AC33" s="226">
        <v>0.78000002578974048</v>
      </c>
      <c r="AD33" s="226">
        <v>0.84000000680145281</v>
      </c>
      <c r="AE33" s="226">
        <v>0.89999996692953288</v>
      </c>
      <c r="AF33" s="226">
        <v>0.93300001056811821</v>
      </c>
      <c r="AG33" s="226">
        <v>0.96700002038282817</v>
      </c>
      <c r="AH33" s="226">
        <v>0.99</v>
      </c>
      <c r="AI33" s="226">
        <v>1</v>
      </c>
      <c r="AJ33" s="226">
        <v>1</v>
      </c>
      <c r="AK33" s="226">
        <v>1</v>
      </c>
      <c r="AL33" s="226">
        <v>1</v>
      </c>
      <c r="AM33" s="226">
        <v>1</v>
      </c>
      <c r="AN33" s="226">
        <v>1</v>
      </c>
      <c r="AO33" s="226">
        <v>1</v>
      </c>
      <c r="AP33" s="226">
        <v>1</v>
      </c>
      <c r="AQ33" s="226">
        <v>1</v>
      </c>
      <c r="AR33" s="226">
        <v>1</v>
      </c>
      <c r="AS33" s="226">
        <v>1</v>
      </c>
      <c r="AT33" s="226">
        <v>1</v>
      </c>
      <c r="AU33" s="226">
        <v>1</v>
      </c>
      <c r="AV33" s="226">
        <v>1</v>
      </c>
      <c r="AW33" s="192"/>
      <c r="AX33" s="192"/>
      <c r="AY33" s="192"/>
      <c r="AZ33" s="192"/>
      <c r="BA33" s="192"/>
      <c r="BB33" s="192"/>
      <c r="BC33" s="192"/>
      <c r="BD33" s="192"/>
      <c r="BE33" s="192"/>
      <c r="BF33" s="192"/>
    </row>
    <row r="34" spans="1:58" s="256" customFormat="1" ht="15" customHeight="1" x14ac:dyDescent="0.15">
      <c r="A34" s="254" t="s">
        <v>443</v>
      </c>
      <c r="B34" s="255" t="s">
        <v>52</v>
      </c>
      <c r="C34" s="256" t="s">
        <v>326</v>
      </c>
      <c r="D34" s="254" t="s">
        <v>7</v>
      </c>
      <c r="E34" s="254" t="s">
        <v>262</v>
      </c>
      <c r="F34" s="254"/>
      <c r="G34" s="254" t="s">
        <v>331</v>
      </c>
      <c r="T34" s="257">
        <v>59.101958795122897</v>
      </c>
      <c r="U34" s="257">
        <v>58.584047320346897</v>
      </c>
      <c r="V34" s="257">
        <v>57.584231922892599</v>
      </c>
      <c r="W34" s="257">
        <v>52.500151089168703</v>
      </c>
      <c r="X34" s="257">
        <v>46.490517831222903</v>
      </c>
      <c r="Y34" s="257">
        <v>39.471147838713399</v>
      </c>
      <c r="Z34" s="257">
        <v>32.606357293007598</v>
      </c>
      <c r="AA34" s="257">
        <v>25.4000348519813</v>
      </c>
      <c r="AB34" s="257">
        <v>19.597040640219401</v>
      </c>
      <c r="AC34" s="257">
        <v>14.082955188124201</v>
      </c>
      <c r="AD34" s="257">
        <v>9.6440707643725805</v>
      </c>
      <c r="AE34" s="257">
        <v>6.1973016356185502</v>
      </c>
      <c r="AF34" s="257">
        <v>3.7221158208766698</v>
      </c>
      <c r="AG34" s="257">
        <v>1.7140450811249599</v>
      </c>
      <c r="AH34" s="257">
        <v>6.2789154336049202E-2</v>
      </c>
      <c r="AI34" s="257">
        <v>0</v>
      </c>
      <c r="AJ34" s="257">
        <v>0</v>
      </c>
      <c r="AK34" s="257">
        <v>0</v>
      </c>
      <c r="AL34" s="257">
        <v>0</v>
      </c>
      <c r="AM34" s="257">
        <v>0</v>
      </c>
      <c r="AN34" s="257">
        <v>0</v>
      </c>
      <c r="AO34" s="257">
        <v>0</v>
      </c>
      <c r="AP34" s="257">
        <v>0</v>
      </c>
      <c r="AQ34" s="257">
        <v>0</v>
      </c>
      <c r="AR34" s="257">
        <v>0</v>
      </c>
      <c r="AS34" s="257">
        <v>0</v>
      </c>
      <c r="AT34" s="257">
        <v>0</v>
      </c>
      <c r="AU34" s="257">
        <v>0</v>
      </c>
      <c r="AV34" s="257">
        <v>0</v>
      </c>
      <c r="AW34" s="258"/>
      <c r="AX34" s="258"/>
      <c r="AY34" s="258"/>
      <c r="AZ34" s="258"/>
      <c r="BA34" s="258"/>
      <c r="BB34" s="258"/>
      <c r="BC34" s="258"/>
      <c r="BD34" s="258"/>
      <c r="BE34" s="258"/>
      <c r="BF34" s="258"/>
    </row>
    <row r="35" spans="1:58" s="261" customFormat="1" ht="15" customHeight="1" x14ac:dyDescent="0.15">
      <c r="A35" s="259" t="s">
        <v>443</v>
      </c>
      <c r="B35" s="260" t="s">
        <v>52</v>
      </c>
      <c r="C35" s="261" t="s">
        <v>413</v>
      </c>
      <c r="D35" s="259" t="s">
        <v>7</v>
      </c>
      <c r="E35" s="259" t="s">
        <v>262</v>
      </c>
      <c r="F35" s="259"/>
      <c r="G35" s="259" t="s">
        <v>331</v>
      </c>
      <c r="T35" s="262">
        <v>63.201514210109998</v>
      </c>
      <c r="U35" s="262">
        <v>61.5932312323499</v>
      </c>
      <c r="V35" s="262">
        <v>57.732782257135703</v>
      </c>
      <c r="W35" s="262">
        <v>53.393575011369499</v>
      </c>
      <c r="X35" s="262">
        <v>48.7612210524426</v>
      </c>
      <c r="Y35" s="262">
        <v>43.884033865867501</v>
      </c>
      <c r="Z35" s="262">
        <v>38.457792713311299</v>
      </c>
      <c r="AA35" s="262">
        <v>33.5571375551811</v>
      </c>
      <c r="AB35" s="262">
        <v>26.7317502911609</v>
      </c>
      <c r="AC35" s="262">
        <v>19.778490818406699</v>
      </c>
      <c r="AD35" s="262">
        <v>14.603701689309499</v>
      </c>
      <c r="AE35" s="262">
        <v>9.4622136328076003</v>
      </c>
      <c r="AF35" s="262">
        <v>6.1945689804815904</v>
      </c>
      <c r="AG35" s="262">
        <v>3.0924446843614599</v>
      </c>
      <c r="AH35" s="262">
        <v>0.63</v>
      </c>
      <c r="AI35" s="262">
        <v>0.313</v>
      </c>
      <c r="AJ35" s="262">
        <v>0.311</v>
      </c>
      <c r="AK35" s="262">
        <v>0</v>
      </c>
      <c r="AL35" s="262">
        <v>0</v>
      </c>
      <c r="AM35" s="262">
        <v>0</v>
      </c>
      <c r="AN35" s="262">
        <v>0</v>
      </c>
      <c r="AO35" s="262">
        <v>0</v>
      </c>
      <c r="AP35" s="262">
        <v>0</v>
      </c>
      <c r="AQ35" s="262">
        <v>0</v>
      </c>
      <c r="AR35" s="262">
        <v>0</v>
      </c>
      <c r="AS35" s="262">
        <v>0</v>
      </c>
      <c r="AT35" s="262">
        <v>0</v>
      </c>
      <c r="AU35" s="262">
        <v>0</v>
      </c>
      <c r="AV35" s="262">
        <v>0</v>
      </c>
      <c r="AW35" s="263"/>
      <c r="AX35" s="263"/>
      <c r="AY35" s="263"/>
      <c r="AZ35" s="263"/>
      <c r="BA35" s="263"/>
      <c r="BB35" s="263"/>
      <c r="BC35" s="263"/>
      <c r="BD35" s="263"/>
      <c r="BE35" s="263"/>
      <c r="BF35" s="263"/>
    </row>
    <row r="36" spans="1:58" s="256" customFormat="1" ht="15" customHeight="1" x14ac:dyDescent="0.15">
      <c r="A36" s="254" t="s">
        <v>443</v>
      </c>
      <c r="B36" s="255" t="s">
        <v>52</v>
      </c>
      <c r="C36" s="256" t="s">
        <v>327</v>
      </c>
      <c r="D36" s="254" t="s">
        <v>7</v>
      </c>
      <c r="E36" s="254" t="s">
        <v>262</v>
      </c>
      <c r="F36" s="254"/>
      <c r="G36" s="254" t="s">
        <v>331</v>
      </c>
      <c r="T36" s="257">
        <v>59.349037635745297</v>
      </c>
      <c r="U36" s="257">
        <v>58.426893510646501</v>
      </c>
      <c r="V36" s="257">
        <v>57.3150254279292</v>
      </c>
      <c r="W36" s="257">
        <v>54.058463688552699</v>
      </c>
      <c r="X36" s="257">
        <v>49.390888085250602</v>
      </c>
      <c r="Y36" s="257">
        <v>43.941876126828902</v>
      </c>
      <c r="Z36" s="257">
        <v>37.744912904926103</v>
      </c>
      <c r="AA36" s="257">
        <v>30.995697209311398</v>
      </c>
      <c r="AB36" s="257">
        <v>25.161671578604299</v>
      </c>
      <c r="AC36" s="257">
        <v>18.982984963020701</v>
      </c>
      <c r="AD36" s="257">
        <v>14.2809160649725</v>
      </c>
      <c r="AE36" s="257">
        <v>9.6116667634505504</v>
      </c>
      <c r="AF36" s="257">
        <v>6.7584286145394401</v>
      </c>
      <c r="AG36" s="257">
        <v>4.0742362643936003</v>
      </c>
      <c r="AH36" s="257">
        <v>1.8326357552560599</v>
      </c>
      <c r="AI36" s="257">
        <v>1.21926994135463</v>
      </c>
      <c r="AJ36" s="257">
        <v>0.87763195814280504</v>
      </c>
      <c r="AK36" s="257">
        <v>0.34125870723317903</v>
      </c>
      <c r="AL36" s="257">
        <v>0.285028250973764</v>
      </c>
      <c r="AM36" s="257">
        <v>0.28202886712856401</v>
      </c>
      <c r="AN36" s="257">
        <v>0.27462387278196698</v>
      </c>
      <c r="AO36" s="257">
        <v>0.27173839338510097</v>
      </c>
      <c r="AP36" s="257">
        <v>4.9406764242467198E-2</v>
      </c>
      <c r="AQ36" s="257">
        <v>0</v>
      </c>
      <c r="AR36" s="257">
        <v>0</v>
      </c>
      <c r="AS36" s="257">
        <v>0</v>
      </c>
      <c r="AT36" s="257">
        <v>0</v>
      </c>
      <c r="AU36" s="257">
        <v>0</v>
      </c>
      <c r="AV36" s="257">
        <v>0</v>
      </c>
      <c r="AW36" s="258"/>
      <c r="AX36" s="258"/>
      <c r="AY36" s="258"/>
      <c r="AZ36" s="258"/>
      <c r="BA36" s="258"/>
      <c r="BB36" s="258"/>
      <c r="BC36" s="258"/>
      <c r="BD36" s="258"/>
      <c r="BE36" s="258"/>
      <c r="BF36" s="258"/>
    </row>
    <row r="37" spans="1:58" s="261" customFormat="1" ht="15" customHeight="1" x14ac:dyDescent="0.15">
      <c r="A37" s="259" t="s">
        <v>443</v>
      </c>
      <c r="B37" s="260" t="s">
        <v>52</v>
      </c>
      <c r="C37" s="261" t="s">
        <v>233</v>
      </c>
      <c r="D37" s="259" t="s">
        <v>7</v>
      </c>
      <c r="E37" s="259" t="s">
        <v>262</v>
      </c>
      <c r="F37" s="259"/>
      <c r="G37" s="259" t="s">
        <v>331</v>
      </c>
      <c r="T37" s="262">
        <v>61.340316934355798</v>
      </c>
      <c r="U37" s="262">
        <v>60.017305943780102</v>
      </c>
      <c r="V37" s="262">
        <v>57.421645719373501</v>
      </c>
      <c r="W37" s="262">
        <v>53.8269227336462</v>
      </c>
      <c r="X37" s="262">
        <v>49.205150053603802</v>
      </c>
      <c r="Y37" s="262">
        <v>43.840270574400797</v>
      </c>
      <c r="Z37" s="262">
        <v>37.802126098047999</v>
      </c>
      <c r="AA37" s="262">
        <v>31.4927065214492</v>
      </c>
      <c r="AB37" s="262">
        <v>25.455659814262901</v>
      </c>
      <c r="AC37" s="262">
        <v>19.007568608767599</v>
      </c>
      <c r="AD37" s="262">
        <v>14.1871279550975</v>
      </c>
      <c r="AE37" s="262">
        <v>9.4457073929797701</v>
      </c>
      <c r="AF37" s="262">
        <v>6.5221631605000496</v>
      </c>
      <c r="AG37" s="262">
        <v>3.7904461872986799</v>
      </c>
      <c r="AH37" s="262">
        <v>1.55550037270818</v>
      </c>
      <c r="AI37" s="262">
        <v>1.0161980191672899</v>
      </c>
      <c r="AJ37" s="262">
        <v>0.74418970121864902</v>
      </c>
      <c r="AK37" s="262">
        <v>0.26637506013568102</v>
      </c>
      <c r="AL37" s="262">
        <v>0.22211822889913099</v>
      </c>
      <c r="AM37" s="262">
        <v>0.216066916310207</v>
      </c>
      <c r="AN37" s="262">
        <v>0.21318498529437299</v>
      </c>
      <c r="AO37" s="262">
        <v>0.214434495650385</v>
      </c>
      <c r="AP37" s="262">
        <v>3.9615874984694599E-2</v>
      </c>
      <c r="AQ37" s="262">
        <v>0</v>
      </c>
      <c r="AR37" s="262">
        <v>0</v>
      </c>
      <c r="AS37" s="262">
        <v>0</v>
      </c>
      <c r="AT37" s="262">
        <v>0</v>
      </c>
      <c r="AU37" s="262">
        <v>0</v>
      </c>
      <c r="AV37" s="262">
        <v>0</v>
      </c>
      <c r="AW37" s="263"/>
      <c r="AX37" s="263"/>
      <c r="AY37" s="263"/>
      <c r="AZ37" s="263"/>
      <c r="BA37" s="263"/>
      <c r="BB37" s="263"/>
      <c r="BC37" s="263"/>
      <c r="BD37" s="263"/>
      <c r="BE37" s="263"/>
      <c r="BF37" s="263"/>
    </row>
    <row r="38" spans="1:58" s="250" customFormat="1" ht="15" hidden="1" customHeight="1" x14ac:dyDescent="0.15">
      <c r="A38" s="248" t="s">
        <v>257</v>
      </c>
      <c r="B38" s="249" t="s">
        <v>52</v>
      </c>
      <c r="C38" s="250" t="s">
        <v>326</v>
      </c>
      <c r="D38" s="248" t="s">
        <v>7</v>
      </c>
      <c r="E38" s="248" t="s">
        <v>262</v>
      </c>
      <c r="F38" s="189" t="s">
        <v>263</v>
      </c>
      <c r="G38" s="248" t="s">
        <v>365</v>
      </c>
      <c r="H38" s="190"/>
      <c r="I38" s="190"/>
      <c r="J38" s="190"/>
      <c r="K38" s="190"/>
      <c r="L38" s="190"/>
      <c r="M38" s="190"/>
      <c r="N38" s="190"/>
      <c r="O38" s="190"/>
      <c r="P38" s="190"/>
      <c r="Q38" s="190"/>
      <c r="R38" s="190"/>
      <c r="S38" s="190"/>
      <c r="T38" s="251">
        <v>1152.5031145276409</v>
      </c>
      <c r="U38" s="251">
        <v>1156.2093177426866</v>
      </c>
      <c r="V38" s="251">
        <v>1142.0292911480879</v>
      </c>
      <c r="W38" s="251">
        <v>1121.9395303215379</v>
      </c>
      <c r="X38" s="251">
        <v>1106.4859894959429</v>
      </c>
      <c r="Y38" s="251">
        <v>995.42435057273519</v>
      </c>
      <c r="Z38" s="251">
        <v>923.43276814894057</v>
      </c>
      <c r="AA38" s="251">
        <v>804.98500161772279</v>
      </c>
      <c r="AB38" s="251">
        <v>691.1275201617126</v>
      </c>
      <c r="AC38" s="251">
        <v>486.72401880138955</v>
      </c>
      <c r="AD38" s="251">
        <v>344.90607148426506</v>
      </c>
      <c r="AE38" s="251">
        <v>216.2282448297984</v>
      </c>
      <c r="AF38" s="251">
        <v>127.70183386419916</v>
      </c>
      <c r="AG38" s="251">
        <v>47.629869197556914</v>
      </c>
      <c r="AH38" s="251">
        <v>43.43660464087796</v>
      </c>
      <c r="AI38" s="251">
        <v>38.862114515093204</v>
      </c>
      <c r="AJ38" s="251">
        <v>35.076050758592608</v>
      </c>
      <c r="AK38" s="251">
        <v>31.331534817487043</v>
      </c>
      <c r="AL38" s="251">
        <v>27.586323182044342</v>
      </c>
      <c r="AM38" s="251">
        <v>25.223724783922354</v>
      </c>
      <c r="AN38" s="251">
        <v>22.87172969175338</v>
      </c>
      <c r="AO38" s="251">
        <v>20.527721450550278</v>
      </c>
      <c r="AP38" s="251">
        <v>18.191299166860929</v>
      </c>
      <c r="AQ38" s="251">
        <v>15.859016113909389</v>
      </c>
      <c r="AR38" s="251">
        <v>13.530620374497994</v>
      </c>
      <c r="AS38" s="251">
        <v>11.208127982971215</v>
      </c>
      <c r="AT38" s="251">
        <v>8.8914354172879317</v>
      </c>
      <c r="AU38" s="251">
        <v>6.5787524064724714</v>
      </c>
      <c r="AV38" s="251">
        <v>4.275639900125638</v>
      </c>
      <c r="AW38" s="251"/>
      <c r="AX38" s="251"/>
      <c r="AY38" s="251"/>
      <c r="AZ38" s="251"/>
      <c r="BA38" s="251"/>
      <c r="BB38" s="251"/>
      <c r="BC38" s="251"/>
      <c r="BD38" s="251"/>
      <c r="BE38" s="251"/>
      <c r="BF38" s="251"/>
    </row>
    <row r="39" spans="1:58" s="250" customFormat="1" ht="15" hidden="1" customHeight="1" x14ac:dyDescent="0.15">
      <c r="A39" s="248" t="s">
        <v>257</v>
      </c>
      <c r="B39" s="249" t="s">
        <v>52</v>
      </c>
      <c r="C39" s="250" t="s">
        <v>413</v>
      </c>
      <c r="D39" s="248" t="s">
        <v>7</v>
      </c>
      <c r="E39" s="248" t="s">
        <v>262</v>
      </c>
      <c r="F39" s="189" t="s">
        <v>263</v>
      </c>
      <c r="G39" s="248" t="s">
        <v>365</v>
      </c>
      <c r="H39" s="190"/>
      <c r="I39" s="190"/>
      <c r="J39" s="190"/>
      <c r="K39" s="190"/>
      <c r="L39" s="190"/>
      <c r="M39" s="190"/>
      <c r="N39" s="190"/>
      <c r="O39" s="190"/>
      <c r="P39" s="190"/>
      <c r="Q39" s="190"/>
      <c r="R39" s="190"/>
      <c r="S39" s="190"/>
      <c r="T39" s="251">
        <v>1253.2973192544168</v>
      </c>
      <c r="U39" s="251">
        <v>1240.5857531912325</v>
      </c>
      <c r="V39" s="251">
        <v>1200.0864929103464</v>
      </c>
      <c r="W39" s="251">
        <v>1122.2901412488991</v>
      </c>
      <c r="X39" s="251">
        <v>1024.4232328779426</v>
      </c>
      <c r="Y39" s="251">
        <v>904.29010645180642</v>
      </c>
      <c r="Z39" s="251">
        <v>815.94062260222836</v>
      </c>
      <c r="AA39" s="251">
        <v>712.83859378719171</v>
      </c>
      <c r="AB39" s="251">
        <v>606.05644593829481</v>
      </c>
      <c r="AC39" s="251">
        <v>445.47184890690528</v>
      </c>
      <c r="AD39" s="251">
        <v>330.91648314877</v>
      </c>
      <c r="AE39" s="251">
        <v>218.70476360401187</v>
      </c>
      <c r="AF39" s="251">
        <v>145.09875178385465</v>
      </c>
      <c r="AG39" s="251">
        <v>75.838937824466399</v>
      </c>
      <c r="AH39" s="251">
        <v>60.379415804795158</v>
      </c>
      <c r="AI39" s="251">
        <v>50.354055165720162</v>
      </c>
      <c r="AJ39" s="251">
        <v>45.107246376771684</v>
      </c>
      <c r="AK39" s="251">
        <v>35.083887312478851</v>
      </c>
      <c r="AL39" s="251">
        <v>30.517850424653091</v>
      </c>
      <c r="AM39" s="251">
        <v>27.86007486343723</v>
      </c>
      <c r="AN39" s="251">
        <v>25.219404856647657</v>
      </c>
      <c r="AO39" s="251">
        <v>22.590410581480342</v>
      </c>
      <c r="AP39" s="251">
        <v>19.971786348386157</v>
      </c>
      <c r="AQ39" s="251">
        <v>17.357714705433992</v>
      </c>
      <c r="AR39" s="251">
        <v>14.748531405960897</v>
      </c>
      <c r="AS39" s="251">
        <v>12.147372573852945</v>
      </c>
      <c r="AT39" s="251">
        <v>9.554016627309851</v>
      </c>
      <c r="AU39" s="251">
        <v>6.9666885943311367</v>
      </c>
      <c r="AV39" s="251">
        <v>4.3907289761792754</v>
      </c>
      <c r="AW39" s="251"/>
      <c r="AX39" s="251"/>
      <c r="AY39" s="251"/>
      <c r="AZ39" s="251"/>
      <c r="BA39" s="251"/>
      <c r="BB39" s="251"/>
      <c r="BC39" s="251"/>
      <c r="BD39" s="251"/>
      <c r="BE39" s="251"/>
      <c r="BF39" s="251"/>
    </row>
    <row r="40" spans="1:58" s="250" customFormat="1" ht="15" hidden="1" customHeight="1" x14ac:dyDescent="0.15">
      <c r="A40" s="248" t="s">
        <v>257</v>
      </c>
      <c r="B40" s="249" t="s">
        <v>52</v>
      </c>
      <c r="C40" s="250" t="s">
        <v>327</v>
      </c>
      <c r="D40" s="248" t="s">
        <v>7</v>
      </c>
      <c r="E40" s="248" t="s">
        <v>262</v>
      </c>
      <c r="F40" s="189" t="s">
        <v>263</v>
      </c>
      <c r="G40" s="248" t="s">
        <v>365</v>
      </c>
      <c r="H40" s="190"/>
      <c r="I40" s="190"/>
      <c r="J40" s="190"/>
      <c r="K40" s="190"/>
      <c r="L40" s="190"/>
      <c r="M40" s="190"/>
      <c r="N40" s="190"/>
      <c r="O40" s="190"/>
      <c r="P40" s="190"/>
      <c r="Q40" s="190"/>
      <c r="R40" s="190"/>
      <c r="S40" s="190"/>
      <c r="T40" s="251">
        <v>972.97267101942998</v>
      </c>
      <c r="U40" s="251">
        <v>954.60211367440888</v>
      </c>
      <c r="V40" s="251">
        <v>953.01097016148378</v>
      </c>
      <c r="W40" s="251">
        <v>917.21396040333445</v>
      </c>
      <c r="X40" s="251">
        <v>846.34390619995304</v>
      </c>
      <c r="Y40" s="251">
        <v>754.93540459706526</v>
      </c>
      <c r="Z40" s="251">
        <v>683.53336708215966</v>
      </c>
      <c r="AA40" s="251">
        <v>593.80225587146469</v>
      </c>
      <c r="AB40" s="251">
        <v>511.23871385766199</v>
      </c>
      <c r="AC40" s="251">
        <v>451.85652145461131</v>
      </c>
      <c r="AD40" s="251">
        <v>402.88627166900085</v>
      </c>
      <c r="AE40" s="251">
        <v>356.55254939973111</v>
      </c>
      <c r="AF40" s="251">
        <v>307.57093501555141</v>
      </c>
      <c r="AG40" s="251">
        <v>261.98932349637812</v>
      </c>
      <c r="AH40" s="251">
        <v>203.75282573827107</v>
      </c>
      <c r="AI40" s="251">
        <v>146.66663787898744</v>
      </c>
      <c r="AJ40" s="251">
        <v>117.62182851199988</v>
      </c>
      <c r="AK40" s="251">
        <v>86.800357192704411</v>
      </c>
      <c r="AL40" s="251">
        <v>61.545167172170736</v>
      </c>
      <c r="AM40" s="251">
        <v>52.960926732085703</v>
      </c>
      <c r="AN40" s="251">
        <v>44.580053317742333</v>
      </c>
      <c r="AO40" s="251">
        <v>36.497410896697815</v>
      </c>
      <c r="AP40" s="251">
        <v>25.965514623277009</v>
      </c>
      <c r="AQ40" s="251">
        <v>16.782505829285704</v>
      </c>
      <c r="AR40" s="251">
        <v>14.415935048147601</v>
      </c>
      <c r="AS40" s="251">
        <v>12.0424360053272</v>
      </c>
      <c r="AT40" s="251">
        <v>9.6624948722645172</v>
      </c>
      <c r="AU40" s="251">
        <v>7.2744480587637614</v>
      </c>
      <c r="AV40" s="251">
        <v>4.8778250925732003</v>
      </c>
      <c r="AW40" s="251"/>
      <c r="AX40" s="251"/>
      <c r="AY40" s="251"/>
      <c r="AZ40" s="251"/>
      <c r="BA40" s="251"/>
      <c r="BB40" s="251"/>
      <c r="BC40" s="251"/>
      <c r="BD40" s="251"/>
      <c r="BE40" s="251"/>
      <c r="BF40" s="251"/>
    </row>
    <row r="41" spans="1:58" s="250" customFormat="1" ht="15" hidden="1" customHeight="1" x14ac:dyDescent="0.15">
      <c r="A41" s="248" t="s">
        <v>257</v>
      </c>
      <c r="B41" s="249" t="s">
        <v>52</v>
      </c>
      <c r="C41" s="250" t="s">
        <v>233</v>
      </c>
      <c r="D41" s="248" t="s">
        <v>7</v>
      </c>
      <c r="E41" s="248" t="s">
        <v>262</v>
      </c>
      <c r="F41" s="189" t="s">
        <v>263</v>
      </c>
      <c r="G41" s="248" t="s">
        <v>365</v>
      </c>
      <c r="H41" s="190"/>
      <c r="I41" s="190"/>
      <c r="J41" s="190"/>
      <c r="K41" s="190"/>
      <c r="L41" s="190"/>
      <c r="M41" s="190"/>
      <c r="N41" s="190"/>
      <c r="O41" s="190"/>
      <c r="P41" s="190"/>
      <c r="Q41" s="190"/>
      <c r="R41" s="190"/>
      <c r="S41" s="190"/>
      <c r="T41" s="251">
        <v>1132.3336575800417</v>
      </c>
      <c r="U41" s="251">
        <v>1118.2209238813784</v>
      </c>
      <c r="V41" s="251">
        <v>1093.1977752477462</v>
      </c>
      <c r="W41" s="251">
        <v>1044.6497712453306</v>
      </c>
      <c r="X41" s="251">
        <v>998.79104931518111</v>
      </c>
      <c r="Y41" s="251">
        <v>892.04294993338783</v>
      </c>
      <c r="Z41" s="251">
        <v>814.95830733191792</v>
      </c>
      <c r="AA41" s="251">
        <v>709.2491301184067</v>
      </c>
      <c r="AB41" s="251">
        <v>608.05392991245026</v>
      </c>
      <c r="AC41" s="251">
        <v>467.50564015473009</v>
      </c>
      <c r="AD41" s="251">
        <v>363.63832209062474</v>
      </c>
      <c r="AE41" s="251">
        <v>266.39011513955359</v>
      </c>
      <c r="AF41" s="251">
        <v>193.38473862586983</v>
      </c>
      <c r="AG41" s="251">
        <v>126.01682827636974</v>
      </c>
      <c r="AH41" s="251">
        <v>102.29422647262155</v>
      </c>
      <c r="AI41" s="251">
        <v>77.976886102258078</v>
      </c>
      <c r="AJ41" s="251">
        <v>64.733619479056657</v>
      </c>
      <c r="AK41" s="251">
        <v>50.439687212786538</v>
      </c>
      <c r="AL41" s="251">
        <v>39.20886673233727</v>
      </c>
      <c r="AM41" s="251">
        <v>35.892873204010684</v>
      </c>
      <c r="AN41" s="251">
        <v>31.254410774066013</v>
      </c>
      <c r="AO41" s="251">
        <v>26.758251123755155</v>
      </c>
      <c r="AP41" s="251">
        <v>21.376477425601315</v>
      </c>
      <c r="AQ41" s="251">
        <v>16.487685909307267</v>
      </c>
      <c r="AR41" s="251">
        <v>14.12515390188778</v>
      </c>
      <c r="AS41" s="251">
        <v>11.740071858637544</v>
      </c>
      <c r="AT41" s="251">
        <v>9.3560192174390338</v>
      </c>
      <c r="AU41" s="251">
        <v>6.968918530080189</v>
      </c>
      <c r="AV41" s="251">
        <v>4.5811261306903885</v>
      </c>
      <c r="AW41" s="251"/>
      <c r="AX41" s="251"/>
      <c r="AY41" s="251"/>
      <c r="AZ41" s="251"/>
      <c r="BA41" s="251"/>
      <c r="BB41" s="251"/>
      <c r="BC41" s="251"/>
      <c r="BD41" s="251"/>
      <c r="BE41" s="251"/>
      <c r="BF41" s="251"/>
    </row>
    <row r="42" spans="1:58" s="190" customFormat="1" ht="15" customHeight="1" x14ac:dyDescent="0.15">
      <c r="A42" s="189" t="s">
        <v>254</v>
      </c>
      <c r="B42" s="191" t="s">
        <v>52</v>
      </c>
      <c r="C42" s="190" t="s">
        <v>326</v>
      </c>
      <c r="D42" s="189" t="s">
        <v>256</v>
      </c>
      <c r="E42" s="189" t="s">
        <v>29</v>
      </c>
      <c r="F42" s="189" t="s">
        <v>258</v>
      </c>
      <c r="G42" s="189" t="s">
        <v>365</v>
      </c>
      <c r="T42" s="226">
        <v>1.0669781931464175E-2</v>
      </c>
      <c r="U42" s="226">
        <v>1.9572360588599458E-2</v>
      </c>
      <c r="V42" s="226">
        <v>2.0571251304687826E-2</v>
      </c>
      <c r="W42" s="226">
        <v>0.12006814950134907</v>
      </c>
      <c r="X42" s="226">
        <v>0.18810850984764027</v>
      </c>
      <c r="Y42" s="226">
        <v>0.27990532083170949</v>
      </c>
      <c r="Z42" s="226">
        <v>0.32316824517974369</v>
      </c>
      <c r="AA42" s="226">
        <v>0.40812335057607063</v>
      </c>
      <c r="AB42" s="226">
        <v>0.49141705857861018</v>
      </c>
      <c r="AC42" s="226">
        <v>0.65788603604626805</v>
      </c>
      <c r="AD42" s="226">
        <v>0.76299079293316385</v>
      </c>
      <c r="AE42" s="226">
        <v>0.86984476622187179</v>
      </c>
      <c r="AF42" s="226">
        <v>0.9345581475905621</v>
      </c>
      <c r="AG42" s="226">
        <v>0.99999786591091466</v>
      </c>
      <c r="AH42" s="226">
        <v>0.99999798137210172</v>
      </c>
      <c r="AI42" s="226">
        <v>1</v>
      </c>
      <c r="AJ42" s="226">
        <v>1</v>
      </c>
      <c r="AK42" s="226">
        <v>1</v>
      </c>
      <c r="AL42" s="226">
        <v>1</v>
      </c>
      <c r="AM42" s="226">
        <v>1</v>
      </c>
      <c r="AN42" s="226">
        <v>1</v>
      </c>
      <c r="AO42" s="226">
        <v>1</v>
      </c>
      <c r="AP42" s="226">
        <v>1</v>
      </c>
      <c r="AQ42" s="226">
        <v>1</v>
      </c>
      <c r="AR42" s="226">
        <v>1</v>
      </c>
      <c r="AS42" s="226">
        <v>1</v>
      </c>
      <c r="AT42" s="226">
        <v>1</v>
      </c>
      <c r="AU42" s="226">
        <v>1</v>
      </c>
      <c r="AV42" s="226">
        <v>1</v>
      </c>
      <c r="AW42" s="192"/>
      <c r="AX42" s="192"/>
      <c r="AY42" s="192"/>
      <c r="AZ42" s="192"/>
      <c r="BA42" s="192"/>
      <c r="BB42" s="192"/>
      <c r="BC42" s="192"/>
      <c r="BD42" s="192"/>
      <c r="BE42" s="192"/>
      <c r="BF42" s="192"/>
    </row>
    <row r="43" spans="1:58" s="190" customFormat="1" ht="15" customHeight="1" x14ac:dyDescent="0.15">
      <c r="A43" s="189" t="s">
        <v>254</v>
      </c>
      <c r="B43" s="191" t="s">
        <v>52</v>
      </c>
      <c r="C43" s="190" t="s">
        <v>413</v>
      </c>
      <c r="D43" s="189" t="s">
        <v>256</v>
      </c>
      <c r="E43" s="189" t="s">
        <v>29</v>
      </c>
      <c r="F43" s="189" t="s">
        <v>258</v>
      </c>
      <c r="G43" s="189" t="s">
        <v>365</v>
      </c>
      <c r="T43" s="226">
        <v>0.25692018512935999</v>
      </c>
      <c r="U43" s="226">
        <v>0.19335241544482737</v>
      </c>
      <c r="V43" s="226">
        <v>0.19273387195281552</v>
      </c>
      <c r="W43" s="226">
        <v>0.29702043933212713</v>
      </c>
      <c r="X43" s="226">
        <v>0.39995376747872358</v>
      </c>
      <c r="Y43" s="226">
        <v>0.50328940889125262</v>
      </c>
      <c r="Z43" s="226">
        <v>0.53250896019675642</v>
      </c>
      <c r="AA43" s="226">
        <v>0.59094180489176273</v>
      </c>
      <c r="AB43" s="226">
        <v>0.64937759336099588</v>
      </c>
      <c r="AC43" s="226">
        <v>0.76625549172017571</v>
      </c>
      <c r="AD43" s="226">
        <v>0.83930149808489907</v>
      </c>
      <c r="AE43" s="226">
        <v>0.91234602130946241</v>
      </c>
      <c r="AF43" s="226">
        <v>0.9561698846838651</v>
      </c>
      <c r="AG43" s="226">
        <v>1</v>
      </c>
      <c r="AH43" s="226">
        <v>1</v>
      </c>
      <c r="AI43" s="226">
        <v>1</v>
      </c>
      <c r="AJ43" s="226">
        <v>1</v>
      </c>
      <c r="AK43" s="226">
        <v>1</v>
      </c>
      <c r="AL43" s="226">
        <v>1</v>
      </c>
      <c r="AM43" s="226">
        <v>1</v>
      </c>
      <c r="AN43" s="226">
        <v>1</v>
      </c>
      <c r="AO43" s="226">
        <v>1</v>
      </c>
      <c r="AP43" s="226">
        <v>1</v>
      </c>
      <c r="AQ43" s="226">
        <v>1</v>
      </c>
      <c r="AR43" s="226">
        <v>1</v>
      </c>
      <c r="AS43" s="226">
        <v>1</v>
      </c>
      <c r="AT43" s="226">
        <v>1</v>
      </c>
      <c r="AU43" s="226">
        <v>1</v>
      </c>
      <c r="AV43" s="226">
        <v>1</v>
      </c>
      <c r="AW43" s="192"/>
      <c r="AX43" s="192"/>
      <c r="AY43" s="192"/>
      <c r="AZ43" s="192"/>
      <c r="BA43" s="192"/>
      <c r="BB43" s="192"/>
      <c r="BC43" s="192"/>
      <c r="BD43" s="192"/>
      <c r="BE43" s="192"/>
      <c r="BF43" s="192"/>
    </row>
    <row r="44" spans="1:58" s="190" customFormat="1" ht="15" customHeight="1" x14ac:dyDescent="0.15">
      <c r="A44" s="189" t="s">
        <v>254</v>
      </c>
      <c r="B44" s="191" t="s">
        <v>52</v>
      </c>
      <c r="C44" s="190" t="s">
        <v>327</v>
      </c>
      <c r="D44" s="189" t="s">
        <v>256</v>
      </c>
      <c r="E44" s="189" t="s">
        <v>29</v>
      </c>
      <c r="F44" s="189" t="s">
        <v>258</v>
      </c>
      <c r="G44" s="189" t="s">
        <v>365</v>
      </c>
      <c r="T44" s="226">
        <v>2.4786878038056622E-2</v>
      </c>
      <c r="U44" s="226">
        <v>2.5845466692595777E-2</v>
      </c>
      <c r="V44" s="226">
        <v>3.0023447326331918E-2</v>
      </c>
      <c r="W44" s="226">
        <v>0.20075220867783117</v>
      </c>
      <c r="X44" s="226">
        <v>0.34409872689351573</v>
      </c>
      <c r="Y44" s="226">
        <v>0.46824588539000295</v>
      </c>
      <c r="Z44" s="226">
        <v>0.52863691615886355</v>
      </c>
      <c r="AA44" s="226">
        <v>0.59097287063642323</v>
      </c>
      <c r="AB44" s="226">
        <v>0.65032036665163306</v>
      </c>
      <c r="AC44" s="226">
        <v>0.66887964898578023</v>
      </c>
      <c r="AD44" s="226">
        <v>0.68646448014738548</v>
      </c>
      <c r="AE44" s="226">
        <v>0.70332030623153019</v>
      </c>
      <c r="AF44" s="226">
        <v>0.73494702344194451</v>
      </c>
      <c r="AG44" s="226">
        <v>0.7663339556704486</v>
      </c>
      <c r="AH44" s="226">
        <v>0.8275819808860676</v>
      </c>
      <c r="AI44" s="226">
        <v>0.88523292728602254</v>
      </c>
      <c r="AJ44" s="226">
        <v>0.91069284724818034</v>
      </c>
      <c r="AK44" s="226">
        <v>0.93583838524356755</v>
      </c>
      <c r="AL44" s="226">
        <v>0.96151850088569202</v>
      </c>
      <c r="AM44" s="226">
        <v>0.9692539920516906</v>
      </c>
      <c r="AN44" s="226">
        <v>0.97692120705622842</v>
      </c>
      <c r="AO44" s="226">
        <v>0.98460443600996317</v>
      </c>
      <c r="AP44" s="226">
        <v>0.99229997174122753</v>
      </c>
      <c r="AQ44" s="226">
        <v>1</v>
      </c>
      <c r="AR44" s="226">
        <v>1</v>
      </c>
      <c r="AS44" s="226">
        <v>1</v>
      </c>
      <c r="AT44" s="226">
        <v>1</v>
      </c>
      <c r="AU44" s="226">
        <v>1</v>
      </c>
      <c r="AV44" s="226">
        <v>1</v>
      </c>
      <c r="AW44" s="192"/>
      <c r="AX44" s="192"/>
      <c r="AY44" s="192"/>
      <c r="AZ44" s="192"/>
      <c r="BA44" s="192"/>
      <c r="BB44" s="192"/>
      <c r="BC44" s="192"/>
      <c r="BD44" s="192"/>
      <c r="BE44" s="192"/>
      <c r="BF44" s="192"/>
    </row>
    <row r="45" spans="1:58" s="190" customFormat="1" ht="15" customHeight="1" x14ac:dyDescent="0.15">
      <c r="A45" s="189" t="s">
        <v>254</v>
      </c>
      <c r="B45" s="191" t="s">
        <v>52</v>
      </c>
      <c r="C45" s="190" t="s">
        <v>233</v>
      </c>
      <c r="D45" s="189" t="s">
        <v>256</v>
      </c>
      <c r="E45" s="189" t="s">
        <v>29</v>
      </c>
      <c r="F45" s="189" t="s">
        <v>258</v>
      </c>
      <c r="G45" s="189" t="s">
        <v>365</v>
      </c>
      <c r="T45" s="226">
        <v>7.1470144819753376E-2</v>
      </c>
      <c r="U45" s="226">
        <v>6.4182228472381198E-2</v>
      </c>
      <c r="V45" s="226">
        <v>7.4503712359806754E-2</v>
      </c>
      <c r="W45" s="226">
        <v>0.20370900717698751</v>
      </c>
      <c r="X45" s="226">
        <v>0.29793943060229122</v>
      </c>
      <c r="Y45" s="226">
        <v>0.40449072744519571</v>
      </c>
      <c r="Z45" s="226">
        <v>0.45134159506871985</v>
      </c>
      <c r="AA45" s="226">
        <v>0.52091116232751278</v>
      </c>
      <c r="AB45" s="226">
        <v>0.58850540821215724</v>
      </c>
      <c r="AC45" s="226">
        <v>0.68227360667486936</v>
      </c>
      <c r="AD45" s="226">
        <v>0.74574932004315253</v>
      </c>
      <c r="AE45" s="226">
        <v>0.81067787224339549</v>
      </c>
      <c r="AF45" s="226">
        <v>0.8595006502200192</v>
      </c>
      <c r="AG45" s="226">
        <v>0.90890461962252467</v>
      </c>
      <c r="AH45" s="226">
        <v>0.93094433880286065</v>
      </c>
      <c r="AI45" s="226">
        <v>0.95457581653497103</v>
      </c>
      <c r="AJ45" s="226">
        <v>0.96517178722685415</v>
      </c>
      <c r="AK45" s="226">
        <v>0.97535677492498829</v>
      </c>
      <c r="AL45" s="226">
        <v>0.98538929976281209</v>
      </c>
      <c r="AM45" s="226">
        <v>0.9871736565062208</v>
      </c>
      <c r="AN45" s="226">
        <v>0.99037130972147369</v>
      </c>
      <c r="AO45" s="226">
        <v>0.99356363104432321</v>
      </c>
      <c r="AP45" s="226">
        <v>0.9967719981666322</v>
      </c>
      <c r="AQ45" s="226">
        <v>1</v>
      </c>
      <c r="AR45" s="226">
        <v>1</v>
      </c>
      <c r="AS45" s="226">
        <v>1</v>
      </c>
      <c r="AT45" s="226">
        <v>1</v>
      </c>
      <c r="AU45" s="226">
        <v>1</v>
      </c>
      <c r="AV45" s="226">
        <v>1</v>
      </c>
      <c r="AW45" s="192"/>
      <c r="AX45" s="192"/>
      <c r="AY45" s="192"/>
      <c r="AZ45" s="192"/>
      <c r="BA45" s="192"/>
      <c r="BB45" s="192"/>
      <c r="BC45" s="192"/>
      <c r="BD45" s="192"/>
      <c r="BE45" s="192"/>
      <c r="BF45" s="192"/>
    </row>
    <row r="46" spans="1:58" s="256" customFormat="1" ht="15" customHeight="1" x14ac:dyDescent="0.15">
      <c r="A46" s="254" t="s">
        <v>443</v>
      </c>
      <c r="B46" s="255" t="s">
        <v>52</v>
      </c>
      <c r="C46" s="256" t="s">
        <v>326</v>
      </c>
      <c r="D46" s="254" t="s">
        <v>7</v>
      </c>
      <c r="E46" s="254" t="s">
        <v>262</v>
      </c>
      <c r="F46" s="254"/>
      <c r="G46" s="254" t="s">
        <v>365</v>
      </c>
      <c r="T46" s="257">
        <v>1052.37440441442</v>
      </c>
      <c r="U46" s="257">
        <v>1055.7563378403399</v>
      </c>
      <c r="V46" s="257">
        <v>1046.4509493190601</v>
      </c>
      <c r="W46" s="257">
        <v>1026.9763246671901</v>
      </c>
      <c r="X46" s="257">
        <v>1014.52077860294</v>
      </c>
      <c r="Y46" s="257">
        <v>907.06902741149497</v>
      </c>
      <c r="Z46" s="257">
        <v>840.33342125695003</v>
      </c>
      <c r="AA46" s="257">
        <v>727.52691618891504</v>
      </c>
      <c r="AB46" s="257">
        <v>619.05885162722404</v>
      </c>
      <c r="AC46" s="257">
        <v>419.939949079325</v>
      </c>
      <c r="AD46" s="257">
        <v>283.82483201438799</v>
      </c>
      <c r="AE46" s="257">
        <v>160.02525385970199</v>
      </c>
      <c r="AF46" s="257">
        <v>76.441695812137198</v>
      </c>
      <c r="AG46" s="257">
        <v>0.69360392937123205</v>
      </c>
      <c r="AH46" s="257">
        <v>0.65203504338796103</v>
      </c>
      <c r="AI46" s="257">
        <v>0</v>
      </c>
      <c r="AJ46" s="257">
        <v>0</v>
      </c>
      <c r="AK46" s="257">
        <v>0</v>
      </c>
      <c r="AL46" s="257">
        <v>0</v>
      </c>
      <c r="AM46" s="257">
        <v>0</v>
      </c>
      <c r="AN46" s="257">
        <v>0</v>
      </c>
      <c r="AO46" s="257">
        <v>0</v>
      </c>
      <c r="AP46" s="257">
        <v>0</v>
      </c>
      <c r="AQ46" s="257">
        <v>0</v>
      </c>
      <c r="AR46" s="257">
        <v>0</v>
      </c>
      <c r="AS46" s="257">
        <v>0</v>
      </c>
      <c r="AT46" s="257">
        <v>0</v>
      </c>
      <c r="AU46" s="257">
        <v>0</v>
      </c>
      <c r="AV46" s="257">
        <v>0</v>
      </c>
      <c r="AW46" s="258"/>
      <c r="AX46" s="258"/>
      <c r="AY46" s="258"/>
      <c r="AZ46" s="258"/>
      <c r="BA46" s="258"/>
      <c r="BB46" s="258"/>
      <c r="BC46" s="258"/>
      <c r="BD46" s="258"/>
      <c r="BE46" s="258"/>
      <c r="BF46" s="258"/>
    </row>
    <row r="47" spans="1:58" s="261" customFormat="1" ht="15" customHeight="1" x14ac:dyDescent="0.15">
      <c r="A47" s="259" t="s">
        <v>443</v>
      </c>
      <c r="B47" s="260" t="s">
        <v>52</v>
      </c>
      <c r="C47" s="261" t="s">
        <v>413</v>
      </c>
      <c r="D47" s="259" t="s">
        <v>7</v>
      </c>
      <c r="E47" s="259" t="s">
        <v>262</v>
      </c>
      <c r="F47" s="259"/>
      <c r="G47" s="259" t="s">
        <v>365</v>
      </c>
      <c r="T47" s="262">
        <v>1105.54555787083</v>
      </c>
      <c r="U47" s="262">
        <v>1102.6725977138201</v>
      </c>
      <c r="V47" s="262">
        <v>1066.8610965166599</v>
      </c>
      <c r="W47" s="262">
        <v>982.491945403042</v>
      </c>
      <c r="X47" s="262">
        <v>882.06614207796304</v>
      </c>
      <c r="Y47" s="262">
        <v>763.94665732090505</v>
      </c>
      <c r="Z47" s="262">
        <v>686.98555442791405</v>
      </c>
      <c r="AA47" s="262">
        <v>597.26849108394697</v>
      </c>
      <c r="AB47" s="262">
        <v>502.09464203319499</v>
      </c>
      <c r="AC47" s="262">
        <v>352.76105719787103</v>
      </c>
      <c r="AD47" s="262">
        <v>249.549060363303</v>
      </c>
      <c r="AE47" s="262">
        <v>147.158947816374</v>
      </c>
      <c r="AF47" s="262">
        <v>80.646400883591198</v>
      </c>
      <c r="AG47" s="262">
        <v>17.963999999999999</v>
      </c>
      <c r="AH47" s="262">
        <v>8.8919999999999995</v>
      </c>
      <c r="AI47" s="262">
        <v>4.4020000000000001</v>
      </c>
      <c r="AJ47" s="262">
        <v>4.359</v>
      </c>
      <c r="AK47" s="262">
        <v>0</v>
      </c>
      <c r="AL47" s="262">
        <v>0</v>
      </c>
      <c r="AM47" s="262">
        <v>0</v>
      </c>
      <c r="AN47" s="262">
        <v>0</v>
      </c>
      <c r="AO47" s="262">
        <v>0</v>
      </c>
      <c r="AP47" s="262">
        <v>0</v>
      </c>
      <c r="AQ47" s="262">
        <v>0</v>
      </c>
      <c r="AR47" s="262">
        <v>0</v>
      </c>
      <c r="AS47" s="262">
        <v>0</v>
      </c>
      <c r="AT47" s="262">
        <v>0</v>
      </c>
      <c r="AU47" s="262">
        <v>0</v>
      </c>
      <c r="AV47" s="262">
        <v>0</v>
      </c>
      <c r="AW47" s="263"/>
      <c r="AX47" s="263"/>
      <c r="AY47" s="263"/>
      <c r="AZ47" s="263"/>
      <c r="BA47" s="263"/>
      <c r="BB47" s="263"/>
      <c r="BC47" s="263"/>
      <c r="BD47" s="263"/>
      <c r="BE47" s="263"/>
      <c r="BF47" s="263"/>
    </row>
    <row r="48" spans="1:58" s="256" customFormat="1" ht="15" customHeight="1" x14ac:dyDescent="0.15">
      <c r="A48" s="254" t="s">
        <v>443</v>
      </c>
      <c r="B48" s="255" t="s">
        <v>52</v>
      </c>
      <c r="C48" s="256" t="s">
        <v>327</v>
      </c>
      <c r="D48" s="254" t="s">
        <v>7</v>
      </c>
      <c r="E48" s="254" t="s">
        <v>262</v>
      </c>
      <c r="F48" s="254"/>
      <c r="G48" s="254" t="s">
        <v>365</v>
      </c>
      <c r="T48" s="257">
        <v>859.51876709176395</v>
      </c>
      <c r="U48" s="257">
        <v>840.81784603870597</v>
      </c>
      <c r="V48" s="257">
        <v>843.47082059049501</v>
      </c>
      <c r="W48" s="257">
        <v>795.76426175577001</v>
      </c>
      <c r="X48" s="257">
        <v>719.45978417392496</v>
      </c>
      <c r="Y48" s="257">
        <v>627.01727844418099</v>
      </c>
      <c r="Z48" s="257">
        <v>563.63241919071402</v>
      </c>
      <c r="AA48" s="257">
        <v>481.83989497396999</v>
      </c>
      <c r="AB48" s="257">
        <v>408.06654501409798</v>
      </c>
      <c r="AC48" s="257">
        <v>360.994419870591</v>
      </c>
      <c r="AD48" s="257">
        <v>321.67687914891502</v>
      </c>
      <c r="AE48" s="257">
        <v>285.74771565093198</v>
      </c>
      <c r="AF48" s="257">
        <v>246.316469538219</v>
      </c>
      <c r="AG48" s="257">
        <v>209.48759255533801</v>
      </c>
      <c r="AH48" s="257">
        <v>157.21656540963801</v>
      </c>
      <c r="AI48" s="257">
        <v>105.03429660038</v>
      </c>
      <c r="AJ48" s="257">
        <v>80.360783359288703</v>
      </c>
      <c r="AK48" s="257">
        <v>53.915891513472801</v>
      </c>
      <c r="AL48" s="257">
        <v>33.062579626068803</v>
      </c>
      <c r="AM48" s="257">
        <v>26.810704871778501</v>
      </c>
      <c r="AN48" s="257">
        <v>20.7634412347942</v>
      </c>
      <c r="AO48" s="257">
        <v>15.021127507538401</v>
      </c>
      <c r="AP48" s="257">
        <v>6.8329196679535</v>
      </c>
      <c r="AQ48" s="257">
        <v>0</v>
      </c>
      <c r="AR48" s="257">
        <v>0</v>
      </c>
      <c r="AS48" s="257">
        <v>0</v>
      </c>
      <c r="AT48" s="257">
        <v>0</v>
      </c>
      <c r="AU48" s="257">
        <v>0</v>
      </c>
      <c r="AV48" s="257">
        <v>0</v>
      </c>
      <c r="AW48" s="258"/>
      <c r="AX48" s="258"/>
      <c r="AY48" s="258"/>
      <c r="AZ48" s="258"/>
      <c r="BA48" s="258"/>
      <c r="BB48" s="258"/>
      <c r="BC48" s="258"/>
      <c r="BD48" s="258"/>
      <c r="BE48" s="258"/>
      <c r="BF48" s="258"/>
    </row>
    <row r="49" spans="1:58" s="261" customFormat="1" ht="15" customHeight="1" x14ac:dyDescent="0.15">
      <c r="A49" s="259" t="s">
        <v>443</v>
      </c>
      <c r="B49" s="260" t="s">
        <v>52</v>
      </c>
      <c r="C49" s="261" t="s">
        <v>233</v>
      </c>
      <c r="D49" s="259" t="s">
        <v>7</v>
      </c>
      <c r="E49" s="259" t="s">
        <v>262</v>
      </c>
      <c r="F49" s="259"/>
      <c r="G49" s="259" t="s">
        <v>365</v>
      </c>
      <c r="T49" s="262">
        <v>1016.9402518307101</v>
      </c>
      <c r="U49" s="262">
        <v>1004.2485352067901</v>
      </c>
      <c r="V49" s="262">
        <v>981.14738046020398</v>
      </c>
      <c r="W49" s="262">
        <v>925.93237266260303</v>
      </c>
      <c r="X49" s="262">
        <v>881.58001728776196</v>
      </c>
      <c r="Y49" s="262">
        <v>776.41989261016295</v>
      </c>
      <c r="Z49" s="262">
        <v>707.18570607972697</v>
      </c>
      <c r="AA49" s="262">
        <v>609.82682181777704</v>
      </c>
      <c r="AB49" s="262">
        <v>516.82410449387203</v>
      </c>
      <c r="AC49" s="262">
        <v>386.193702276419</v>
      </c>
      <c r="AD49" s="262">
        <v>290.816008679471</v>
      </c>
      <c r="AE49" s="262">
        <v>201.67980497413399</v>
      </c>
      <c r="AF49" s="262">
        <v>135.90249303531601</v>
      </c>
      <c r="AG49" s="262">
        <v>75.0232656789847</v>
      </c>
      <c r="AH49" s="262">
        <v>56.710950788679199</v>
      </c>
      <c r="AI49" s="262">
        <v>36.937824385619798</v>
      </c>
      <c r="AJ49" s="262">
        <v>27.9261674171495</v>
      </c>
      <c r="AK49" s="262">
        <v>17.925258018946401</v>
      </c>
      <c r="AL49" s="262">
        <v>10.8302288283066</v>
      </c>
      <c r="AM49" s="262">
        <v>9.8102062716991405</v>
      </c>
      <c r="AN49" s="262">
        <v>7.5836524652900197</v>
      </c>
      <c r="AO49" s="262">
        <v>5.4906546105649801</v>
      </c>
      <c r="AP49" s="262">
        <v>2.5022362595470198</v>
      </c>
      <c r="AQ49" s="262">
        <v>0</v>
      </c>
      <c r="AR49" s="262">
        <v>0</v>
      </c>
      <c r="AS49" s="262">
        <v>0</v>
      </c>
      <c r="AT49" s="262">
        <v>0</v>
      </c>
      <c r="AU49" s="262">
        <v>0</v>
      </c>
      <c r="AV49" s="262">
        <v>0</v>
      </c>
      <c r="AW49" s="263"/>
      <c r="AX49" s="263"/>
      <c r="AY49" s="263"/>
      <c r="AZ49" s="263"/>
      <c r="BA49" s="263"/>
      <c r="BB49" s="263"/>
      <c r="BC49" s="263"/>
      <c r="BD49" s="263"/>
      <c r="BE49" s="263"/>
      <c r="BF49" s="263"/>
    </row>
    <row r="50" spans="1:58" s="250" customFormat="1" ht="15" hidden="1" customHeight="1" x14ac:dyDescent="0.15">
      <c r="A50" s="248" t="s">
        <v>257</v>
      </c>
      <c r="B50" s="249" t="s">
        <v>52</v>
      </c>
      <c r="C50" s="250" t="s">
        <v>326</v>
      </c>
      <c r="D50" s="248" t="s">
        <v>7</v>
      </c>
      <c r="E50" s="248" t="s">
        <v>262</v>
      </c>
      <c r="F50" s="189" t="s">
        <v>263</v>
      </c>
      <c r="G50" s="248" t="s">
        <v>329</v>
      </c>
      <c r="H50" s="190"/>
      <c r="I50" s="190"/>
      <c r="J50" s="190"/>
      <c r="K50" s="190"/>
      <c r="L50" s="190"/>
      <c r="M50" s="190"/>
      <c r="N50" s="190"/>
      <c r="O50" s="190"/>
      <c r="P50" s="190"/>
      <c r="Q50" s="190"/>
      <c r="R50" s="190"/>
      <c r="S50" s="190"/>
      <c r="T50" s="251">
        <v>856.3614401559181</v>
      </c>
      <c r="U50" s="251">
        <v>845.93230102581765</v>
      </c>
      <c r="V50" s="251">
        <v>831.8923060811436</v>
      </c>
      <c r="W50" s="251">
        <v>792.72985781061925</v>
      </c>
      <c r="X50" s="251">
        <v>749.41765500224176</v>
      </c>
      <c r="Y50" s="251">
        <v>678.86266770493171</v>
      </c>
      <c r="Z50" s="251">
        <v>611.89778016252603</v>
      </c>
      <c r="AA50" s="251">
        <v>516.57479935496724</v>
      </c>
      <c r="AB50" s="251">
        <v>427.23380684821785</v>
      </c>
      <c r="AC50" s="251">
        <v>286.09744643003296</v>
      </c>
      <c r="AD50" s="251">
        <v>196.24007503543669</v>
      </c>
      <c r="AE50" s="251">
        <v>118.45912036113249</v>
      </c>
      <c r="AF50" s="251">
        <v>70.17269004505485</v>
      </c>
      <c r="AG50" s="251">
        <v>28.304498173944889</v>
      </c>
      <c r="AH50" s="251">
        <v>25.835968374924917</v>
      </c>
      <c r="AI50" s="251">
        <v>23.429914818989559</v>
      </c>
      <c r="AJ50" s="251">
        <v>21.158204437645889</v>
      </c>
      <c r="AK50" s="251">
        <v>18.895575043234853</v>
      </c>
      <c r="AL50" s="251">
        <v>16.653910210098147</v>
      </c>
      <c r="AM50" s="251">
        <v>15.226402982381478</v>
      </c>
      <c r="AN50" s="251">
        <v>13.811723514222448</v>
      </c>
      <c r="AO50" s="251">
        <v>12.404955664209112</v>
      </c>
      <c r="AP50" s="251">
        <v>11.004905149673789</v>
      </c>
      <c r="AQ50" s="251">
        <v>9.6061687578408872</v>
      </c>
      <c r="AR50" s="251">
        <v>8.2092435480697858</v>
      </c>
      <c r="AS50" s="251">
        <v>6.8170789292060725</v>
      </c>
      <c r="AT50" s="251">
        <v>5.429498852395982</v>
      </c>
      <c r="AU50" s="251">
        <v>4.0450790386211759</v>
      </c>
      <c r="AV50" s="251">
        <v>2.6682080334660725</v>
      </c>
      <c r="AW50" s="251"/>
      <c r="AX50" s="251"/>
      <c r="AY50" s="251"/>
      <c r="AZ50" s="251"/>
      <c r="BA50" s="251"/>
      <c r="BB50" s="251"/>
      <c r="BC50" s="251"/>
      <c r="BD50" s="251"/>
      <c r="BE50" s="251"/>
      <c r="BF50" s="251"/>
    </row>
    <row r="51" spans="1:58" s="250" customFormat="1" ht="15" hidden="1" customHeight="1" x14ac:dyDescent="0.15">
      <c r="A51" s="248" t="s">
        <v>257</v>
      </c>
      <c r="B51" s="249" t="s">
        <v>52</v>
      </c>
      <c r="C51" s="250" t="s">
        <v>413</v>
      </c>
      <c r="D51" s="248" t="s">
        <v>7</v>
      </c>
      <c r="E51" s="248" t="s">
        <v>262</v>
      </c>
      <c r="F51" s="189" t="s">
        <v>263</v>
      </c>
      <c r="G51" s="248" t="s">
        <v>329</v>
      </c>
      <c r="H51" s="190"/>
      <c r="I51" s="190"/>
      <c r="J51" s="190"/>
      <c r="K51" s="190"/>
      <c r="L51" s="190"/>
      <c r="M51" s="190"/>
      <c r="N51" s="190"/>
      <c r="O51" s="190"/>
      <c r="P51" s="190"/>
      <c r="Q51" s="190"/>
      <c r="R51" s="190"/>
      <c r="S51" s="190"/>
      <c r="T51" s="251">
        <v>588.16087684532704</v>
      </c>
      <c r="U51" s="251">
        <v>582.61865051185544</v>
      </c>
      <c r="V51" s="251">
        <v>577.01267545136272</v>
      </c>
      <c r="W51" s="251">
        <v>541.25348445654583</v>
      </c>
      <c r="X51" s="251">
        <v>501.24515085497239</v>
      </c>
      <c r="Y51" s="251">
        <v>461.01249410339744</v>
      </c>
      <c r="Z51" s="251">
        <v>418.74418894666456</v>
      </c>
      <c r="AA51" s="251">
        <v>363.38417077333719</v>
      </c>
      <c r="AB51" s="251">
        <v>306.62505916729725</v>
      </c>
      <c r="AC51" s="251">
        <v>220.54029862502551</v>
      </c>
      <c r="AD51" s="251">
        <v>161.07216793294506</v>
      </c>
      <c r="AE51" s="251">
        <v>104.54631596956423</v>
      </c>
      <c r="AF51" s="251">
        <v>68.75260769980332</v>
      </c>
      <c r="AG51" s="251">
        <v>36.620312116424898</v>
      </c>
      <c r="AH51" s="251">
        <v>30.293995893612426</v>
      </c>
      <c r="AI51" s="251">
        <v>26.011085804889582</v>
      </c>
      <c r="AJ51" s="251">
        <v>23.456655366973095</v>
      </c>
      <c r="AK51" s="251">
        <v>19.456208606155759</v>
      </c>
      <c r="AL51" s="251">
        <v>17.090141208912151</v>
      </c>
      <c r="AM51" s="251">
        <v>15.618848911253133</v>
      </c>
      <c r="AN51" s="251">
        <v>14.161338249454486</v>
      </c>
      <c r="AO51" s="251">
        <v>12.712280791411615</v>
      </c>
      <c r="AP51" s="251">
        <v>11.270349870016386</v>
      </c>
      <c r="AQ51" s="251">
        <v>9.8297940012451193</v>
      </c>
      <c r="AR51" s="251">
        <v>8.3911961142119083</v>
      </c>
      <c r="AS51" s="251">
        <v>6.9576703933771133</v>
      </c>
      <c r="AT51" s="251">
        <v>5.5290234975426342</v>
      </c>
      <c r="AU51" s="251">
        <v>4.1038325822458326</v>
      </c>
      <c r="AV51" s="251">
        <v>2.6864565320363587</v>
      </c>
      <c r="AW51" s="251"/>
      <c r="AX51" s="251"/>
      <c r="AY51" s="251"/>
      <c r="AZ51" s="251"/>
      <c r="BA51" s="251"/>
      <c r="BB51" s="251"/>
      <c r="BC51" s="251"/>
      <c r="BD51" s="251"/>
      <c r="BE51" s="251"/>
      <c r="BF51" s="251"/>
    </row>
    <row r="52" spans="1:58" s="250" customFormat="1" ht="15" hidden="1" customHeight="1" x14ac:dyDescent="0.15">
      <c r="A52" s="248" t="s">
        <v>257</v>
      </c>
      <c r="B52" s="249" t="s">
        <v>52</v>
      </c>
      <c r="C52" s="250" t="s">
        <v>327</v>
      </c>
      <c r="D52" s="248" t="s">
        <v>7</v>
      </c>
      <c r="E52" s="248" t="s">
        <v>262</v>
      </c>
      <c r="F52" s="189" t="s">
        <v>263</v>
      </c>
      <c r="G52" s="248" t="s">
        <v>329</v>
      </c>
      <c r="H52" s="190"/>
      <c r="I52" s="190"/>
      <c r="J52" s="190"/>
      <c r="K52" s="190"/>
      <c r="L52" s="190"/>
      <c r="M52" s="190"/>
      <c r="N52" s="190"/>
      <c r="O52" s="190"/>
      <c r="P52" s="190"/>
      <c r="Q52" s="190"/>
      <c r="R52" s="190"/>
      <c r="S52" s="190"/>
      <c r="T52" s="251">
        <v>691.060445763178</v>
      </c>
      <c r="U52" s="251">
        <v>688.32687157102396</v>
      </c>
      <c r="V52" s="251">
        <v>695.45176153404816</v>
      </c>
      <c r="W52" s="251">
        <v>656.14169340321746</v>
      </c>
      <c r="X52" s="251">
        <v>611.47717958586247</v>
      </c>
      <c r="Y52" s="251">
        <v>569.29906290638576</v>
      </c>
      <c r="Z52" s="251">
        <v>527.86015870981737</v>
      </c>
      <c r="AA52" s="251">
        <v>478.02436355872067</v>
      </c>
      <c r="AB52" s="251">
        <v>431.01427188367057</v>
      </c>
      <c r="AC52" s="251">
        <v>378.36687629959607</v>
      </c>
      <c r="AD52" s="251">
        <v>335.736096703344</v>
      </c>
      <c r="AE52" s="251">
        <v>296.00616545713677</v>
      </c>
      <c r="AF52" s="251">
        <v>251.34875753293159</v>
      </c>
      <c r="AG52" s="251">
        <v>210.66176306299047</v>
      </c>
      <c r="AH52" s="251">
        <v>158.28919703931533</v>
      </c>
      <c r="AI52" s="251">
        <v>109.18324450352401</v>
      </c>
      <c r="AJ52" s="251">
        <v>85.103233801904736</v>
      </c>
      <c r="AK52" s="251">
        <v>62.243551306029374</v>
      </c>
      <c r="AL52" s="251">
        <v>42.211546462120609</v>
      </c>
      <c r="AM52" s="251">
        <v>35.400173871709228</v>
      </c>
      <c r="AN52" s="251">
        <v>28.629580931476731</v>
      </c>
      <c r="AO52" s="251">
        <v>22.47248828597747</v>
      </c>
      <c r="AP52" s="251">
        <v>16.131230597419172</v>
      </c>
      <c r="AQ52" s="251">
        <v>10.458192915228926</v>
      </c>
      <c r="AR52" s="251">
        <v>8.9692593869147874</v>
      </c>
      <c r="AS52" s="251">
        <v>7.4821263632599928</v>
      </c>
      <c r="AT52" s="251">
        <v>5.9958809959232831</v>
      </c>
      <c r="AU52" s="251">
        <v>4.5113324934803263</v>
      </c>
      <c r="AV52" s="251">
        <v>3.0293459231212592</v>
      </c>
      <c r="AW52" s="251"/>
      <c r="AX52" s="251"/>
      <c r="AY52" s="251"/>
      <c r="AZ52" s="251"/>
      <c r="BA52" s="251"/>
      <c r="BB52" s="251"/>
      <c r="BC52" s="251"/>
      <c r="BD52" s="251"/>
      <c r="BE52" s="251"/>
      <c r="BF52" s="251"/>
    </row>
    <row r="53" spans="1:58" s="250" customFormat="1" ht="15" hidden="1" customHeight="1" x14ac:dyDescent="0.15">
      <c r="A53" s="248" t="s">
        <v>257</v>
      </c>
      <c r="B53" s="249" t="s">
        <v>52</v>
      </c>
      <c r="C53" s="250" t="s">
        <v>233</v>
      </c>
      <c r="D53" s="248" t="s">
        <v>7</v>
      </c>
      <c r="E53" s="248" t="s">
        <v>262</v>
      </c>
      <c r="F53" s="189" t="s">
        <v>263</v>
      </c>
      <c r="G53" s="248" t="s">
        <v>329</v>
      </c>
      <c r="H53" s="190"/>
      <c r="I53" s="190"/>
      <c r="J53" s="190"/>
      <c r="K53" s="190"/>
      <c r="L53" s="190"/>
      <c r="M53" s="190"/>
      <c r="N53" s="190"/>
      <c r="O53" s="190"/>
      <c r="P53" s="190"/>
      <c r="Q53" s="190"/>
      <c r="R53" s="190"/>
      <c r="S53" s="190"/>
      <c r="T53" s="251">
        <v>728.98235251574749</v>
      </c>
      <c r="U53" s="251">
        <v>722.8299717490313</v>
      </c>
      <c r="V53" s="251">
        <v>709.60454661543918</v>
      </c>
      <c r="W53" s="251">
        <v>680.36307333241734</v>
      </c>
      <c r="X53" s="251">
        <v>635.61020614283825</v>
      </c>
      <c r="Y53" s="251">
        <v>583.99131545453952</v>
      </c>
      <c r="Z53" s="251">
        <v>532.84196460374892</v>
      </c>
      <c r="AA53" s="251">
        <v>463.97168244573311</v>
      </c>
      <c r="AB53" s="251">
        <v>398.13085445292393</v>
      </c>
      <c r="AC53" s="251">
        <v>310.71627680564279</v>
      </c>
      <c r="AD53" s="251">
        <v>248.18613343205467</v>
      </c>
      <c r="AE53" s="251">
        <v>192.24518342093853</v>
      </c>
      <c r="AF53" s="251">
        <v>148.40298260821504</v>
      </c>
      <c r="AG53" s="251">
        <v>108.23286953866345</v>
      </c>
      <c r="AH53" s="251">
        <v>82.779013181104247</v>
      </c>
      <c r="AI53" s="251">
        <v>59.960510937408607</v>
      </c>
      <c r="AJ53" s="251">
        <v>48.446130964931683</v>
      </c>
      <c r="AK53" s="251">
        <v>37.264591016005198</v>
      </c>
      <c r="AL53" s="251">
        <v>27.583461294356987</v>
      </c>
      <c r="AM53" s="251">
        <v>23.988769372933696</v>
      </c>
      <c r="AN53" s="251">
        <v>20.268892192160166</v>
      </c>
      <c r="AO53" s="251">
        <v>16.820360817499029</v>
      </c>
      <c r="AP53" s="251">
        <v>13.284923392197355</v>
      </c>
      <c r="AQ53" s="251">
        <v>10.048513708446679</v>
      </c>
      <c r="AR53" s="251">
        <v>8.5977416164411284</v>
      </c>
      <c r="AS53" s="251">
        <v>7.1517241587177081</v>
      </c>
      <c r="AT53" s="251">
        <v>5.7090753967861989</v>
      </c>
      <c r="AU53" s="251">
        <v>4.2692843440337223</v>
      </c>
      <c r="AV53" s="251">
        <v>2.83462241028462</v>
      </c>
      <c r="AW53" s="251"/>
      <c r="AX53" s="251"/>
      <c r="AY53" s="251"/>
      <c r="AZ53" s="251"/>
      <c r="BA53" s="251"/>
      <c r="BB53" s="251"/>
      <c r="BC53" s="251"/>
      <c r="BD53" s="251"/>
      <c r="BE53" s="251"/>
      <c r="BF53" s="251"/>
    </row>
    <row r="54" spans="1:58" s="190" customFormat="1" ht="15" customHeight="1" x14ac:dyDescent="0.15">
      <c r="A54" s="189" t="s">
        <v>254</v>
      </c>
      <c r="B54" s="191" t="s">
        <v>52</v>
      </c>
      <c r="C54" s="190" t="s">
        <v>326</v>
      </c>
      <c r="D54" s="189" t="s">
        <v>256</v>
      </c>
      <c r="E54" s="189" t="s">
        <v>29</v>
      </c>
      <c r="F54" s="189" t="s">
        <v>258</v>
      </c>
      <c r="G54" s="189" t="s">
        <v>329</v>
      </c>
      <c r="T54" s="226">
        <v>8.5973403665735408E-3</v>
      </c>
      <c r="U54" s="226">
        <v>1.8900073181171727E-2</v>
      </c>
      <c r="V54" s="226">
        <v>2.5951183763206643E-2</v>
      </c>
      <c r="W54" s="226">
        <v>6.2071004446444471E-2</v>
      </c>
      <c r="X54" s="226">
        <v>9.9999748930443694E-2</v>
      </c>
      <c r="Y54" s="226">
        <v>0.14999987846880417</v>
      </c>
      <c r="Z54" s="226">
        <v>0.1999983310723337</v>
      </c>
      <c r="AA54" s="226">
        <v>0.29999964470594087</v>
      </c>
      <c r="AB54" s="226">
        <v>0.39999880626234774</v>
      </c>
      <c r="AC54" s="226">
        <v>0.59999702914777386</v>
      </c>
      <c r="AD54" s="226">
        <v>0.724997836302266</v>
      </c>
      <c r="AE54" s="226">
        <v>0.849996061838179</v>
      </c>
      <c r="AF54" s="226">
        <v>0.92499761163230609</v>
      </c>
      <c r="AG54" s="226">
        <v>0.99999755139319602</v>
      </c>
      <c r="AH54" s="226">
        <v>0.99999766124816836</v>
      </c>
      <c r="AI54" s="226">
        <v>0.99999886734195742</v>
      </c>
      <c r="AJ54" s="226">
        <v>0.9999988829736135</v>
      </c>
      <c r="AK54" s="226">
        <v>0.99999888847639007</v>
      </c>
      <c r="AL54" s="226">
        <v>1</v>
      </c>
      <c r="AM54" s="226">
        <v>1</v>
      </c>
      <c r="AN54" s="226">
        <v>1</v>
      </c>
      <c r="AO54" s="226">
        <v>1</v>
      </c>
      <c r="AP54" s="226">
        <v>1</v>
      </c>
      <c r="AQ54" s="226">
        <v>1</v>
      </c>
      <c r="AR54" s="226">
        <v>1</v>
      </c>
      <c r="AS54" s="226">
        <v>1</v>
      </c>
      <c r="AT54" s="226">
        <v>1</v>
      </c>
      <c r="AU54" s="226">
        <v>1</v>
      </c>
      <c r="AV54" s="226">
        <v>1</v>
      </c>
      <c r="AW54" s="192"/>
      <c r="AX54" s="192"/>
      <c r="AY54" s="192"/>
      <c r="AZ54" s="192"/>
      <c r="BA54" s="192"/>
      <c r="BB54" s="192"/>
      <c r="BC54" s="192"/>
      <c r="BD54" s="192"/>
      <c r="BE54" s="192"/>
      <c r="BF54" s="192"/>
    </row>
    <row r="55" spans="1:58" s="190" customFormat="1" ht="15" customHeight="1" x14ac:dyDescent="0.15">
      <c r="A55" s="189" t="s">
        <v>254</v>
      </c>
      <c r="B55" s="191" t="s">
        <v>52</v>
      </c>
      <c r="C55" s="190" t="s">
        <v>413</v>
      </c>
      <c r="D55" s="189" t="s">
        <v>256</v>
      </c>
      <c r="E55" s="189" t="s">
        <v>29</v>
      </c>
      <c r="F55" s="189" t="s">
        <v>258</v>
      </c>
      <c r="G55" s="189" t="s">
        <v>329</v>
      </c>
      <c r="T55" s="226">
        <v>2.1630980698312631E-2</v>
      </c>
      <c r="U55" s="226">
        <v>1.0076571307029672E-2</v>
      </c>
      <c r="V55" s="226">
        <v>1.001018941900466E-2</v>
      </c>
      <c r="W55" s="226">
        <v>5.5000063269798054E-2</v>
      </c>
      <c r="X55" s="226">
        <v>0.10000006877725728</v>
      </c>
      <c r="Y55" s="226">
        <v>0.14999965857022868</v>
      </c>
      <c r="Z55" s="226">
        <v>0.1999997278683863</v>
      </c>
      <c r="AA55" s="226">
        <v>0.29999979651235748</v>
      </c>
      <c r="AB55" s="226">
        <v>0.4</v>
      </c>
      <c r="AC55" s="226">
        <v>0.60000035093999282</v>
      </c>
      <c r="AD55" s="226">
        <v>0.72500028689389251</v>
      </c>
      <c r="AE55" s="226">
        <v>0.85000039865237764</v>
      </c>
      <c r="AF55" s="226">
        <v>0.92499966605963735</v>
      </c>
      <c r="AG55" s="226">
        <v>1</v>
      </c>
      <c r="AH55" s="226">
        <v>1</v>
      </c>
      <c r="AI55" s="226">
        <v>1</v>
      </c>
      <c r="AJ55" s="226">
        <v>1</v>
      </c>
      <c r="AK55" s="226">
        <v>1</v>
      </c>
      <c r="AL55" s="226">
        <v>1</v>
      </c>
      <c r="AM55" s="226">
        <v>1</v>
      </c>
      <c r="AN55" s="226">
        <v>1</v>
      </c>
      <c r="AO55" s="226">
        <v>1</v>
      </c>
      <c r="AP55" s="226">
        <v>1</v>
      </c>
      <c r="AQ55" s="226">
        <v>1</v>
      </c>
      <c r="AR55" s="226">
        <v>1</v>
      </c>
      <c r="AS55" s="226">
        <v>1</v>
      </c>
      <c r="AT55" s="226">
        <v>1</v>
      </c>
      <c r="AU55" s="226">
        <v>1</v>
      </c>
      <c r="AV55" s="226">
        <v>1</v>
      </c>
      <c r="AW55" s="192"/>
      <c r="AX55" s="192"/>
      <c r="AY55" s="192"/>
      <c r="AZ55" s="192"/>
      <c r="BA55" s="192"/>
      <c r="BB55" s="192"/>
      <c r="BC55" s="192"/>
      <c r="BD55" s="192"/>
      <c r="BE55" s="192"/>
      <c r="BF55" s="192"/>
    </row>
    <row r="56" spans="1:58" s="190" customFormat="1" ht="15" customHeight="1" x14ac:dyDescent="0.15">
      <c r="A56" s="189" t="s">
        <v>254</v>
      </c>
      <c r="B56" s="191" t="s">
        <v>52</v>
      </c>
      <c r="C56" s="190" t="s">
        <v>327</v>
      </c>
      <c r="D56" s="189" t="s">
        <v>256</v>
      </c>
      <c r="E56" s="189" t="s">
        <v>29</v>
      </c>
      <c r="F56" s="189" t="s">
        <v>258</v>
      </c>
      <c r="G56" s="189" t="s">
        <v>329</v>
      </c>
      <c r="T56" s="226">
        <v>1.4766311285035012E-3</v>
      </c>
      <c r="U56" s="226">
        <v>1.5245855164375938E-3</v>
      </c>
      <c r="V56" s="226">
        <v>1.7817455090782942E-3</v>
      </c>
      <c r="W56" s="226">
        <v>2.3750546259500828E-2</v>
      </c>
      <c r="X56" s="226">
        <v>4.481192778615288E-2</v>
      </c>
      <c r="Y56" s="226">
        <v>6.6612791092571746E-2</v>
      </c>
      <c r="Z56" s="226">
        <v>8.824185727901912E-2</v>
      </c>
      <c r="AA56" s="226">
        <v>0.12751115107398348</v>
      </c>
      <c r="AB56" s="226">
        <v>0.16660354494855104</v>
      </c>
      <c r="AC56" s="226">
        <v>0.21084612197328625</v>
      </c>
      <c r="AD56" s="226">
        <v>0.25026238538349072</v>
      </c>
      <c r="AE56" s="226">
        <v>0.28841321923173557</v>
      </c>
      <c r="AF56" s="226">
        <v>0.36250786489487857</v>
      </c>
      <c r="AG56" s="226">
        <v>0.43664903291799056</v>
      </c>
      <c r="AH56" s="226">
        <v>0.5768925372132816</v>
      </c>
      <c r="AI56" s="226">
        <v>0.71760106288799741</v>
      </c>
      <c r="AJ56" s="226">
        <v>0.78043835993990551</v>
      </c>
      <c r="AK56" s="226">
        <v>0.84250210069381015</v>
      </c>
      <c r="AL56" s="226">
        <v>0.90563355031340964</v>
      </c>
      <c r="AM56" s="226">
        <v>0.9241418178712254</v>
      </c>
      <c r="AN56" s="226">
        <v>0.94305678061549225</v>
      </c>
      <c r="AO56" s="226">
        <v>0.96202339151643246</v>
      </c>
      <c r="AP56" s="226">
        <v>0.98100329752641013</v>
      </c>
      <c r="AQ56" s="226">
        <v>1</v>
      </c>
      <c r="AR56" s="226">
        <v>1</v>
      </c>
      <c r="AS56" s="226">
        <v>1</v>
      </c>
      <c r="AT56" s="226">
        <v>1</v>
      </c>
      <c r="AU56" s="226">
        <v>1</v>
      </c>
      <c r="AV56" s="226">
        <v>1</v>
      </c>
      <c r="AW56" s="192"/>
      <c r="AX56" s="192"/>
      <c r="AY56" s="192"/>
      <c r="AZ56" s="192"/>
      <c r="BA56" s="192"/>
      <c r="BB56" s="192"/>
      <c r="BC56" s="192"/>
      <c r="BD56" s="192"/>
      <c r="BE56" s="192"/>
      <c r="BF56" s="192"/>
    </row>
    <row r="57" spans="1:58" s="190" customFormat="1" ht="15" customHeight="1" x14ac:dyDescent="0.15">
      <c r="A57" s="189" t="s">
        <v>254</v>
      </c>
      <c r="B57" s="191" t="s">
        <v>52</v>
      </c>
      <c r="C57" s="190" t="s">
        <v>233</v>
      </c>
      <c r="D57" s="189" t="s">
        <v>256</v>
      </c>
      <c r="E57" s="189" t="s">
        <v>29</v>
      </c>
      <c r="F57" s="189" t="s">
        <v>258</v>
      </c>
      <c r="G57" s="189" t="s">
        <v>329</v>
      </c>
      <c r="T57" s="226">
        <v>1.1399685045376497E-2</v>
      </c>
      <c r="U57" s="226">
        <v>9.4510477793068055E-3</v>
      </c>
      <c r="V57" s="226">
        <v>1.1160621996212493E-2</v>
      </c>
      <c r="W57" s="226">
        <v>4.6837466863949788E-2</v>
      </c>
      <c r="X57" s="226">
        <v>8.2016126689074334E-2</v>
      </c>
      <c r="Y57" s="226">
        <v>0.12251068117434596</v>
      </c>
      <c r="Z57" s="226">
        <v>0.16270770651601404</v>
      </c>
      <c r="AA57" s="226">
        <v>0.24160711193474829</v>
      </c>
      <c r="AB57" s="226">
        <v>0.31958771640572259</v>
      </c>
      <c r="AC57" s="226">
        <v>0.44503446556209192</v>
      </c>
      <c r="AD57" s="226">
        <v>0.53120128317833404</v>
      </c>
      <c r="AE57" s="226">
        <v>0.61663876312162669</v>
      </c>
      <c r="AF57" s="226">
        <v>0.68896244568156662</v>
      </c>
      <c r="AG57" s="226">
        <v>0.76329878247604743</v>
      </c>
      <c r="AH57" s="226">
        <v>0.82269383059005208</v>
      </c>
      <c r="AI57" s="226">
        <v>0.88183654124746114</v>
      </c>
      <c r="AJ57" s="226">
        <v>0.90804408438331519</v>
      </c>
      <c r="AK57" s="226">
        <v>0.93391567208648063</v>
      </c>
      <c r="AL57" s="226">
        <v>0.96035282349731743</v>
      </c>
      <c r="AM57" s="226">
        <v>0.96712010505894985</v>
      </c>
      <c r="AN57" s="226">
        <v>0.97544618582805509</v>
      </c>
      <c r="AO57" s="226">
        <v>0.98368993203510369</v>
      </c>
      <c r="AP57" s="226">
        <v>0.99188065905915557</v>
      </c>
      <c r="AQ57" s="226">
        <v>1</v>
      </c>
      <c r="AR57" s="226">
        <v>1</v>
      </c>
      <c r="AS57" s="226">
        <v>1</v>
      </c>
      <c r="AT57" s="226">
        <v>1</v>
      </c>
      <c r="AU57" s="226">
        <v>1</v>
      </c>
      <c r="AV57" s="226">
        <v>1</v>
      </c>
      <c r="AW57" s="192"/>
      <c r="AX57" s="192"/>
      <c r="AY57" s="192"/>
      <c r="AZ57" s="192"/>
      <c r="BA57" s="192"/>
      <c r="BB57" s="192"/>
      <c r="BC57" s="192"/>
      <c r="BD57" s="192"/>
      <c r="BE57" s="192"/>
      <c r="BF57" s="192"/>
    </row>
    <row r="58" spans="1:58" s="256" customFormat="1" ht="15" customHeight="1" x14ac:dyDescent="0.15">
      <c r="A58" s="254" t="s">
        <v>443</v>
      </c>
      <c r="B58" s="255" t="s">
        <v>52</v>
      </c>
      <c r="C58" s="256" t="s">
        <v>326</v>
      </c>
      <c r="D58" s="254" t="s">
        <v>7</v>
      </c>
      <c r="E58" s="254" t="s">
        <v>262</v>
      </c>
      <c r="F58" s="254"/>
      <c r="G58" s="254" t="s">
        <v>329</v>
      </c>
      <c r="T58" s="257">
        <v>811.63032127439499</v>
      </c>
      <c r="U58" s="257">
        <v>800.93210449916398</v>
      </c>
      <c r="V58" s="257">
        <v>789.04972445913995</v>
      </c>
      <c r="W58" s="257">
        <v>750.51038207707495</v>
      </c>
      <c r="X58" s="257">
        <v>708.20677888277396</v>
      </c>
      <c r="Y58" s="257">
        <v>639.12973326217502</v>
      </c>
      <c r="Z58" s="257">
        <v>573.79408454372401</v>
      </c>
      <c r="AA58" s="257">
        <v>480.29483874275701</v>
      </c>
      <c r="AB58" s="257">
        <v>392.76302863980101</v>
      </c>
      <c r="AC58" s="257">
        <v>252.589762348622</v>
      </c>
      <c r="AD58" s="257">
        <v>163.99157386684499</v>
      </c>
      <c r="AE58" s="257">
        <v>87.446919442845498</v>
      </c>
      <c r="AF58" s="257">
        <v>40.531417120228198</v>
      </c>
      <c r="AG58" s="257">
        <v>4.8789070292634601E-2</v>
      </c>
      <c r="AH58" s="257">
        <v>4.3837267962887401E-2</v>
      </c>
      <c r="AI58" s="257">
        <v>6.3613519129425097E-4</v>
      </c>
      <c r="AJ58" s="257">
        <v>5.9668482545612695E-4</v>
      </c>
      <c r="AK58" s="257">
        <v>5.6697333328230098E-4</v>
      </c>
      <c r="AL58" s="257">
        <v>0</v>
      </c>
      <c r="AM58" s="257">
        <v>0</v>
      </c>
      <c r="AN58" s="257">
        <v>0</v>
      </c>
      <c r="AO58" s="257">
        <v>0</v>
      </c>
      <c r="AP58" s="257">
        <v>0</v>
      </c>
      <c r="AQ58" s="257">
        <v>0</v>
      </c>
      <c r="AR58" s="257">
        <v>0</v>
      </c>
      <c r="AS58" s="257">
        <v>0</v>
      </c>
      <c r="AT58" s="257">
        <v>0</v>
      </c>
      <c r="AU58" s="257">
        <v>0</v>
      </c>
      <c r="AV58" s="257">
        <v>0</v>
      </c>
      <c r="AW58" s="258"/>
      <c r="AX58" s="258"/>
      <c r="AY58" s="258"/>
      <c r="AZ58" s="258"/>
      <c r="BA58" s="258"/>
      <c r="BB58" s="258"/>
      <c r="BC58" s="258"/>
      <c r="BD58" s="258"/>
      <c r="BE58" s="258"/>
      <c r="BF58" s="258"/>
    </row>
    <row r="59" spans="1:58" s="261" customFormat="1" ht="15" customHeight="1" x14ac:dyDescent="0.15">
      <c r="A59" s="259" t="s">
        <v>443</v>
      </c>
      <c r="B59" s="260" t="s">
        <v>52</v>
      </c>
      <c r="C59" s="261" t="s">
        <v>413</v>
      </c>
      <c r="D59" s="259" t="s">
        <v>7</v>
      </c>
      <c r="E59" s="259" t="s">
        <v>262</v>
      </c>
      <c r="F59" s="259"/>
      <c r="G59" s="259" t="s">
        <v>329</v>
      </c>
      <c r="T59" s="262">
        <v>535.69239667199895</v>
      </c>
      <c r="U59" s="262">
        <v>530.78437726456104</v>
      </c>
      <c r="V59" s="262">
        <v>527.12574460977203</v>
      </c>
      <c r="W59" s="262">
        <v>491.65347567798801</v>
      </c>
      <c r="X59" s="262">
        <v>452.62369917793302</v>
      </c>
      <c r="Y59" s="262">
        <v>414.015476820483</v>
      </c>
      <c r="Z59" s="262">
        <v>373.82506675965402</v>
      </c>
      <c r="AA59" s="262">
        <v>321.086872221536</v>
      </c>
      <c r="AB59" s="262">
        <v>266.87480399999998</v>
      </c>
      <c r="AC59" s="262">
        <v>182.560038117049</v>
      </c>
      <c r="AD59" s="262">
        <v>125.278852739448</v>
      </c>
      <c r="AE59" s="262">
        <v>70.908288207065397</v>
      </c>
      <c r="AF59" s="262">
        <v>37.088661375905502</v>
      </c>
      <c r="AG59" s="262">
        <v>6.7359999999999998</v>
      </c>
      <c r="AH59" s="262">
        <v>3.2080000000000002</v>
      </c>
      <c r="AI59" s="262">
        <v>1.528</v>
      </c>
      <c r="AJ59" s="262">
        <v>1.4550000000000001</v>
      </c>
      <c r="AK59" s="262">
        <v>0</v>
      </c>
      <c r="AL59" s="262">
        <v>0</v>
      </c>
      <c r="AM59" s="262">
        <v>0</v>
      </c>
      <c r="AN59" s="262">
        <v>0</v>
      </c>
      <c r="AO59" s="262">
        <v>0</v>
      </c>
      <c r="AP59" s="262">
        <v>0</v>
      </c>
      <c r="AQ59" s="262">
        <v>0</v>
      </c>
      <c r="AR59" s="262">
        <v>0</v>
      </c>
      <c r="AS59" s="262">
        <v>0</v>
      </c>
      <c r="AT59" s="262">
        <v>0</v>
      </c>
      <c r="AU59" s="262">
        <v>0</v>
      </c>
      <c r="AV59" s="262">
        <v>0</v>
      </c>
      <c r="AW59" s="263"/>
      <c r="AX59" s="263"/>
      <c r="AY59" s="263"/>
      <c r="AZ59" s="263"/>
      <c r="BA59" s="263"/>
      <c r="BB59" s="263"/>
      <c r="BC59" s="263"/>
      <c r="BD59" s="263"/>
      <c r="BE59" s="263"/>
      <c r="BF59" s="263"/>
    </row>
    <row r="60" spans="1:58" s="256" customFormat="1" ht="15" customHeight="1" x14ac:dyDescent="0.15">
      <c r="A60" s="254" t="s">
        <v>443</v>
      </c>
      <c r="B60" s="255" t="s">
        <v>52</v>
      </c>
      <c r="C60" s="256" t="s">
        <v>327</v>
      </c>
      <c r="D60" s="254" t="s">
        <v>7</v>
      </c>
      <c r="E60" s="254" t="s">
        <v>262</v>
      </c>
      <c r="F60" s="254"/>
      <c r="G60" s="254" t="s">
        <v>329</v>
      </c>
      <c r="T60" s="257">
        <v>640.60073886793396</v>
      </c>
      <c r="U60" s="257">
        <v>637.77070555840498</v>
      </c>
      <c r="V60" s="257">
        <v>646.96583673575401</v>
      </c>
      <c r="W60" s="257">
        <v>609.89479778831003</v>
      </c>
      <c r="X60" s="257">
        <v>567.75722126252504</v>
      </c>
      <c r="Y60" s="257">
        <v>528.19618270718195</v>
      </c>
      <c r="Z60" s="257">
        <v>489.594119561198</v>
      </c>
      <c r="AA60" s="257">
        <v>442.46304626378202</v>
      </c>
      <c r="AB60" s="257">
        <v>398.07466125884798</v>
      </c>
      <c r="AC60" s="257">
        <v>347.19659711356297</v>
      </c>
      <c r="AD60" s="257">
        <v>306.26232454237203</v>
      </c>
      <c r="AE60" s="257">
        <v>268.405616040594</v>
      </c>
      <c r="AF60" s="257">
        <v>225.65006591706199</v>
      </c>
      <c r="AG60" s="257">
        <v>185.97421421923801</v>
      </c>
      <c r="AH60" s="257">
        <v>134.47804738808</v>
      </c>
      <c r="AI60" s="257">
        <v>86.340589466529593</v>
      </c>
      <c r="AJ60" s="257">
        <v>63.991930546735801</v>
      </c>
      <c r="AK60" s="257">
        <v>42.966870136962399</v>
      </c>
      <c r="AL60" s="257">
        <v>24.869337495408601</v>
      </c>
      <c r="AM60" s="257">
        <v>19.399242820508</v>
      </c>
      <c r="AN60" s="257">
        <v>13.9861213840398</v>
      </c>
      <c r="AO60" s="257">
        <v>9.2042391116621705</v>
      </c>
      <c r="AP60" s="257">
        <v>4.25833914712143</v>
      </c>
      <c r="AQ60" s="257">
        <v>0</v>
      </c>
      <c r="AR60" s="257">
        <v>0</v>
      </c>
      <c r="AS60" s="257">
        <v>0</v>
      </c>
      <c r="AT60" s="257">
        <v>0</v>
      </c>
      <c r="AU60" s="257">
        <v>0</v>
      </c>
      <c r="AV60" s="257">
        <v>0</v>
      </c>
      <c r="AW60" s="258"/>
      <c r="AX60" s="258"/>
      <c r="AY60" s="258"/>
      <c r="AZ60" s="258"/>
      <c r="BA60" s="258"/>
      <c r="BB60" s="258"/>
      <c r="BC60" s="258"/>
      <c r="BD60" s="258"/>
      <c r="BE60" s="258"/>
      <c r="BF60" s="258"/>
    </row>
    <row r="61" spans="1:58" s="261" customFormat="1" ht="15" customHeight="1" x14ac:dyDescent="0.15">
      <c r="A61" s="259" t="s">
        <v>443</v>
      </c>
      <c r="B61" s="260" t="s">
        <v>52</v>
      </c>
      <c r="C61" s="261" t="s">
        <v>233</v>
      </c>
      <c r="D61" s="259" t="s">
        <v>7</v>
      </c>
      <c r="E61" s="259" t="s">
        <v>262</v>
      </c>
      <c r="F61" s="259"/>
      <c r="G61" s="259" t="s">
        <v>329</v>
      </c>
      <c r="T61" s="262">
        <v>679.19519062862196</v>
      </c>
      <c r="U61" s="262">
        <v>673.19418117634496</v>
      </c>
      <c r="V61" s="262">
        <v>662.10979062307104</v>
      </c>
      <c r="W61" s="262">
        <v>633.88528818593102</v>
      </c>
      <c r="X61" s="262">
        <v>590.53755674737204</v>
      </c>
      <c r="Y61" s="262">
        <v>540.89094341870702</v>
      </c>
      <c r="Z61" s="262">
        <v>492.00209900855299</v>
      </c>
      <c r="AA61" s="262">
        <v>425.60533317817999</v>
      </c>
      <c r="AB61" s="262">
        <v>362.17286116966</v>
      </c>
      <c r="AC61" s="262">
        <v>276.62514913512399</v>
      </c>
      <c r="AD61" s="262">
        <v>215.88777194455599</v>
      </c>
      <c r="AE61" s="262">
        <v>161.79063383953101</v>
      </c>
      <c r="AF61" s="262">
        <v>119.772882735409</v>
      </c>
      <c r="AG61" s="262">
        <v>80.972019891622196</v>
      </c>
      <c r="AH61" s="262">
        <v>57.419933522646502</v>
      </c>
      <c r="AI61" s="262">
        <v>36.451065707015097</v>
      </c>
      <c r="AJ61" s="262">
        <v>27.045630078879402</v>
      </c>
      <c r="AK61" s="262">
        <v>18.031737587881299</v>
      </c>
      <c r="AL61" s="262">
        <v>10.4978259856137</v>
      </c>
      <c r="AM61" s="262">
        <v>8.30082520161635</v>
      </c>
      <c r="AN61" s="262">
        <v>5.98303551333521</v>
      </c>
      <c r="AO61" s="262">
        <v>3.9400968217352199</v>
      </c>
      <c r="AP61" s="262">
        <v>1.8164741589706701</v>
      </c>
      <c r="AQ61" s="262">
        <v>0</v>
      </c>
      <c r="AR61" s="262">
        <v>0</v>
      </c>
      <c r="AS61" s="262">
        <v>0</v>
      </c>
      <c r="AT61" s="262">
        <v>0</v>
      </c>
      <c r="AU61" s="262">
        <v>0</v>
      </c>
      <c r="AV61" s="262">
        <v>0</v>
      </c>
      <c r="AW61" s="263"/>
      <c r="AX61" s="263"/>
      <c r="AY61" s="263"/>
      <c r="AZ61" s="263"/>
      <c r="BA61" s="263"/>
      <c r="BB61" s="263"/>
      <c r="BC61" s="263"/>
      <c r="BD61" s="263"/>
      <c r="BE61" s="263"/>
      <c r="BF61" s="263"/>
    </row>
    <row r="62" spans="1:58" s="256" customFormat="1" ht="15" customHeight="1" x14ac:dyDescent="0.15">
      <c r="A62" s="254" t="s">
        <v>443</v>
      </c>
      <c r="B62" s="255" t="s">
        <v>52</v>
      </c>
      <c r="C62" s="256" t="s">
        <v>326</v>
      </c>
      <c r="D62" s="254" t="s">
        <v>7</v>
      </c>
      <c r="E62" s="254" t="s">
        <v>262</v>
      </c>
      <c r="F62" s="254"/>
      <c r="G62" s="254" t="s">
        <v>330</v>
      </c>
      <c r="T62" s="257">
        <v>913.865545368006</v>
      </c>
      <c r="U62" s="257">
        <v>906.444653931419</v>
      </c>
      <c r="V62" s="257">
        <v>899.34963108356999</v>
      </c>
      <c r="W62" s="257">
        <v>824.97551326187704</v>
      </c>
      <c r="X62" s="257">
        <v>753.38578389935299</v>
      </c>
      <c r="Y62" s="257">
        <v>679.35986594511496</v>
      </c>
      <c r="Z62" s="257">
        <v>610.00744957154905</v>
      </c>
      <c r="AA62" s="257">
        <v>510.94208995455102</v>
      </c>
      <c r="AB62" s="257">
        <v>418.481660937882</v>
      </c>
      <c r="AC62" s="257">
        <v>269.83304641536802</v>
      </c>
      <c r="AD62" s="257">
        <v>175.73408796169801</v>
      </c>
      <c r="AE62" s="257">
        <v>93.840239706064395</v>
      </c>
      <c r="AF62" s="257">
        <v>43.451672214555998</v>
      </c>
      <c r="AG62" s="257">
        <v>3.1006928445491199E-2</v>
      </c>
      <c r="AH62" s="257">
        <v>2.8355261026729601E-2</v>
      </c>
      <c r="AI62" s="257">
        <v>1.7673144005582501E-3</v>
      </c>
      <c r="AJ62" s="257">
        <v>1.6312135197629201E-3</v>
      </c>
      <c r="AK62" s="257">
        <v>1.52776873607975E-3</v>
      </c>
      <c r="AL62" s="257">
        <v>7.2388788368929903E-4</v>
      </c>
      <c r="AM62" s="257">
        <v>7.0669939571572503E-4</v>
      </c>
      <c r="AN62" s="257">
        <v>0</v>
      </c>
      <c r="AO62" s="257">
        <v>0</v>
      </c>
      <c r="AP62" s="257">
        <v>0</v>
      </c>
      <c r="AQ62" s="257">
        <v>0</v>
      </c>
      <c r="AR62" s="257">
        <v>0</v>
      </c>
      <c r="AS62" s="257">
        <v>0</v>
      </c>
      <c r="AT62" s="257">
        <v>0</v>
      </c>
      <c r="AU62" s="257">
        <v>0</v>
      </c>
      <c r="AV62" s="257">
        <v>0</v>
      </c>
      <c r="AW62" s="258"/>
      <c r="AX62" s="258"/>
      <c r="AY62" s="258"/>
      <c r="AZ62" s="258"/>
      <c r="BA62" s="258"/>
      <c r="BB62" s="258"/>
      <c r="BC62" s="258"/>
      <c r="BD62" s="258"/>
      <c r="BE62" s="258"/>
      <c r="BF62" s="258"/>
    </row>
    <row r="63" spans="1:58" s="261" customFormat="1" ht="15" customHeight="1" x14ac:dyDescent="0.15">
      <c r="A63" s="259" t="s">
        <v>443</v>
      </c>
      <c r="B63" s="260" t="s">
        <v>52</v>
      </c>
      <c r="C63" s="261" t="s">
        <v>413</v>
      </c>
      <c r="D63" s="259" t="s">
        <v>7</v>
      </c>
      <c r="E63" s="259" t="s">
        <v>262</v>
      </c>
      <c r="F63" s="259"/>
      <c r="G63" s="259" t="s">
        <v>330</v>
      </c>
      <c r="T63" s="262">
        <v>867.46435180266496</v>
      </c>
      <c r="U63" s="262">
        <v>860.35986198814999</v>
      </c>
      <c r="V63" s="262">
        <v>853.908735896091</v>
      </c>
      <c r="W63" s="262">
        <v>800.05580139911399</v>
      </c>
      <c r="X63" s="262">
        <v>746.80927098183304</v>
      </c>
      <c r="Y63" s="262">
        <v>678.87494129435095</v>
      </c>
      <c r="Z63" s="262">
        <v>611.37260800000001</v>
      </c>
      <c r="AA63" s="262">
        <v>519.37594799999999</v>
      </c>
      <c r="AB63" s="262">
        <v>428.94474901289499</v>
      </c>
      <c r="AC63" s="262">
        <v>285.95587261500702</v>
      </c>
      <c r="AD63" s="262">
        <v>193.22760174999999</v>
      </c>
      <c r="AE63" s="262">
        <v>106.423471692924</v>
      </c>
      <c r="AF63" s="262">
        <v>54.125481276624903</v>
      </c>
      <c r="AG63" s="262">
        <v>7</v>
      </c>
      <c r="AH63" s="262">
        <v>3.3340000000000001</v>
      </c>
      <c r="AI63" s="262">
        <v>1.587</v>
      </c>
      <c r="AJ63" s="262">
        <v>1.512</v>
      </c>
      <c r="AK63" s="262">
        <v>0</v>
      </c>
      <c r="AL63" s="262">
        <v>0</v>
      </c>
      <c r="AM63" s="262">
        <v>0</v>
      </c>
      <c r="AN63" s="262">
        <v>0</v>
      </c>
      <c r="AO63" s="262">
        <v>0</v>
      </c>
      <c r="AP63" s="262">
        <v>0</v>
      </c>
      <c r="AQ63" s="262">
        <v>0</v>
      </c>
      <c r="AR63" s="262">
        <v>0</v>
      </c>
      <c r="AS63" s="262">
        <v>0</v>
      </c>
      <c r="AT63" s="262">
        <v>0</v>
      </c>
      <c r="AU63" s="262">
        <v>0</v>
      </c>
      <c r="AV63" s="262">
        <v>0</v>
      </c>
      <c r="AW63" s="263"/>
      <c r="AX63" s="263"/>
      <c r="AY63" s="263"/>
      <c r="AZ63" s="263"/>
      <c r="BA63" s="263"/>
      <c r="BB63" s="263"/>
      <c r="BC63" s="263"/>
      <c r="BD63" s="263"/>
      <c r="BE63" s="263"/>
      <c r="BF63" s="263"/>
    </row>
    <row r="64" spans="1:58" s="256" customFormat="1" ht="15" customHeight="1" x14ac:dyDescent="0.15">
      <c r="A64" s="254" t="s">
        <v>443</v>
      </c>
      <c r="B64" s="255" t="s">
        <v>52</v>
      </c>
      <c r="C64" s="256" t="s">
        <v>327</v>
      </c>
      <c r="D64" s="254" t="s">
        <v>7</v>
      </c>
      <c r="E64" s="254" t="s">
        <v>262</v>
      </c>
      <c r="F64" s="254"/>
      <c r="G64" s="254" t="s">
        <v>330</v>
      </c>
      <c r="T64" s="257">
        <v>905.24640418654997</v>
      </c>
      <c r="U64" s="257">
        <v>900.74257840375799</v>
      </c>
      <c r="V64" s="257">
        <v>891.09535206394605</v>
      </c>
      <c r="W64" s="257">
        <v>845.58987931522699</v>
      </c>
      <c r="X64" s="257">
        <v>804.62460509243203</v>
      </c>
      <c r="Y64" s="257">
        <v>763.76982236202105</v>
      </c>
      <c r="Z64" s="257">
        <v>724.89401743227495</v>
      </c>
      <c r="AA64" s="257">
        <v>685.10416554544804</v>
      </c>
      <c r="AB64" s="257">
        <v>647.43830268228805</v>
      </c>
      <c r="AC64" s="257">
        <v>594.08884310265501</v>
      </c>
      <c r="AD64" s="257">
        <v>546.41360812909204</v>
      </c>
      <c r="AE64" s="257">
        <v>501.46786495567198</v>
      </c>
      <c r="AF64" s="257">
        <v>461.80498138440601</v>
      </c>
      <c r="AG64" s="257">
        <v>405.059578241846</v>
      </c>
      <c r="AH64" s="257">
        <v>355.85353953590499</v>
      </c>
      <c r="AI64" s="257">
        <v>309.48010984745503</v>
      </c>
      <c r="AJ64" s="257">
        <v>266.76413324430803</v>
      </c>
      <c r="AK64" s="257">
        <v>227.111102799766</v>
      </c>
      <c r="AL64" s="257">
        <v>190.967559022377</v>
      </c>
      <c r="AM64" s="257">
        <v>119.752278606511</v>
      </c>
      <c r="AN64" s="257">
        <v>53.274617717214198</v>
      </c>
      <c r="AO64" s="257">
        <v>34.198302566810398</v>
      </c>
      <c r="AP64" s="257">
        <v>16.0594422010134</v>
      </c>
      <c r="AQ64" s="257">
        <v>0</v>
      </c>
      <c r="AR64" s="257">
        <v>0</v>
      </c>
      <c r="AS64" s="257">
        <v>0</v>
      </c>
      <c r="AT64" s="257">
        <v>0</v>
      </c>
      <c r="AU64" s="257">
        <v>0</v>
      </c>
      <c r="AV64" s="257">
        <v>0</v>
      </c>
      <c r="AW64" s="258"/>
      <c r="AX64" s="258"/>
      <c r="AY64" s="258"/>
      <c r="AZ64" s="258"/>
      <c r="BA64" s="258"/>
      <c r="BB64" s="258"/>
      <c r="BC64" s="258"/>
      <c r="BD64" s="258"/>
      <c r="BE64" s="258"/>
      <c r="BF64" s="258"/>
    </row>
    <row r="65" spans="1:58" s="261" customFormat="1" ht="15" customHeight="1" x14ac:dyDescent="0.15">
      <c r="A65" s="259" t="s">
        <v>443</v>
      </c>
      <c r="B65" s="260" t="s">
        <v>52</v>
      </c>
      <c r="C65" s="261" t="s">
        <v>233</v>
      </c>
      <c r="D65" s="259" t="s">
        <v>7</v>
      </c>
      <c r="E65" s="259" t="s">
        <v>262</v>
      </c>
      <c r="F65" s="259"/>
      <c r="G65" s="259" t="s">
        <v>330</v>
      </c>
      <c r="T65" s="262">
        <v>905.77684838775394</v>
      </c>
      <c r="U65" s="262">
        <v>898.81667351186604</v>
      </c>
      <c r="V65" s="262">
        <v>886.39799625304499</v>
      </c>
      <c r="W65" s="262">
        <v>825.83761746451103</v>
      </c>
      <c r="X65" s="262">
        <v>766.82812379473501</v>
      </c>
      <c r="Y65" s="262">
        <v>703.35681961696196</v>
      </c>
      <c r="Z65" s="262">
        <v>643.38263703259895</v>
      </c>
      <c r="AA65" s="262">
        <v>563.38775003529702</v>
      </c>
      <c r="AB65" s="262">
        <v>488.560682758025</v>
      </c>
      <c r="AC65" s="262">
        <v>379.55097618226102</v>
      </c>
      <c r="AD65" s="262">
        <v>303.14523996679702</v>
      </c>
      <c r="AE65" s="262">
        <v>234.105418757774</v>
      </c>
      <c r="AF65" s="262">
        <v>186.56182699572301</v>
      </c>
      <c r="AG65" s="262">
        <v>136.50269596850401</v>
      </c>
      <c r="AH65" s="262">
        <v>117.49057026113501</v>
      </c>
      <c r="AI65" s="262">
        <v>100.568823799569</v>
      </c>
      <c r="AJ65" s="262">
        <v>86.165907098979801</v>
      </c>
      <c r="AK65" s="262">
        <v>73.194608740408697</v>
      </c>
      <c r="AL65" s="262">
        <v>61.912492177462397</v>
      </c>
      <c r="AM65" s="262">
        <v>40.4692514697321</v>
      </c>
      <c r="AN65" s="262">
        <v>18.148252729039701</v>
      </c>
      <c r="AO65" s="262">
        <v>11.7163973383417</v>
      </c>
      <c r="AP65" s="262">
        <v>5.5166614430014702</v>
      </c>
      <c r="AQ65" s="262">
        <v>0</v>
      </c>
      <c r="AR65" s="262">
        <v>0</v>
      </c>
      <c r="AS65" s="262">
        <v>0</v>
      </c>
      <c r="AT65" s="262">
        <v>0</v>
      </c>
      <c r="AU65" s="262">
        <v>0</v>
      </c>
      <c r="AV65" s="262">
        <v>0</v>
      </c>
      <c r="AW65" s="263"/>
      <c r="AX65" s="263"/>
      <c r="AY65" s="263"/>
      <c r="AZ65" s="263"/>
      <c r="BA65" s="263"/>
      <c r="BB65" s="263"/>
      <c r="BC65" s="263"/>
      <c r="BD65" s="263"/>
      <c r="BE65" s="263"/>
      <c r="BF65" s="263"/>
    </row>
    <row r="66" spans="1:58" s="250" customFormat="1" ht="15" hidden="1" customHeight="1" x14ac:dyDescent="0.15">
      <c r="A66" s="248" t="s">
        <v>257</v>
      </c>
      <c r="B66" s="249" t="s">
        <v>52</v>
      </c>
      <c r="C66" s="250" t="s">
        <v>326</v>
      </c>
      <c r="D66" s="248" t="s">
        <v>7</v>
      </c>
      <c r="E66" s="248" t="s">
        <v>262</v>
      </c>
      <c r="F66" s="189" t="s">
        <v>263</v>
      </c>
      <c r="G66" s="248" t="s">
        <v>330</v>
      </c>
      <c r="H66" s="190"/>
      <c r="I66" s="190"/>
      <c r="J66" s="190"/>
      <c r="K66" s="190"/>
      <c r="L66" s="190"/>
      <c r="M66" s="190"/>
      <c r="N66" s="190"/>
      <c r="O66" s="190"/>
      <c r="P66" s="190"/>
      <c r="Q66" s="190"/>
      <c r="R66" s="190"/>
      <c r="S66" s="190"/>
      <c r="T66" s="251">
        <v>976.66144678035494</v>
      </c>
      <c r="U66" s="251">
        <v>969.24929429736176</v>
      </c>
      <c r="V66" s="251">
        <v>958.85024542716337</v>
      </c>
      <c r="W66" s="251">
        <v>882.51554947297302</v>
      </c>
      <c r="X66" s="251">
        <v>808.51542374440282</v>
      </c>
      <c r="Y66" s="251">
        <v>731.58244793243978</v>
      </c>
      <c r="Z66" s="251">
        <v>659.24478228833846</v>
      </c>
      <c r="AA66" s="251">
        <v>557.05082224684668</v>
      </c>
      <c r="AB66" s="251">
        <v>461.59613387820298</v>
      </c>
      <c r="AC66" s="251">
        <v>310.74446749993399</v>
      </c>
      <c r="AD66" s="251">
        <v>214.21531601979459</v>
      </c>
      <c r="AE66" s="251">
        <v>130.1023656818526</v>
      </c>
      <c r="AF66" s="251">
        <v>77.454847538082589</v>
      </c>
      <c r="AG66" s="251">
        <v>31.901767414835774</v>
      </c>
      <c r="AH66" s="251">
        <v>29.109542031067253</v>
      </c>
      <c r="AI66" s="251">
        <v>26.409060812437868</v>
      </c>
      <c r="AJ66" s="251">
        <v>23.866569801474782</v>
      </c>
      <c r="AK66" s="251">
        <v>21.323234999563688</v>
      </c>
      <c r="AL66" s="251">
        <v>18.813614403663117</v>
      </c>
      <c r="AM66" s="251">
        <v>17.193569988022936</v>
      </c>
      <c r="AN66" s="251">
        <v>15.595590145893858</v>
      </c>
      <c r="AO66" s="251">
        <v>14.012499313045378</v>
      </c>
      <c r="AP66" s="251">
        <v>12.441504961195854</v>
      </c>
      <c r="AQ66" s="251">
        <v>10.872673434684051</v>
      </c>
      <c r="AR66" s="251">
        <v>9.3069770729229422</v>
      </c>
      <c r="AS66" s="251">
        <v>7.749857697412244</v>
      </c>
      <c r="AT66" s="251">
        <v>6.200989731594519</v>
      </c>
      <c r="AU66" s="251">
        <v>4.6578088670857829</v>
      </c>
      <c r="AV66" s="251">
        <v>3.1282131338264292</v>
      </c>
      <c r="AW66" s="251"/>
      <c r="AX66" s="251"/>
      <c r="AY66" s="251"/>
      <c r="AZ66" s="251"/>
      <c r="BA66" s="251"/>
      <c r="BB66" s="251"/>
      <c r="BC66" s="251"/>
      <c r="BD66" s="251"/>
      <c r="BE66" s="251"/>
      <c r="BF66" s="251"/>
    </row>
    <row r="67" spans="1:58" s="250" customFormat="1" ht="15" hidden="1" customHeight="1" x14ac:dyDescent="0.15">
      <c r="A67" s="248" t="s">
        <v>257</v>
      </c>
      <c r="B67" s="249" t="s">
        <v>52</v>
      </c>
      <c r="C67" s="250" t="s">
        <v>413</v>
      </c>
      <c r="D67" s="248" t="s">
        <v>7</v>
      </c>
      <c r="E67" s="248" t="s">
        <v>262</v>
      </c>
      <c r="F67" s="189" t="s">
        <v>263</v>
      </c>
      <c r="G67" s="248" t="s">
        <v>330</v>
      </c>
      <c r="H67" s="190"/>
      <c r="I67" s="190"/>
      <c r="J67" s="190"/>
      <c r="K67" s="190"/>
      <c r="L67" s="190"/>
      <c r="M67" s="190"/>
      <c r="N67" s="190"/>
      <c r="O67" s="190"/>
      <c r="P67" s="190"/>
      <c r="Q67" s="190"/>
      <c r="R67" s="190"/>
      <c r="S67" s="190"/>
      <c r="T67" s="251">
        <v>942.37319539118187</v>
      </c>
      <c r="U67" s="251">
        <v>935.2679651653981</v>
      </c>
      <c r="V67" s="251">
        <v>925.98119690256476</v>
      </c>
      <c r="W67" s="251">
        <v>870.09045682986016</v>
      </c>
      <c r="X67" s="251">
        <v>814.00751370543185</v>
      </c>
      <c r="Y67" s="251">
        <v>742.49073412942346</v>
      </c>
      <c r="Z67" s="251">
        <v>670.97919046144898</v>
      </c>
      <c r="AA67" s="251">
        <v>574.46680092362203</v>
      </c>
      <c r="AB67" s="251">
        <v>479.73384368586323</v>
      </c>
      <c r="AC67" s="251">
        <v>333.42223580506459</v>
      </c>
      <c r="AD67" s="251">
        <v>236.90484712429623</v>
      </c>
      <c r="AE67" s="251">
        <v>146.49979902748558</v>
      </c>
      <c r="AF67" s="251">
        <v>90.94693098696078</v>
      </c>
      <c r="AG67" s="251">
        <v>41.091693094730985</v>
      </c>
      <c r="AH67" s="251">
        <v>34.175101038968499</v>
      </c>
      <c r="AI67" s="251">
        <v>29.42497927033547</v>
      </c>
      <c r="AJ67" s="251">
        <v>26.520806667947962</v>
      </c>
      <c r="AK67" s="251">
        <v>22.078601221985206</v>
      </c>
      <c r="AL67" s="251">
        <v>19.398043566157753</v>
      </c>
      <c r="AM67" s="251">
        <v>17.719097312928117</v>
      </c>
      <c r="AN67" s="251">
        <v>16.064202736335702</v>
      </c>
      <c r="AO67" s="251">
        <v>14.424220463631809</v>
      </c>
      <c r="AP67" s="251">
        <v>12.796897453447663</v>
      </c>
      <c r="AQ67" s="251">
        <v>11.17181977682168</v>
      </c>
      <c r="AR67" s="251">
        <v>9.5500770745987715</v>
      </c>
      <c r="AS67" s="251">
        <v>7.93733474271259</v>
      </c>
      <c r="AT67" s="251">
        <v>6.3332436393969855</v>
      </c>
      <c r="AU67" s="251">
        <v>4.7352425100057252</v>
      </c>
      <c r="AV67" s="251">
        <v>3.1511853820931206</v>
      </c>
      <c r="AW67" s="251"/>
      <c r="AX67" s="251"/>
      <c r="AY67" s="251"/>
      <c r="AZ67" s="251"/>
      <c r="BA67" s="251"/>
      <c r="BB67" s="251"/>
      <c r="BC67" s="251"/>
      <c r="BD67" s="251"/>
      <c r="BE67" s="251"/>
      <c r="BF67" s="251"/>
    </row>
    <row r="68" spans="1:58" s="250" customFormat="1" ht="15" hidden="1" customHeight="1" x14ac:dyDescent="0.15">
      <c r="A68" s="248" t="s">
        <v>257</v>
      </c>
      <c r="B68" s="249" t="s">
        <v>52</v>
      </c>
      <c r="C68" s="250" t="s">
        <v>327</v>
      </c>
      <c r="D68" s="248" t="s">
        <v>7</v>
      </c>
      <c r="E68" s="248" t="s">
        <v>262</v>
      </c>
      <c r="F68" s="189" t="s">
        <v>263</v>
      </c>
      <c r="G68" s="248" t="s">
        <v>330</v>
      </c>
      <c r="H68" s="190"/>
      <c r="I68" s="190"/>
      <c r="J68" s="190"/>
      <c r="K68" s="190"/>
      <c r="L68" s="190"/>
      <c r="M68" s="190"/>
      <c r="N68" s="190"/>
      <c r="O68" s="190"/>
      <c r="P68" s="190"/>
      <c r="Q68" s="190"/>
      <c r="R68" s="190"/>
      <c r="S68" s="190"/>
      <c r="T68" s="251">
        <v>976.80743644103813</v>
      </c>
      <c r="U68" s="251">
        <v>972.46765388964729</v>
      </c>
      <c r="V68" s="251">
        <v>959.84638368773903</v>
      </c>
      <c r="W68" s="251">
        <v>911.02927969410018</v>
      </c>
      <c r="X68" s="251">
        <v>866.3631915968167</v>
      </c>
      <c r="Y68" s="251">
        <v>821.67939965797177</v>
      </c>
      <c r="Z68" s="251">
        <v>778.67485267548682</v>
      </c>
      <c r="AA68" s="251">
        <v>734.97160939893729</v>
      </c>
      <c r="AB68" s="251">
        <v>693.52913213893623</v>
      </c>
      <c r="AC68" s="251">
        <v>636.77345390217442</v>
      </c>
      <c r="AD68" s="251">
        <v>585.90833601310908</v>
      </c>
      <c r="AE68" s="251">
        <v>537.71837143258199</v>
      </c>
      <c r="AF68" s="251">
        <v>494.93946169503397</v>
      </c>
      <c r="AG68" s="251">
        <v>435.17552499301928</v>
      </c>
      <c r="AH68" s="251">
        <v>383.54155349611312</v>
      </c>
      <c r="AI68" s="251">
        <v>334.90657031115279</v>
      </c>
      <c r="AJ68" s="251">
        <v>290.25015610616498</v>
      </c>
      <c r="AK68" s="251">
        <v>248.55940323716877</v>
      </c>
      <c r="AL68" s="251">
        <v>210.26745264914166</v>
      </c>
      <c r="AM68" s="251">
        <v>137.78866407451505</v>
      </c>
      <c r="AN68" s="251">
        <v>69.995828641112851</v>
      </c>
      <c r="AO68" s="251">
        <v>49.543099739255126</v>
      </c>
      <c r="AP68" s="251">
        <v>29.964815162961163</v>
      </c>
      <c r="AQ68" s="251">
        <v>12.4069467000669</v>
      </c>
      <c r="AR68" s="251">
        <v>10.671240817470713</v>
      </c>
      <c r="AS68" s="251">
        <v>8.9394771183180683</v>
      </c>
      <c r="AT68" s="251">
        <v>7.2098885014360263</v>
      </c>
      <c r="AU68" s="251">
        <v>5.4841361047766473</v>
      </c>
      <c r="AV68" s="251">
        <v>3.7638956649348358</v>
      </c>
      <c r="AW68" s="251"/>
      <c r="AX68" s="251"/>
      <c r="AY68" s="251"/>
      <c r="AZ68" s="251"/>
      <c r="BA68" s="251"/>
      <c r="BB68" s="251"/>
      <c r="BC68" s="251"/>
      <c r="BD68" s="251"/>
      <c r="BE68" s="251"/>
      <c r="BF68" s="251"/>
    </row>
    <row r="69" spans="1:58" s="250" customFormat="1" ht="15" hidden="1" customHeight="1" x14ac:dyDescent="0.15">
      <c r="A69" s="248" t="s">
        <v>257</v>
      </c>
      <c r="B69" s="249" t="s">
        <v>52</v>
      </c>
      <c r="C69" s="250" t="s">
        <v>233</v>
      </c>
      <c r="D69" s="248" t="s">
        <v>7</v>
      </c>
      <c r="E69" s="248" t="s">
        <v>262</v>
      </c>
      <c r="F69" s="189" t="s">
        <v>263</v>
      </c>
      <c r="G69" s="248" t="s">
        <v>330</v>
      </c>
      <c r="H69" s="190"/>
      <c r="I69" s="190"/>
      <c r="J69" s="190"/>
      <c r="K69" s="190"/>
      <c r="L69" s="190"/>
      <c r="M69" s="190"/>
      <c r="N69" s="190"/>
      <c r="O69" s="190"/>
      <c r="P69" s="190"/>
      <c r="Q69" s="190"/>
      <c r="R69" s="190"/>
      <c r="S69" s="190"/>
      <c r="T69" s="251">
        <v>975.40372932674848</v>
      </c>
      <c r="U69" s="251">
        <v>968.62399205138183</v>
      </c>
      <c r="V69" s="251">
        <v>953.77795414451248</v>
      </c>
      <c r="W69" s="251">
        <v>890.84603621974202</v>
      </c>
      <c r="X69" s="251">
        <v>828.60104950448033</v>
      </c>
      <c r="Y69" s="251">
        <v>761.71486838214935</v>
      </c>
      <c r="Z69" s="251">
        <v>698.05643438420441</v>
      </c>
      <c r="AA69" s="251">
        <v>614.2110227726406</v>
      </c>
      <c r="AB69" s="251">
        <v>535.68853685737827</v>
      </c>
      <c r="AC69" s="251">
        <v>423.81209861665246</v>
      </c>
      <c r="AD69" s="251">
        <v>344.19099566756978</v>
      </c>
      <c r="AE69" s="251">
        <v>272.01989923063582</v>
      </c>
      <c r="AF69" s="251">
        <v>221.50645335663648</v>
      </c>
      <c r="AG69" s="251">
        <v>168.76250973240494</v>
      </c>
      <c r="AH69" s="251">
        <v>146.87648170348359</v>
      </c>
      <c r="AI69" s="251">
        <v>127.26889940482923</v>
      </c>
      <c r="AJ69" s="251">
        <v>110.39202820811491</v>
      </c>
      <c r="AK69" s="251">
        <v>94.875701749813743</v>
      </c>
      <c r="AL69" s="251">
        <v>81.130263409350562</v>
      </c>
      <c r="AM69" s="251">
        <v>58.162911440483896</v>
      </c>
      <c r="AN69" s="251">
        <v>34.323692610558396</v>
      </c>
      <c r="AO69" s="251">
        <v>26.363176724806365</v>
      </c>
      <c r="AP69" s="251">
        <v>18.620634456582465</v>
      </c>
      <c r="AQ69" s="251">
        <v>11.540940805292109</v>
      </c>
      <c r="AR69" s="251">
        <v>9.8938217193206874</v>
      </c>
      <c r="AS69" s="251">
        <v>8.2537208740874455</v>
      </c>
      <c r="AT69" s="251">
        <v>6.6195367608549445</v>
      </c>
      <c r="AU69" s="251">
        <v>4.9902993878909259</v>
      </c>
      <c r="AV69" s="251">
        <v>3.3713456736161413</v>
      </c>
      <c r="AW69" s="251"/>
      <c r="AX69" s="251"/>
      <c r="AY69" s="251"/>
      <c r="AZ69" s="251"/>
      <c r="BA69" s="251"/>
      <c r="BB69" s="251"/>
      <c r="BC69" s="251"/>
      <c r="BD69" s="251"/>
      <c r="BE69" s="251"/>
      <c r="BF69" s="251"/>
    </row>
    <row r="70" spans="1:58" s="190" customFormat="1" ht="15" customHeight="1" x14ac:dyDescent="0.15">
      <c r="A70" s="189" t="s">
        <v>254</v>
      </c>
      <c r="B70" s="191" t="s">
        <v>52</v>
      </c>
      <c r="C70" s="190" t="s">
        <v>326</v>
      </c>
      <c r="D70" s="189" t="s">
        <v>256</v>
      </c>
      <c r="E70" s="189" t="s">
        <v>29</v>
      </c>
      <c r="F70" s="189" t="s">
        <v>258</v>
      </c>
      <c r="G70" s="189" t="s">
        <v>330</v>
      </c>
      <c r="T70" s="226">
        <v>1.5386867121267279E-3</v>
      </c>
      <c r="U70" s="226">
        <v>5.6275074719297777E-3</v>
      </c>
      <c r="V70" s="226">
        <v>6.043189340503196E-3</v>
      </c>
      <c r="W70" s="226">
        <v>5.3179383049375931E-2</v>
      </c>
      <c r="X70" s="226">
        <v>9.9999621170507355E-2</v>
      </c>
      <c r="Y70" s="226">
        <v>0.14999787163556477</v>
      </c>
      <c r="Z70" s="226">
        <v>0.19999926880140098</v>
      </c>
      <c r="AA70" s="226">
        <v>0.29999671799958427</v>
      </c>
      <c r="AB70" s="226">
        <v>0.39999669865305049</v>
      </c>
      <c r="AC70" s="226">
        <v>0.59999797871587812</v>
      </c>
      <c r="AD70" s="226">
        <v>0.72499658402383638</v>
      </c>
      <c r="AE70" s="226">
        <v>0.84999643130257463</v>
      </c>
      <c r="AF70" s="226">
        <v>0.92499636764597593</v>
      </c>
      <c r="AG70" s="226">
        <v>0.99999617564497734</v>
      </c>
      <c r="AH70" s="226">
        <v>0.99999636085738186</v>
      </c>
      <c r="AI70" s="226">
        <v>0.99999651940259016</v>
      </c>
      <c r="AJ70" s="226">
        <v>0.99999662350949037</v>
      </c>
      <c r="AK70" s="226">
        <v>0.99999667844710749</v>
      </c>
      <c r="AL70" s="226">
        <v>0.99999834786387043</v>
      </c>
      <c r="AM70" s="226">
        <v>0.99999829503993021</v>
      </c>
      <c r="AN70" s="226">
        <v>1</v>
      </c>
      <c r="AO70" s="226">
        <v>1</v>
      </c>
      <c r="AP70" s="226">
        <v>1</v>
      </c>
      <c r="AQ70" s="226">
        <v>1</v>
      </c>
      <c r="AR70" s="226">
        <v>1</v>
      </c>
      <c r="AS70" s="226">
        <v>1</v>
      </c>
      <c r="AT70" s="226">
        <v>1</v>
      </c>
      <c r="AU70" s="226">
        <v>1</v>
      </c>
      <c r="AV70" s="226">
        <v>1</v>
      </c>
      <c r="AW70" s="192"/>
      <c r="AX70" s="192"/>
      <c r="AY70" s="192"/>
      <c r="AZ70" s="192"/>
      <c r="BA70" s="192"/>
      <c r="BB70" s="192"/>
      <c r="BC70" s="192"/>
      <c r="BD70" s="192"/>
      <c r="BE70" s="192"/>
      <c r="BF70" s="192"/>
    </row>
    <row r="71" spans="1:58" s="190" customFormat="1" ht="15" customHeight="1" x14ac:dyDescent="0.15">
      <c r="A71" s="189" t="s">
        <v>254</v>
      </c>
      <c r="B71" s="191" t="s">
        <v>52</v>
      </c>
      <c r="C71" s="190" t="s">
        <v>413</v>
      </c>
      <c r="D71" s="189" t="s">
        <v>256</v>
      </c>
      <c r="E71" s="189" t="s">
        <v>29</v>
      </c>
      <c r="F71" s="189" t="s">
        <v>258</v>
      </c>
      <c r="G71" s="189" t="s">
        <v>330</v>
      </c>
      <c r="T71" s="226">
        <v>4.4774273345701922E-2</v>
      </c>
      <c r="U71" s="226">
        <v>5.1160553130075261E-2</v>
      </c>
      <c r="V71" s="226">
        <v>4.6231130078505697E-2</v>
      </c>
      <c r="W71" s="226">
        <v>7.3219741960051862E-2</v>
      </c>
      <c r="X71" s="226">
        <v>0.10000026938639167</v>
      </c>
      <c r="Y71" s="226">
        <v>0.15000064468713331</v>
      </c>
      <c r="Z71" s="226">
        <v>0.2</v>
      </c>
      <c r="AA71" s="226">
        <v>0.30000000000000004</v>
      </c>
      <c r="AB71" s="226">
        <v>0.40000022638724442</v>
      </c>
      <c r="AC71" s="226">
        <v>0.59999954661582711</v>
      </c>
      <c r="AD71" s="226">
        <v>0.72499999999999998</v>
      </c>
      <c r="AE71" s="226">
        <v>0.84999978943201393</v>
      </c>
      <c r="AF71" s="226">
        <v>0.92500043410802035</v>
      </c>
      <c r="AG71" s="226">
        <v>1</v>
      </c>
      <c r="AH71" s="226">
        <v>1</v>
      </c>
      <c r="AI71" s="226">
        <v>1</v>
      </c>
      <c r="AJ71" s="226">
        <v>1</v>
      </c>
      <c r="AK71" s="226">
        <v>1</v>
      </c>
      <c r="AL71" s="226">
        <v>1</v>
      </c>
      <c r="AM71" s="226">
        <v>1</v>
      </c>
      <c r="AN71" s="226">
        <v>1</v>
      </c>
      <c r="AO71" s="226">
        <v>1</v>
      </c>
      <c r="AP71" s="226">
        <v>1</v>
      </c>
      <c r="AQ71" s="226">
        <v>1</v>
      </c>
      <c r="AR71" s="226">
        <v>1</v>
      </c>
      <c r="AS71" s="226">
        <v>1</v>
      </c>
      <c r="AT71" s="226">
        <v>1</v>
      </c>
      <c r="AU71" s="226">
        <v>1</v>
      </c>
      <c r="AV71" s="226">
        <v>1</v>
      </c>
      <c r="AW71" s="192"/>
      <c r="AX71" s="192"/>
      <c r="AY71" s="192"/>
      <c r="AZ71" s="192"/>
      <c r="BA71" s="192"/>
      <c r="BB71" s="192"/>
      <c r="BC71" s="192"/>
      <c r="BD71" s="192"/>
      <c r="BE71" s="192"/>
      <c r="BF71" s="192"/>
    </row>
    <row r="72" spans="1:58" s="190" customFormat="1" ht="15" customHeight="1" x14ac:dyDescent="0.15">
      <c r="A72" s="189" t="s">
        <v>254</v>
      </c>
      <c r="B72" s="191" t="s">
        <v>52</v>
      </c>
      <c r="C72" s="190" t="s">
        <v>327</v>
      </c>
      <c r="D72" s="189" t="s">
        <v>256</v>
      </c>
      <c r="E72" s="189" t="s">
        <v>29</v>
      </c>
      <c r="F72" s="189" t="s">
        <v>258</v>
      </c>
      <c r="G72" s="189" t="s">
        <v>330</v>
      </c>
      <c r="T72" s="226">
        <v>2.2592168989424042E-4</v>
      </c>
      <c r="U72" s="226">
        <v>8.365932427569253E-4</v>
      </c>
      <c r="V72" s="226">
        <v>6.6399265653262619E-4</v>
      </c>
      <c r="W72" s="226">
        <v>4.7798718816342038E-3</v>
      </c>
      <c r="X72" s="226">
        <v>7.0212669478075538E-3</v>
      </c>
      <c r="Y72" s="226">
        <v>9.8658530408798056E-3</v>
      </c>
      <c r="Z72" s="226">
        <v>1.2142617622129693E-2</v>
      </c>
      <c r="AA72" s="226">
        <v>1.801663776355078E-2</v>
      </c>
      <c r="AB72" s="226">
        <v>2.3698068121475714E-2</v>
      </c>
      <c r="AC72" s="226">
        <v>6.4146736154642781E-2</v>
      </c>
      <c r="AD72" s="226">
        <v>9.5896761539661673E-2</v>
      </c>
      <c r="AE72" s="226">
        <v>0.12685696710847008</v>
      </c>
      <c r="AF72" s="226">
        <v>0.15417532445413359</v>
      </c>
      <c r="AG72" s="226">
        <v>0.22061881463360392</v>
      </c>
      <c r="AH72" s="226">
        <v>0.28137483571330113</v>
      </c>
      <c r="AI72" s="226">
        <v>0.34331737923822547</v>
      </c>
      <c r="AJ72" s="226">
        <v>0.40544725322697855</v>
      </c>
      <c r="AK72" s="226">
        <v>0.46691366769281062</v>
      </c>
      <c r="AL72" s="226">
        <v>0.52947970822467572</v>
      </c>
      <c r="AM72" s="226">
        <v>0.69222241522003469</v>
      </c>
      <c r="AN72" s="226">
        <v>0.85778069169813742</v>
      </c>
      <c r="AO72" s="226">
        <v>0.9051379836960346</v>
      </c>
      <c r="AP72" s="226">
        <v>0.95254710482253147</v>
      </c>
      <c r="AQ72" s="226">
        <v>1</v>
      </c>
      <c r="AR72" s="226">
        <v>1</v>
      </c>
      <c r="AS72" s="226">
        <v>1</v>
      </c>
      <c r="AT72" s="226">
        <v>1</v>
      </c>
      <c r="AU72" s="226">
        <v>1</v>
      </c>
      <c r="AV72" s="226">
        <v>1</v>
      </c>
      <c r="AW72" s="192"/>
      <c r="AX72" s="192"/>
      <c r="AY72" s="192"/>
      <c r="AZ72" s="192"/>
      <c r="BA72" s="192"/>
      <c r="BB72" s="192"/>
      <c r="BC72" s="192"/>
      <c r="BD72" s="192"/>
      <c r="BE72" s="192"/>
      <c r="BF72" s="192"/>
    </row>
    <row r="73" spans="1:58" s="190" customFormat="1" ht="15" customHeight="1" x14ac:dyDescent="0.15">
      <c r="A73" s="189" t="s">
        <v>254</v>
      </c>
      <c r="B73" s="191" t="s">
        <v>52</v>
      </c>
      <c r="C73" s="190" t="s">
        <v>233</v>
      </c>
      <c r="D73" s="189" t="s">
        <v>256</v>
      </c>
      <c r="E73" s="189" t="s">
        <v>29</v>
      </c>
      <c r="F73" s="189" t="s">
        <v>258</v>
      </c>
      <c r="G73" s="189" t="s">
        <v>330</v>
      </c>
      <c r="T73" s="226">
        <v>1.6633388268392404E-2</v>
      </c>
      <c r="U73" s="226">
        <v>2.1036808417921667E-2</v>
      </c>
      <c r="V73" s="226">
        <v>2.5903737558500589E-2</v>
      </c>
      <c r="W73" s="226">
        <v>4.878093365826449E-2</v>
      </c>
      <c r="X73" s="226">
        <v>7.1860547457175863E-2</v>
      </c>
      <c r="Y73" s="226">
        <v>0.10751125777877565</v>
      </c>
      <c r="Z73" s="226">
        <v>0.14285472637019936</v>
      </c>
      <c r="AA73" s="226">
        <v>0.21385716135071348</v>
      </c>
      <c r="AB73" s="226">
        <v>0.2844938406714575</v>
      </c>
      <c r="AC73" s="226">
        <v>0.42715342888713309</v>
      </c>
      <c r="AD73" s="226">
        <v>0.52151184138939999</v>
      </c>
      <c r="AE73" s="226">
        <v>0.61592367724936048</v>
      </c>
      <c r="AF73" s="226">
        <v>0.67655726216093559</v>
      </c>
      <c r="AG73" s="226">
        <v>0.75048970267193871</v>
      </c>
      <c r="AH73" s="226">
        <v>0.77180870081495645</v>
      </c>
      <c r="AI73" s="226">
        <v>0.79264535864523422</v>
      </c>
      <c r="AJ73" s="226">
        <v>0.81244778682713648</v>
      </c>
      <c r="AK73" s="226">
        <v>0.83118838969835496</v>
      </c>
      <c r="AL73" s="226">
        <v>0.84997294879336971</v>
      </c>
      <c r="AM73" s="226">
        <v>0.89598168442671233</v>
      </c>
      <c r="AN73" s="226">
        <v>0.95153065600768549</v>
      </c>
      <c r="AO73" s="226">
        <v>0.96741344972891552</v>
      </c>
      <c r="AP73" s="226">
        <v>0.98359945770881974</v>
      </c>
      <c r="AQ73" s="226">
        <v>1</v>
      </c>
      <c r="AR73" s="226">
        <v>1</v>
      </c>
      <c r="AS73" s="226">
        <v>1</v>
      </c>
      <c r="AT73" s="226">
        <v>1</v>
      </c>
      <c r="AU73" s="226">
        <v>1</v>
      </c>
      <c r="AV73" s="226">
        <v>1</v>
      </c>
      <c r="AW73" s="192"/>
      <c r="AX73" s="192"/>
      <c r="AY73" s="192"/>
      <c r="AZ73" s="192"/>
      <c r="BA73" s="192"/>
      <c r="BB73" s="192"/>
      <c r="BC73" s="192"/>
      <c r="BD73" s="192"/>
      <c r="BE73" s="192"/>
      <c r="BF73" s="192"/>
    </row>
    <row r="74" spans="1:58" s="250" customFormat="1" ht="15" hidden="1" customHeight="1" x14ac:dyDescent="0.15">
      <c r="A74" s="248" t="s">
        <v>353</v>
      </c>
      <c r="B74" s="249" t="s">
        <v>52</v>
      </c>
      <c r="C74" s="250" t="s">
        <v>326</v>
      </c>
      <c r="D74" s="248" t="s">
        <v>337</v>
      </c>
      <c r="E74" s="248" t="s">
        <v>433</v>
      </c>
      <c r="F74" s="193" t="s">
        <v>338</v>
      </c>
      <c r="G74" s="248" t="s">
        <v>331</v>
      </c>
      <c r="H74" s="190"/>
      <c r="I74" s="190"/>
      <c r="J74" s="190"/>
      <c r="K74" s="190"/>
      <c r="L74" s="190"/>
      <c r="M74" s="190"/>
      <c r="N74" s="190"/>
      <c r="O74" s="190"/>
      <c r="P74" s="190"/>
      <c r="Q74" s="190"/>
      <c r="R74" s="190"/>
      <c r="S74" s="190"/>
      <c r="T74" s="251">
        <f>+VCdata!V29</f>
        <v>3.4643814348481432</v>
      </c>
      <c r="U74" s="251">
        <f>+VCdata!W29</f>
        <v>3.4517440895015921</v>
      </c>
      <c r="V74" s="251">
        <f>+VCdata!X29</f>
        <v>3.2641598698453564</v>
      </c>
      <c r="W74" s="251">
        <f>+VCdata!Y29</f>
        <v>3.2101076183558539</v>
      </c>
      <c r="X74" s="251">
        <f>+VCdata!Z29</f>
        <v>3.1187233065330178</v>
      </c>
      <c r="Y74" s="251">
        <f>+VCdata!AA29</f>
        <v>2.9948923639256009</v>
      </c>
      <c r="Z74" s="251">
        <f>+VCdata!AB29</f>
        <v>2.8621103648551829</v>
      </c>
      <c r="AA74" s="251">
        <f>+VCdata!AC29</f>
        <v>2.7151545380199593</v>
      </c>
      <c r="AB74" s="251">
        <f>+VCdata!AD29</f>
        <v>2.556442664960362</v>
      </c>
      <c r="AC74" s="251">
        <f>+VCdata!AE29</f>
        <v>2.3698337040801594</v>
      </c>
      <c r="AD74" s="251">
        <f>+VCdata!AF29</f>
        <v>2.1652448234274742</v>
      </c>
      <c r="AE74" s="251">
        <f>+VCdata!AG29</f>
        <v>1.9884801119924762</v>
      </c>
      <c r="AF74" s="251">
        <f>+VCdata!AH29</f>
        <v>1.8077838881556281</v>
      </c>
      <c r="AG74" s="251">
        <f>+VCdata!AI29</f>
        <v>1.6468103565088341</v>
      </c>
      <c r="AH74" s="251">
        <f>+VCdata!AJ29</f>
        <v>1.5174722826180358</v>
      </c>
      <c r="AI74" s="251">
        <f>+VCdata!AK29</f>
        <v>1.3782778736970254</v>
      </c>
      <c r="AJ74" s="251">
        <f>+VCdata!AL29</f>
        <v>1.2464395688054541</v>
      </c>
      <c r="AK74" s="251">
        <f>+VCdata!AM29</f>
        <v>1.1142962723282315</v>
      </c>
      <c r="AL74" s="251">
        <f>+VCdata!AN29</f>
        <v>0.98420921912783021</v>
      </c>
      <c r="AM74" s="251">
        <f>+VCdata!AO29</f>
        <v>0.89946181864880448</v>
      </c>
      <c r="AN74" s="251">
        <f>+VCdata!AP29</f>
        <v>0.81606481000379905</v>
      </c>
      <c r="AO74" s="251">
        <f>+VCdata!AQ29</f>
        <v>0.73350667062499231</v>
      </c>
      <c r="AP74" s="251">
        <f>+VCdata!AR29</f>
        <v>0.65166330174554243</v>
      </c>
      <c r="AQ74" s="251">
        <f>+VCdata!AS29</f>
        <v>0.56993863802003242</v>
      </c>
      <c r="AR74" s="251">
        <f>+VCdata!AT29</f>
        <v>0.48839300082060372</v>
      </c>
      <c r="AS74" s="251">
        <f>+VCdata!AU29</f>
        <v>0.40735247756178261</v>
      </c>
      <c r="AT74" s="251">
        <f>+VCdata!AV29</f>
        <v>0.32679750777944605</v>
      </c>
      <c r="AU74" s="251">
        <f>+VCdata!AW29</f>
        <v>0.24657715600447427</v>
      </c>
      <c r="AV74" s="251">
        <f>+VCdata!AX29</f>
        <v>0.16715615096238712</v>
      </c>
      <c r="AW74" s="251"/>
      <c r="AX74" s="251"/>
      <c r="AY74" s="251"/>
      <c r="AZ74" s="251"/>
      <c r="BA74" s="251"/>
      <c r="BB74" s="251"/>
      <c r="BC74" s="251"/>
      <c r="BD74" s="251"/>
      <c r="BE74" s="251"/>
      <c r="BF74" s="251"/>
    </row>
    <row r="75" spans="1:58" s="250" customFormat="1" ht="15" hidden="1" customHeight="1" x14ac:dyDescent="0.15">
      <c r="A75" s="248" t="s">
        <v>353</v>
      </c>
      <c r="B75" s="249" t="s">
        <v>52</v>
      </c>
      <c r="C75" s="250" t="s">
        <v>413</v>
      </c>
      <c r="D75" s="248" t="s">
        <v>337</v>
      </c>
      <c r="E75" s="248" t="s">
        <v>433</v>
      </c>
      <c r="F75" s="193" t="s">
        <v>338</v>
      </c>
      <c r="G75" s="248" t="s">
        <v>331</v>
      </c>
      <c r="H75" s="190"/>
      <c r="I75" s="190"/>
      <c r="J75" s="190"/>
      <c r="K75" s="190"/>
      <c r="L75" s="190"/>
      <c r="M75" s="190"/>
      <c r="N75" s="190"/>
      <c r="O75" s="190"/>
      <c r="P75" s="190"/>
      <c r="Q75" s="190"/>
      <c r="R75" s="190"/>
      <c r="S75" s="190"/>
      <c r="T75" s="251">
        <f>+VCdata!V30</f>
        <v>4.744738961031306</v>
      </c>
      <c r="U75" s="251">
        <f>+VCdata!W30</f>
        <v>4.5815628277829852</v>
      </c>
      <c r="V75" s="251">
        <f>+VCdata!X30</f>
        <v>4.4050614069867002</v>
      </c>
      <c r="W75" s="251">
        <f>+VCdata!Y30</f>
        <v>4.2685290281291683</v>
      </c>
      <c r="X75" s="251">
        <f>+VCdata!Z30</f>
        <v>4.0810282421947175</v>
      </c>
      <c r="Y75" s="251">
        <f>+VCdata!AA30</f>
        <v>3.845917771417835</v>
      </c>
      <c r="Z75" s="251">
        <f>+VCdata!AB30</f>
        <v>3.5864985740781923</v>
      </c>
      <c r="AA75" s="251">
        <f>+VCdata!AC30</f>
        <v>3.296412697161045</v>
      </c>
      <c r="AB75" s="251">
        <f>+VCdata!AD30</f>
        <v>3.0554226153026023</v>
      </c>
      <c r="AC75" s="251">
        <f>+VCdata!AE30</f>
        <v>2.7693945262249104</v>
      </c>
      <c r="AD75" s="251">
        <f>+VCdata!AF30</f>
        <v>2.4635176738858746</v>
      </c>
      <c r="AE75" s="251">
        <f>+VCdata!AG30</f>
        <v>2.1950321248926454</v>
      </c>
      <c r="AF75" s="251">
        <f>+VCdata!AH30</f>
        <v>1.9464192040160695</v>
      </c>
      <c r="AG75" s="251">
        <f>+VCdata!AI30</f>
        <v>1.745462689555501</v>
      </c>
      <c r="AH75" s="251">
        <f>+VCdata!AJ30</f>
        <v>1.5969035213113107</v>
      </c>
      <c r="AI75" s="251">
        <f>+VCdata!AK30</f>
        <v>1.4428007839896499</v>
      </c>
      <c r="AJ75" s="251">
        <f>+VCdata!AL30</f>
        <v>1.2980154128784471</v>
      </c>
      <c r="AK75" s="251">
        <f>+VCdata!AM30</f>
        <v>1.1484271287732406</v>
      </c>
      <c r="AL75" s="251">
        <f>+VCdata!AN30</f>
        <v>1.0104967803275382</v>
      </c>
      <c r="AM75" s="251">
        <f>+VCdata!AO30</f>
        <v>0.92310247020127989</v>
      </c>
      <c r="AN75" s="251">
        <f>+VCdata!AP30</f>
        <v>0.83711685880525344</v>
      </c>
      <c r="AO75" s="251">
        <f>+VCdata!AQ30</f>
        <v>0.75200319556843565</v>
      </c>
      <c r="AP75" s="251">
        <f>+VCdata!AR30</f>
        <v>0.6676292682456485</v>
      </c>
      <c r="AQ75" s="251">
        <f>+VCdata!AS30</f>
        <v>0.58337775274903625</v>
      </c>
      <c r="AR75" s="251">
        <f>+VCdata!AT30</f>
        <v>0.49931424020396675</v>
      </c>
      <c r="AS75" s="251">
        <f>+VCdata!AU30</f>
        <v>0.41577486208048359</v>
      </c>
      <c r="AT75" s="251">
        <f>+VCdata!AV30</f>
        <v>0.33273899925019496</v>
      </c>
      <c r="AU75" s="251">
        <f>+VCdata!AW30</f>
        <v>0.25005585343279529</v>
      </c>
      <c r="AV75" s="251">
        <f>+VCdata!AX30</f>
        <v>0.16818817655171286</v>
      </c>
      <c r="AW75" s="251"/>
      <c r="AX75" s="251"/>
      <c r="AY75" s="251"/>
      <c r="AZ75" s="251"/>
      <c r="BA75" s="251"/>
      <c r="BB75" s="251"/>
      <c r="BC75" s="251"/>
      <c r="BD75" s="251"/>
      <c r="BE75" s="251"/>
      <c r="BF75" s="251"/>
    </row>
    <row r="76" spans="1:58" s="250" customFormat="1" ht="15" hidden="1" customHeight="1" x14ac:dyDescent="0.15">
      <c r="A76" s="248" t="s">
        <v>353</v>
      </c>
      <c r="B76" s="249" t="s">
        <v>52</v>
      </c>
      <c r="C76" s="250" t="s">
        <v>327</v>
      </c>
      <c r="D76" s="248" t="s">
        <v>337</v>
      </c>
      <c r="E76" s="248" t="s">
        <v>433</v>
      </c>
      <c r="F76" s="193" t="s">
        <v>338</v>
      </c>
      <c r="G76" s="248" t="s">
        <v>331</v>
      </c>
      <c r="H76" s="190"/>
      <c r="I76" s="190"/>
      <c r="J76" s="190"/>
      <c r="K76" s="190"/>
      <c r="L76" s="190"/>
      <c r="M76" s="190"/>
      <c r="N76" s="190"/>
      <c r="O76" s="190"/>
      <c r="P76" s="190"/>
      <c r="Q76" s="190"/>
      <c r="R76" s="190"/>
      <c r="S76" s="190"/>
      <c r="T76" s="251">
        <f>+VCdata!V31</f>
        <v>4.0578335005843078</v>
      </c>
      <c r="U76" s="251">
        <f>+VCdata!W31</f>
        <v>4.0578335005843078</v>
      </c>
      <c r="V76" s="251">
        <f>+VCdata!X31</f>
        <v>3.8984653880340741</v>
      </c>
      <c r="W76" s="251">
        <f>+VCdata!Y31</f>
        <v>3.8528291314513039</v>
      </c>
      <c r="X76" s="251">
        <f>+VCdata!Z31</f>
        <v>3.7710599856545102</v>
      </c>
      <c r="Y76" s="251">
        <f>+VCdata!AA31</f>
        <v>3.6518190469137961</v>
      </c>
      <c r="Z76" s="251">
        <f>+VCdata!AB31</f>
        <v>3.4843741852094441</v>
      </c>
      <c r="AA76" s="251">
        <f>+VCdata!AC31</f>
        <v>3.3123241511192258</v>
      </c>
      <c r="AB76" s="251">
        <f>+VCdata!AD31</f>
        <v>3.1123389586610997</v>
      </c>
      <c r="AC76" s="251">
        <f>+VCdata!AE31</f>
        <v>2.8560554059788927</v>
      </c>
      <c r="AD76" s="251">
        <f>+VCdata!AF31</f>
        <v>2.6123239694763289</v>
      </c>
      <c r="AE76" s="251">
        <f>+VCdata!AG31</f>
        <v>2.3685972807279803</v>
      </c>
      <c r="AF76" s="251">
        <f>+VCdata!AH31</f>
        <v>2.1293537123957602</v>
      </c>
      <c r="AG76" s="251">
        <f>+VCdata!AI31</f>
        <v>1.9058996134567014</v>
      </c>
      <c r="AH76" s="251">
        <f>+VCdata!AJ31</f>
        <v>1.7372742357609878</v>
      </c>
      <c r="AI76" s="251">
        <f>+VCdata!AK31</f>
        <v>1.5741528186681994</v>
      </c>
      <c r="AJ76" s="251">
        <f>+VCdata!AL31</f>
        <v>1.4218657648442137</v>
      </c>
      <c r="AK76" s="251">
        <f>+VCdata!AM31</f>
        <v>1.2711564609047803</v>
      </c>
      <c r="AL76" s="251">
        <f>+VCdata!AN31</f>
        <v>1.1212881041254801</v>
      </c>
      <c r="AM76" s="251">
        <f>+VCdata!AO31</f>
        <v>1.0289937491580119</v>
      </c>
      <c r="AN76" s="251">
        <f>+VCdata!AP31</f>
        <v>0.93676315707202118</v>
      </c>
      <c r="AO76" s="251">
        <f>+VCdata!AQ31</f>
        <v>0.84474864348614676</v>
      </c>
      <c r="AP76" s="251">
        <f>+VCdata!AR31</f>
        <v>0.75269590748021609</v>
      </c>
      <c r="AQ76" s="251">
        <f>+VCdata!AS31</f>
        <v>0.66072365472439509</v>
      </c>
      <c r="AR76" s="251">
        <f>+VCdata!AT31</f>
        <v>0.56891097985289163</v>
      </c>
      <c r="AS76" s="251">
        <f>+VCdata!AU31</f>
        <v>0.47736162626274403</v>
      </c>
      <c r="AT76" s="251">
        <f>+VCdata!AV31</f>
        <v>0.38596602643270417</v>
      </c>
      <c r="AU76" s="251">
        <f>+VCdata!AW31</f>
        <v>0.29483108071834097</v>
      </c>
      <c r="AV76" s="251">
        <f>+VCdata!AX31</f>
        <v>0.20406072517957033</v>
      </c>
      <c r="AW76" s="251"/>
      <c r="AX76" s="251"/>
      <c r="AY76" s="251"/>
      <c r="AZ76" s="251"/>
      <c r="BA76" s="251"/>
      <c r="BB76" s="251"/>
      <c r="BC76" s="251"/>
      <c r="BD76" s="251"/>
      <c r="BE76" s="251"/>
      <c r="BF76" s="251"/>
    </row>
    <row r="77" spans="1:58" s="250" customFormat="1" ht="15" hidden="1" customHeight="1" x14ac:dyDescent="0.15">
      <c r="A77" s="248" t="s">
        <v>353</v>
      </c>
      <c r="B77" s="249" t="s">
        <v>52</v>
      </c>
      <c r="C77" s="250" t="s">
        <v>233</v>
      </c>
      <c r="D77" s="248" t="s">
        <v>337</v>
      </c>
      <c r="E77" s="248" t="s">
        <v>433</v>
      </c>
      <c r="F77" s="193" t="s">
        <v>338</v>
      </c>
      <c r="G77" s="248" t="s">
        <v>331</v>
      </c>
      <c r="H77" s="190"/>
      <c r="I77" s="190"/>
      <c r="J77" s="190"/>
      <c r="K77" s="190"/>
      <c r="L77" s="190"/>
      <c r="M77" s="190"/>
      <c r="N77" s="190"/>
      <c r="O77" s="190"/>
      <c r="P77" s="190"/>
      <c r="Q77" s="190"/>
      <c r="R77" s="190"/>
      <c r="S77" s="190"/>
      <c r="T77" s="251">
        <f>+VCdata!V32</f>
        <v>4.3793490368898453</v>
      </c>
      <c r="U77" s="251">
        <f>+VCdata!W32</f>
        <v>4.2915031987630528</v>
      </c>
      <c r="V77" s="251">
        <f>+VCdata!X32</f>
        <v>3.968098832191548</v>
      </c>
      <c r="W77" s="251">
        <f>+VCdata!Y32</f>
        <v>3.8990861819818914</v>
      </c>
      <c r="X77" s="251">
        <f>+VCdata!Z32</f>
        <v>3.829442284995499</v>
      </c>
      <c r="Y77" s="251">
        <f>+VCdata!AA32</f>
        <v>3.6860803537618265</v>
      </c>
      <c r="Z77" s="251">
        <f>+VCdata!AB32</f>
        <v>3.4988561986547797</v>
      </c>
      <c r="AA77" s="251">
        <f>+VCdata!AC32</f>
        <v>3.2977072939208059</v>
      </c>
      <c r="AB77" s="251">
        <f>+VCdata!AD32</f>
        <v>3.0868584002284725</v>
      </c>
      <c r="AC77" s="251">
        <f>+VCdata!AE32</f>
        <v>2.8153371556984377</v>
      </c>
      <c r="AD77" s="251">
        <f>+VCdata!AF32</f>
        <v>2.5549193646137791</v>
      </c>
      <c r="AE77" s="251">
        <f>+VCdata!AG32</f>
        <v>2.3093120484797822</v>
      </c>
      <c r="AF77" s="251">
        <f>+VCdata!AH32</f>
        <v>2.0742197452421025</v>
      </c>
      <c r="AG77" s="251">
        <f>+VCdata!AI32</f>
        <v>1.861812417458566</v>
      </c>
      <c r="AH77" s="251">
        <f>+VCdata!AJ32</f>
        <v>1.7031226742223458</v>
      </c>
      <c r="AI77" s="251">
        <f>+VCdata!AK32</f>
        <v>1.5427342914245077</v>
      </c>
      <c r="AJ77" s="251">
        <f>+VCdata!AL32</f>
        <v>1.3920896352305197</v>
      </c>
      <c r="AK77" s="251">
        <f>+VCdata!AM32</f>
        <v>1.2416371114237557</v>
      </c>
      <c r="AL77" s="251">
        <f>+VCdata!AN32</f>
        <v>1.0946759996444122</v>
      </c>
      <c r="AM77" s="251">
        <f>+VCdata!AO32</f>
        <v>1.0014533537640817</v>
      </c>
      <c r="AN77" s="251">
        <f>+VCdata!AP32</f>
        <v>0.91190780084814094</v>
      </c>
      <c r="AO77" s="251">
        <f>+VCdata!AQ32</f>
        <v>0.82289782637736264</v>
      </c>
      <c r="AP77" s="251">
        <f>+VCdata!AR32</f>
        <v>0.73383436738590291</v>
      </c>
      <c r="AQ77" s="251">
        <f>+VCdata!AS32</f>
        <v>0.64438904389007412</v>
      </c>
      <c r="AR77" s="251">
        <f>+VCdata!AT32</f>
        <v>0.55473015166684891</v>
      </c>
      <c r="AS77" s="251">
        <f>+VCdata!AU32</f>
        <v>0.46486272512200782</v>
      </c>
      <c r="AT77" s="251">
        <f>+VCdata!AV32</f>
        <v>0.37513986950162581</v>
      </c>
      <c r="AU77" s="251">
        <f>+VCdata!AW32</f>
        <v>0.28572464609110837</v>
      </c>
      <c r="AV77" s="251">
        <f>+VCdata!AX32</f>
        <v>0.19687084246906722</v>
      </c>
      <c r="AW77" s="251"/>
      <c r="AX77" s="251"/>
      <c r="AY77" s="251"/>
      <c r="AZ77" s="251"/>
      <c r="BA77" s="251"/>
      <c r="BB77" s="251"/>
      <c r="BC77" s="251"/>
      <c r="BD77" s="251"/>
      <c r="BE77" s="251"/>
      <c r="BF77" s="251"/>
    </row>
    <row r="78" spans="1:58" s="250" customFormat="1" ht="15" hidden="1" customHeight="1" x14ac:dyDescent="0.15">
      <c r="A78" s="248" t="s">
        <v>353</v>
      </c>
      <c r="B78" s="249" t="s">
        <v>52</v>
      </c>
      <c r="C78" s="250" t="s">
        <v>326</v>
      </c>
      <c r="D78" s="248" t="s">
        <v>337</v>
      </c>
      <c r="E78" s="248" t="s">
        <v>433</v>
      </c>
      <c r="F78" s="193" t="s">
        <v>338</v>
      </c>
      <c r="G78" s="248" t="s">
        <v>365</v>
      </c>
      <c r="H78" s="190"/>
      <c r="I78" s="190"/>
      <c r="J78" s="190"/>
      <c r="K78" s="190"/>
      <c r="L78" s="190"/>
      <c r="M78" s="190"/>
      <c r="N78" s="190"/>
      <c r="O78" s="190"/>
      <c r="P78" s="190"/>
      <c r="Q78" s="190"/>
      <c r="R78" s="190"/>
      <c r="S78" s="190"/>
      <c r="T78" s="251">
        <f>+VCdata!V33</f>
        <v>4.7969682963115314</v>
      </c>
      <c r="U78" s="251">
        <f>+VCdata!W33</f>
        <v>4.7967109142540592</v>
      </c>
      <c r="V78" s="251">
        <f>+VCdata!X33</f>
        <v>4.5615689222439997</v>
      </c>
      <c r="W78" s="251">
        <f>+VCdata!Y33</f>
        <v>4.3649440787297618</v>
      </c>
      <c r="X78" s="251">
        <f>+VCdata!Z33</f>
        <v>4.1259650972753503</v>
      </c>
      <c r="Y78" s="251">
        <f>+VCdata!AA33</f>
        <v>3.8510588522029385</v>
      </c>
      <c r="Z78" s="251">
        <f>+VCdata!AB33</f>
        <v>3.572968073912234</v>
      </c>
      <c r="AA78" s="251">
        <f>+VCdata!AC33</f>
        <v>3.2879254521410743</v>
      </c>
      <c r="AB78" s="251">
        <f>+VCdata!AD33</f>
        <v>3.0216403406989949</v>
      </c>
      <c r="AC78" s="251">
        <f>+VCdata!AE33</f>
        <v>2.718822838898423</v>
      </c>
      <c r="AD78" s="251">
        <f>+VCdata!AF33</f>
        <v>2.41465155354995</v>
      </c>
      <c r="AE78" s="251">
        <f>+VCdata!AG33</f>
        <v>2.1545760010155046</v>
      </c>
      <c r="AF78" s="251">
        <f>+VCdata!AH33</f>
        <v>1.9045165227913055</v>
      </c>
      <c r="AG78" s="251">
        <f>+VCdata!AI33</f>
        <v>1.6883558863250931</v>
      </c>
      <c r="AH78" s="251">
        <f>+VCdata!AJ33</f>
        <v>1.53901417795741</v>
      </c>
      <c r="AI78" s="251">
        <f>+VCdata!AK33</f>
        <v>1.397917788312705</v>
      </c>
      <c r="AJ78" s="251">
        <f>+VCdata!AL33</f>
        <v>1.2617284445536909</v>
      </c>
      <c r="AK78" s="251">
        <f>+VCdata!AM33</f>
        <v>1.1270336265283107</v>
      </c>
      <c r="AL78" s="251">
        <f>+VCdata!AN33</f>
        <v>0.9923137835267748</v>
      </c>
      <c r="AM78" s="251">
        <f>+VCdata!AO33</f>
        <v>0.90732822963749471</v>
      </c>
      <c r="AN78" s="251">
        <f>+VCdata!AP33</f>
        <v>0.82272408963141663</v>
      </c>
      <c r="AO78" s="251">
        <f>+VCdata!AQ33</f>
        <v>0.73840724642267186</v>
      </c>
      <c r="AP78" s="251">
        <f>+VCdata!AR33</f>
        <v>0.6543632793834866</v>
      </c>
      <c r="AQ78" s="251">
        <f>+VCdata!AS33</f>
        <v>0.57046820553630895</v>
      </c>
      <c r="AR78" s="251">
        <f>+VCdata!AT33</f>
        <v>0.48671296311143863</v>
      </c>
      <c r="AS78" s="251">
        <f>+VCdata!AU33</f>
        <v>0.40317007132989979</v>
      </c>
      <c r="AT78" s="251">
        <f>+VCdata!AV33</f>
        <v>0.31983580637726372</v>
      </c>
      <c r="AU78" s="251">
        <f>+VCdata!AW33</f>
        <v>0.23664577001699535</v>
      </c>
      <c r="AV78" s="251">
        <f>+VCdata!AX33</f>
        <v>0.15379999640739708</v>
      </c>
      <c r="AW78" s="251"/>
      <c r="AX78" s="251"/>
      <c r="AY78" s="251"/>
      <c r="AZ78" s="251"/>
      <c r="BA78" s="251"/>
      <c r="BB78" s="251"/>
      <c r="BC78" s="251"/>
      <c r="BD78" s="251"/>
      <c r="BE78" s="251"/>
      <c r="BF78" s="251"/>
    </row>
    <row r="79" spans="1:58" s="250" customFormat="1" ht="15" hidden="1" customHeight="1" x14ac:dyDescent="0.15">
      <c r="A79" s="248" t="s">
        <v>353</v>
      </c>
      <c r="B79" s="249" t="s">
        <v>52</v>
      </c>
      <c r="C79" s="250" t="s">
        <v>413</v>
      </c>
      <c r="D79" s="248" t="s">
        <v>337</v>
      </c>
      <c r="E79" s="248" t="s">
        <v>433</v>
      </c>
      <c r="F79" s="193" t="s">
        <v>338</v>
      </c>
      <c r="G79" s="248" t="s">
        <v>365</v>
      </c>
      <c r="H79" s="190"/>
      <c r="I79" s="190"/>
      <c r="J79" s="190"/>
      <c r="K79" s="190"/>
      <c r="L79" s="190"/>
      <c r="M79" s="190"/>
      <c r="N79" s="190"/>
      <c r="O79" s="190"/>
      <c r="P79" s="190"/>
      <c r="Q79" s="190"/>
      <c r="R79" s="190"/>
      <c r="S79" s="190"/>
      <c r="T79" s="251">
        <f>+VCdata!V34</f>
        <v>6.3402862850746295</v>
      </c>
      <c r="U79" s="251">
        <f>+VCdata!W34</f>
        <v>6.0686457155153963</v>
      </c>
      <c r="V79" s="251">
        <f>+VCdata!X34</f>
        <v>5.9025169625164686</v>
      </c>
      <c r="W79" s="251">
        <f>+VCdata!Y34</f>
        <v>5.9025169625164686</v>
      </c>
      <c r="X79" s="251">
        <f>+VCdata!Z34</f>
        <v>5.8186095836599776</v>
      </c>
      <c r="Y79" s="251">
        <f>+VCdata!AA34</f>
        <v>5.5843497651518472</v>
      </c>
      <c r="Z79" s="251">
        <f>+VCdata!AB34</f>
        <v>5.1017791715149006</v>
      </c>
      <c r="AA79" s="251">
        <f>+VCdata!AC34</f>
        <v>4.5521395447593278</v>
      </c>
      <c r="AB79" s="251">
        <f>+VCdata!AD34</f>
        <v>4.0734270313371166</v>
      </c>
      <c r="AC79" s="251">
        <f>+VCdata!AE34</f>
        <v>3.5757202761889579</v>
      </c>
      <c r="AD79" s="251">
        <f>+VCdata!AF34</f>
        <v>3.0883570512525642</v>
      </c>
      <c r="AE79" s="251">
        <f>+VCdata!AG34</f>
        <v>2.6696777913558623</v>
      </c>
      <c r="AF79" s="251">
        <f>+VCdata!AH34</f>
        <v>2.3611336868216335</v>
      </c>
      <c r="AG79" s="251">
        <f>+VCdata!AI34</f>
        <v>2.0818322958441153</v>
      </c>
      <c r="AH79" s="251">
        <f>+VCdata!AJ34</f>
        <v>1.8520653167192502</v>
      </c>
      <c r="AI79" s="251">
        <f>+VCdata!AK34</f>
        <v>1.6529516246661928</v>
      </c>
      <c r="AJ79" s="251">
        <f>+VCdata!AL34</f>
        <v>1.4657642581572548</v>
      </c>
      <c r="AK79" s="251">
        <f>+VCdata!AM34</f>
        <v>1.2620103349812537</v>
      </c>
      <c r="AL79" s="251">
        <f>+VCdata!AN34</f>
        <v>1.0977644037644996</v>
      </c>
      <c r="AM79" s="251">
        <f>+VCdata!AO34</f>
        <v>1.0021609663106916</v>
      </c>
      <c r="AN79" s="251">
        <f>+VCdata!AP34</f>
        <v>0.90717283657005954</v>
      </c>
      <c r="AO79" s="251">
        <f>+VCdata!AQ34</f>
        <v>0.81260469717555184</v>
      </c>
      <c r="AP79" s="251">
        <f>+VCdata!AR34</f>
        <v>0.71840958087719997</v>
      </c>
      <c r="AQ79" s="251">
        <f>+VCdata!AS34</f>
        <v>0.62437822681417232</v>
      </c>
      <c r="AR79" s="251">
        <f>+VCdata!AT34</f>
        <v>0.53052271244463656</v>
      </c>
      <c r="AS79" s="251">
        <f>+VCdata!AU34</f>
        <v>0.43695584798032178</v>
      </c>
      <c r="AT79" s="251">
        <f>+VCdata!AV34</f>
        <v>0.34366966285287237</v>
      </c>
      <c r="AU79" s="251">
        <f>+VCdata!AW34</f>
        <v>0.25060030914860204</v>
      </c>
      <c r="AV79" s="251">
        <f>+VCdata!AX34</f>
        <v>0.15793989122947033</v>
      </c>
      <c r="AW79" s="251"/>
      <c r="AX79" s="251"/>
      <c r="AY79" s="251"/>
      <c r="AZ79" s="251"/>
      <c r="BA79" s="251"/>
      <c r="BB79" s="251"/>
      <c r="BC79" s="251"/>
      <c r="BD79" s="251"/>
      <c r="BE79" s="251"/>
      <c r="BF79" s="251"/>
    </row>
    <row r="80" spans="1:58" s="250" customFormat="1" ht="15" hidden="1" customHeight="1" x14ac:dyDescent="0.15">
      <c r="A80" s="248" t="s">
        <v>353</v>
      </c>
      <c r="B80" s="249" t="s">
        <v>52</v>
      </c>
      <c r="C80" s="250" t="s">
        <v>327</v>
      </c>
      <c r="D80" s="248" t="s">
        <v>337</v>
      </c>
      <c r="E80" s="248" t="s">
        <v>433</v>
      </c>
      <c r="F80" s="193" t="s">
        <v>338</v>
      </c>
      <c r="G80" s="248" t="s">
        <v>365</v>
      </c>
      <c r="H80" s="190"/>
      <c r="I80" s="190"/>
      <c r="J80" s="190"/>
      <c r="K80" s="190"/>
      <c r="L80" s="190"/>
      <c r="M80" s="190"/>
      <c r="N80" s="190"/>
      <c r="O80" s="190"/>
      <c r="P80" s="190"/>
      <c r="Q80" s="190"/>
      <c r="R80" s="190"/>
      <c r="S80" s="190"/>
      <c r="T80" s="251">
        <f>+VCdata!V35</f>
        <v>5.3967683101478032</v>
      </c>
      <c r="U80" s="251">
        <f>+VCdata!W35</f>
        <v>5.3967683101478032</v>
      </c>
      <c r="V80" s="251">
        <f>+VCdata!X35</f>
        <v>5.3579062304432732</v>
      </c>
      <c r="W80" s="251">
        <f>+VCdata!Y35</f>
        <v>5.3579062304432732</v>
      </c>
      <c r="X80" s="251">
        <f>+VCdata!Z35</f>
        <v>5.3459367558178323</v>
      </c>
      <c r="Y80" s="251">
        <f>+VCdata!AA35</f>
        <v>5.2123759536873671</v>
      </c>
      <c r="Z80" s="251">
        <f>+VCdata!AB35</f>
        <v>4.8303555923503874</v>
      </c>
      <c r="AA80" s="251">
        <f>+VCdata!AC35</f>
        <v>4.4650280888462719</v>
      </c>
      <c r="AB80" s="251">
        <f>+VCdata!AD35</f>
        <v>4.0789954370126313</v>
      </c>
      <c r="AC80" s="251">
        <f>+VCdata!AE35</f>
        <v>3.5801081029705912</v>
      </c>
      <c r="AD80" s="251">
        <f>+VCdata!AF35</f>
        <v>3.1839173254550888</v>
      </c>
      <c r="AE80" s="251">
        <f>+VCdata!AG35</f>
        <v>2.766088315854585</v>
      </c>
      <c r="AF80" s="251">
        <f>+VCdata!AH35</f>
        <v>2.3849269118417564</v>
      </c>
      <c r="AG80" s="251">
        <f>+VCdata!AI35</f>
        <v>2.0181039408447301</v>
      </c>
      <c r="AH80" s="251">
        <f>+VCdata!AJ35</f>
        <v>1.7612776525518052</v>
      </c>
      <c r="AI80" s="251">
        <f>+VCdata!AK35</f>
        <v>1.5504665343241923</v>
      </c>
      <c r="AJ80" s="251">
        <f>+VCdata!AL35</f>
        <v>1.3775601131673003</v>
      </c>
      <c r="AK80" s="251">
        <f>+VCdata!AM35</f>
        <v>1.2068406513471819</v>
      </c>
      <c r="AL80" s="251">
        <f>+VCdata!AN35</f>
        <v>1.0372398158679097</v>
      </c>
      <c r="AM80" s="251">
        <f>+VCdata!AO35</f>
        <v>0.94994864575465943</v>
      </c>
      <c r="AN80" s="251">
        <f>+VCdata!AP35</f>
        <v>0.86305779526536419</v>
      </c>
      <c r="AO80" s="251">
        <f>+VCdata!AQ35</f>
        <v>0.77634017161821256</v>
      </c>
      <c r="AP80" s="251">
        <f>+VCdata!AR35</f>
        <v>0.68992002451995149</v>
      </c>
      <c r="AQ80" s="251">
        <f>+VCdata!AS35</f>
        <v>0.60368726004624829</v>
      </c>
      <c r="AR80" s="251">
        <f>+VCdata!AT35</f>
        <v>0.51855881468156828</v>
      </c>
      <c r="AS80" s="251">
        <f>+VCdata!AU35</f>
        <v>0.43318115127076262</v>
      </c>
      <c r="AT80" s="251">
        <f>+VCdata!AV35</f>
        <v>0.34757175799512652</v>
      </c>
      <c r="AU80" s="251">
        <f>+VCdata!AW35</f>
        <v>0.26167079348071087</v>
      </c>
      <c r="AV80" s="251">
        <f>+VCdata!AX35</f>
        <v>0.17546133426522306</v>
      </c>
      <c r="AW80" s="251"/>
      <c r="AX80" s="251"/>
      <c r="AY80" s="251"/>
      <c r="AZ80" s="251"/>
      <c r="BA80" s="251"/>
      <c r="BB80" s="251"/>
      <c r="BC80" s="251"/>
      <c r="BD80" s="251"/>
      <c r="BE80" s="251"/>
      <c r="BF80" s="251"/>
    </row>
    <row r="81" spans="1:58" s="250" customFormat="1" ht="15" hidden="1" customHeight="1" x14ac:dyDescent="0.15">
      <c r="A81" s="248" t="s">
        <v>353</v>
      </c>
      <c r="B81" s="249" t="s">
        <v>52</v>
      </c>
      <c r="C81" s="250" t="s">
        <v>233</v>
      </c>
      <c r="D81" s="248" t="s">
        <v>337</v>
      </c>
      <c r="E81" s="248" t="s">
        <v>433</v>
      </c>
      <c r="F81" s="193" t="s">
        <v>338</v>
      </c>
      <c r="G81" s="248" t="s">
        <v>365</v>
      </c>
      <c r="H81" s="190"/>
      <c r="I81" s="190"/>
      <c r="J81" s="190"/>
      <c r="K81" s="190"/>
      <c r="L81" s="190"/>
      <c r="M81" s="190"/>
      <c r="N81" s="190"/>
      <c r="O81" s="190"/>
      <c r="P81" s="190"/>
      <c r="Q81" s="190"/>
      <c r="R81" s="190"/>
      <c r="S81" s="190"/>
      <c r="T81" s="251">
        <f>+VCdata!V36</f>
        <v>5.3431080463667833</v>
      </c>
      <c r="U81" s="251">
        <f>+VCdata!W36</f>
        <v>5.303781294276197</v>
      </c>
      <c r="V81" s="251">
        <f>+VCdata!X36</f>
        <v>5.2154483711240669</v>
      </c>
      <c r="W81" s="251">
        <f>+VCdata!Y36</f>
        <v>5.2154483711240669</v>
      </c>
      <c r="X81" s="251">
        <f>+VCdata!Z36</f>
        <v>4.9924452977268325</v>
      </c>
      <c r="Y81" s="251">
        <f>+VCdata!AA36</f>
        <v>4.7770476123302412</v>
      </c>
      <c r="Z81" s="251">
        <f>+VCdata!AB36</f>
        <v>4.4080976615493812</v>
      </c>
      <c r="AA81" s="251">
        <f>+VCdata!AC36</f>
        <v>4.0302542315014627</v>
      </c>
      <c r="AB81" s="251">
        <f>+VCdata!AD36</f>
        <v>3.667126890661788</v>
      </c>
      <c r="AC81" s="251">
        <f>+VCdata!AE36</f>
        <v>3.2255241909146131</v>
      </c>
      <c r="AD81" s="251">
        <f>+VCdata!AF36</f>
        <v>2.8452098086442117</v>
      </c>
      <c r="AE81" s="251">
        <f>+VCdata!AG36</f>
        <v>2.4886203969047216</v>
      </c>
      <c r="AF81" s="251">
        <f>+VCdata!AH36</f>
        <v>2.1728886531626719</v>
      </c>
      <c r="AG81" s="251">
        <f>+VCdata!AI36</f>
        <v>1.8847270869061896</v>
      </c>
      <c r="AH81" s="251">
        <f>+VCdata!AJ36</f>
        <v>1.6746021839247283</v>
      </c>
      <c r="AI81" s="251">
        <f>+VCdata!AK36</f>
        <v>1.4971293495517886</v>
      </c>
      <c r="AJ81" s="251">
        <f>+VCdata!AL36</f>
        <v>1.3385055200936358</v>
      </c>
      <c r="AK81" s="251">
        <f>+VCdata!AM36</f>
        <v>1.1787648059462517</v>
      </c>
      <c r="AL81" s="251">
        <f>+VCdata!AN36</f>
        <v>1.0256219461947376</v>
      </c>
      <c r="AM81" s="251">
        <f>+VCdata!AO36</f>
        <v>0.94209314310159342</v>
      </c>
      <c r="AN81" s="251">
        <f>+VCdata!AP36</f>
        <v>0.85410670793591703</v>
      </c>
      <c r="AO81" s="251">
        <f>+VCdata!AQ36</f>
        <v>0.76661082933347835</v>
      </c>
      <c r="AP81" s="251">
        <f>+VCdata!AR36</f>
        <v>0.67963899677707118</v>
      </c>
      <c r="AQ81" s="251">
        <f>+VCdata!AS36</f>
        <v>0.59308222695349866</v>
      </c>
      <c r="AR81" s="251">
        <f>+VCdata!AT36</f>
        <v>0.50809906121898485</v>
      </c>
      <c r="AS81" s="251">
        <f>+VCdata!AU36</f>
        <v>0.42230474311645838</v>
      </c>
      <c r="AT81" s="251">
        <f>+VCdata!AV36</f>
        <v>0.33654745386471341</v>
      </c>
      <c r="AU81" s="251">
        <f>+VCdata!AW36</f>
        <v>0.25068052266475499</v>
      </c>
      <c r="AV81" s="251">
        <f>+VCdata!AX36</f>
        <v>0.16478870973706436</v>
      </c>
      <c r="AW81" s="251"/>
      <c r="AX81" s="251"/>
      <c r="AY81" s="251"/>
      <c r="AZ81" s="251"/>
      <c r="BA81" s="251"/>
      <c r="BB81" s="251"/>
      <c r="BC81" s="251"/>
      <c r="BD81" s="251"/>
      <c r="BE81" s="251"/>
      <c r="BF81" s="251"/>
    </row>
    <row r="82" spans="1:58" s="250" customFormat="1" ht="15" hidden="1" customHeight="1" x14ac:dyDescent="0.15">
      <c r="A82" s="248" t="s">
        <v>353</v>
      </c>
      <c r="B82" s="249" t="s">
        <v>52</v>
      </c>
      <c r="C82" s="250" t="s">
        <v>326</v>
      </c>
      <c r="D82" s="248" t="s">
        <v>337</v>
      </c>
      <c r="E82" s="248" t="s">
        <v>433</v>
      </c>
      <c r="F82" s="193" t="s">
        <v>338</v>
      </c>
      <c r="G82" s="248" t="s">
        <v>329</v>
      </c>
      <c r="H82" s="190"/>
      <c r="I82" s="190"/>
      <c r="J82" s="190"/>
      <c r="K82" s="190"/>
      <c r="L82" s="190"/>
      <c r="M82" s="190"/>
      <c r="N82" s="190"/>
      <c r="O82" s="190"/>
      <c r="P82" s="190"/>
      <c r="Q82" s="190"/>
      <c r="R82" s="190"/>
      <c r="S82" s="190"/>
      <c r="T82" s="251">
        <f>+VCdata!V37</f>
        <v>3.9494595348172612</v>
      </c>
      <c r="U82" s="251">
        <f>+VCdata!W37</f>
        <v>3.9494595348172612</v>
      </c>
      <c r="V82" s="251">
        <f>+VCdata!X37</f>
        <v>3.7552432111667851</v>
      </c>
      <c r="W82" s="251">
        <f>+VCdata!Y37</f>
        <v>3.6402132834110192</v>
      </c>
      <c r="X82" s="251">
        <f>+VCdata!Z37</f>
        <v>3.4978302580110396</v>
      </c>
      <c r="Y82" s="251">
        <f>+VCdata!AA37</f>
        <v>3.3233776314566663</v>
      </c>
      <c r="Z82" s="251">
        <f>+VCdata!AB37</f>
        <v>3.143444342034543</v>
      </c>
      <c r="AA82" s="251">
        <f>+VCdata!AC37</f>
        <v>2.9541338266671886</v>
      </c>
      <c r="AB82" s="251">
        <f>+VCdata!AD37</f>
        <v>2.7723682451761364</v>
      </c>
      <c r="AC82" s="251">
        <f>+VCdata!AE37</f>
        <v>2.6220074930168247</v>
      </c>
      <c r="AD82" s="251">
        <f>+VCdata!AF37</f>
        <v>2.4620688632852366</v>
      </c>
      <c r="AE82" s="251">
        <f>+VCdata!AG37</f>
        <v>2.315386798698349</v>
      </c>
      <c r="AF82" s="251">
        <f>+VCdata!AH37</f>
        <v>2.1684228668969294</v>
      </c>
      <c r="AG82" s="251">
        <f>+VCdata!AI37</f>
        <v>2.0288048679509281</v>
      </c>
      <c r="AH82" s="251">
        <f>+VCdata!AJ37</f>
        <v>1.851916021431685</v>
      </c>
      <c r="AI82" s="251">
        <f>+VCdata!AK37</f>
        <v>1.6822591787323069</v>
      </c>
      <c r="AJ82" s="251">
        <f>+VCdata!AL37</f>
        <v>1.5191496188656868</v>
      </c>
      <c r="AK82" s="251">
        <f>+VCdata!AM37</f>
        <v>1.3566913912671479</v>
      </c>
      <c r="AL82" s="251">
        <f>+VCdata!AN37</f>
        <v>1.1957768427616162</v>
      </c>
      <c r="AM82" s="251">
        <f>+VCdata!AO37</f>
        <v>1.0932795875078083</v>
      </c>
      <c r="AN82" s="251">
        <f>+VCdata!AP37</f>
        <v>0.99170338548594594</v>
      </c>
      <c r="AO82" s="251">
        <f>+VCdata!AQ37</f>
        <v>0.89069525004112415</v>
      </c>
      <c r="AP82" s="251">
        <f>+VCdata!AR37</f>
        <v>0.79016942980686466</v>
      </c>
      <c r="AQ82" s="251">
        <f>+VCdata!AS37</f>
        <v>0.68973796564131684</v>
      </c>
      <c r="AR82" s="251">
        <f>+VCdata!AT37</f>
        <v>0.58943654718516736</v>
      </c>
      <c r="AS82" s="251">
        <f>+VCdata!AU37</f>
        <v>0.48947694661401292</v>
      </c>
      <c r="AT82" s="251">
        <f>+VCdata!AV37</f>
        <v>0.38984652334435899</v>
      </c>
      <c r="AU82" s="251">
        <f>+VCdata!AW37</f>
        <v>0.29044301191144212</v>
      </c>
      <c r="AV82" s="251">
        <f>+VCdata!AX37</f>
        <v>0.19158151676322971</v>
      </c>
      <c r="AW82" s="251"/>
      <c r="AX82" s="251"/>
      <c r="AY82" s="251"/>
      <c r="AZ82" s="251"/>
      <c r="BA82" s="251"/>
      <c r="BB82" s="251"/>
      <c r="BC82" s="251"/>
      <c r="BD82" s="251"/>
      <c r="BE82" s="251"/>
      <c r="BF82" s="251"/>
    </row>
    <row r="83" spans="1:58" s="250" customFormat="1" ht="15" hidden="1" customHeight="1" x14ac:dyDescent="0.15">
      <c r="A83" s="248" t="s">
        <v>353</v>
      </c>
      <c r="B83" s="249" t="s">
        <v>52</v>
      </c>
      <c r="C83" s="250" t="s">
        <v>413</v>
      </c>
      <c r="D83" s="248" t="s">
        <v>337</v>
      </c>
      <c r="E83" s="248" t="s">
        <v>433</v>
      </c>
      <c r="F83" s="193" t="s">
        <v>338</v>
      </c>
      <c r="G83" s="248" t="s">
        <v>329</v>
      </c>
      <c r="H83" s="190"/>
      <c r="I83" s="190"/>
      <c r="J83" s="190"/>
      <c r="K83" s="190"/>
      <c r="L83" s="190"/>
      <c r="M83" s="190"/>
      <c r="N83" s="190"/>
      <c r="O83" s="190"/>
      <c r="P83" s="190"/>
      <c r="Q83" s="190"/>
      <c r="R83" s="190"/>
      <c r="S83" s="190"/>
      <c r="T83" s="251">
        <f>+VCdata!V38</f>
        <v>4.5977798440648519</v>
      </c>
      <c r="U83" s="251">
        <f>+VCdata!W38</f>
        <v>4.5591622429984815</v>
      </c>
      <c r="V83" s="251">
        <f>+VCdata!X38</f>
        <v>4.3877239681363642</v>
      </c>
      <c r="W83" s="251">
        <f>+VCdata!Y38</f>
        <v>4.2833912292736649</v>
      </c>
      <c r="X83" s="251">
        <f>+VCdata!Z38</f>
        <v>4.1296545342416495</v>
      </c>
      <c r="Y83" s="251">
        <f>+VCdata!AA38</f>
        <v>3.9301405855046472</v>
      </c>
      <c r="Z83" s="251">
        <f>+VCdata!AB38</f>
        <v>3.7026744989005449</v>
      </c>
      <c r="AA83" s="251">
        <f>+VCdata!AC38</f>
        <v>3.4411986596879256</v>
      </c>
      <c r="AB83" s="251">
        <f>+VCdata!AD38</f>
        <v>3.1932217762764594</v>
      </c>
      <c r="AC83" s="251">
        <f>+VCdata!AE38</f>
        <v>2.9693166936815611</v>
      </c>
      <c r="AD83" s="251">
        <f>+VCdata!AF38</f>
        <v>2.7304959208419208</v>
      </c>
      <c r="AE83" s="251">
        <f>+VCdata!AG38</f>
        <v>2.5094002513067757</v>
      </c>
      <c r="AF83" s="251">
        <f>+VCdata!AH38</f>
        <v>2.3143065093961726</v>
      </c>
      <c r="AG83" s="251">
        <f>+VCdata!AI38</f>
        <v>2.1445454528761156</v>
      </c>
      <c r="AH83" s="251">
        <f>+VCdata!AJ38</f>
        <v>1.9437338595571034</v>
      </c>
      <c r="AI83" s="251">
        <f>+VCdata!AK38</f>
        <v>1.7569449191502082</v>
      </c>
      <c r="AJ83" s="251">
        <f>+VCdata!AL38</f>
        <v>1.5788735504156608</v>
      </c>
      <c r="AK83" s="251">
        <f>+VCdata!AM38</f>
        <v>1.3962082692078397</v>
      </c>
      <c r="AL83" s="251">
        <f>+VCdata!AN38</f>
        <v>1.226415534538589</v>
      </c>
      <c r="AM83" s="251">
        <f>+VCdata!AO38</f>
        <v>1.120833274705942</v>
      </c>
      <c r="AN83" s="251">
        <f>+VCdata!AP38</f>
        <v>1.0162400068367841</v>
      </c>
      <c r="AO83" s="251">
        <f>+VCdata!AQ38</f>
        <v>0.91225335422469023</v>
      </c>
      <c r="AP83" s="251">
        <f>+VCdata!AR38</f>
        <v>0.80877811314192716</v>
      </c>
      <c r="AQ83" s="251">
        <f>+VCdata!AS38</f>
        <v>0.7054015480079594</v>
      </c>
      <c r="AR83" s="251">
        <f>+VCdata!AT38</f>
        <v>0.60216549073700676</v>
      </c>
      <c r="AS83" s="251">
        <f>+VCdata!AU38</f>
        <v>0.49929342012616773</v>
      </c>
      <c r="AT83" s="251">
        <f>+VCdata!AV38</f>
        <v>0.39677146170559913</v>
      </c>
      <c r="AU83" s="251">
        <f>+VCdata!AW38</f>
        <v>0.29449750990865387</v>
      </c>
      <c r="AV83" s="251">
        <f>+VCdata!AX38</f>
        <v>0.19278436517738848</v>
      </c>
      <c r="AW83" s="251"/>
      <c r="AX83" s="251"/>
      <c r="AY83" s="251"/>
      <c r="AZ83" s="251"/>
      <c r="BA83" s="251"/>
      <c r="BB83" s="251"/>
      <c r="BC83" s="251"/>
      <c r="BD83" s="251"/>
      <c r="BE83" s="251"/>
      <c r="BF83" s="251"/>
    </row>
    <row r="84" spans="1:58" s="250" customFormat="1" ht="15" hidden="1" customHeight="1" x14ac:dyDescent="0.15">
      <c r="A84" s="248" t="s">
        <v>353</v>
      </c>
      <c r="B84" s="249" t="s">
        <v>52</v>
      </c>
      <c r="C84" s="250" t="s">
        <v>327</v>
      </c>
      <c r="D84" s="248" t="s">
        <v>337</v>
      </c>
      <c r="E84" s="248" t="s">
        <v>433</v>
      </c>
      <c r="F84" s="193" t="s">
        <v>338</v>
      </c>
      <c r="G84" s="248" t="s">
        <v>329</v>
      </c>
      <c r="H84" s="190"/>
      <c r="I84" s="190"/>
      <c r="J84" s="190"/>
      <c r="K84" s="190"/>
      <c r="L84" s="190"/>
      <c r="M84" s="190"/>
      <c r="N84" s="190"/>
      <c r="O84" s="190"/>
      <c r="P84" s="190"/>
      <c r="Q84" s="190"/>
      <c r="R84" s="190"/>
      <c r="S84" s="190"/>
      <c r="T84" s="251">
        <f>+VCdata!V39</f>
        <v>4.4590463886082068</v>
      </c>
      <c r="U84" s="251">
        <f>+VCdata!W39</f>
        <v>4.4590463886082068</v>
      </c>
      <c r="V84" s="251">
        <f>+VCdata!X39</f>
        <v>4.2766351011377131</v>
      </c>
      <c r="W84" s="251">
        <f>+VCdata!Y39</f>
        <v>4.0725837680726116</v>
      </c>
      <c r="X84" s="251">
        <f>+VCdata!Z39</f>
        <v>3.846601559221106</v>
      </c>
      <c r="Y84" s="251">
        <f>+VCdata!AA39</f>
        <v>3.6119913561184367</v>
      </c>
      <c r="Z84" s="251">
        <f>+VCdata!AB39</f>
        <v>3.3588000427570757</v>
      </c>
      <c r="AA84" s="251">
        <f>+VCdata!AC39</f>
        <v>3.1179325434437875</v>
      </c>
      <c r="AB84" s="251">
        <f>+VCdata!AD39</f>
        <v>2.8851667744071441</v>
      </c>
      <c r="AC84" s="251">
        <f>+VCdata!AE39</f>
        <v>2.6776683788684976</v>
      </c>
      <c r="AD84" s="251">
        <f>+VCdata!AF39</f>
        <v>2.4867410514054233</v>
      </c>
      <c r="AE84" s="251">
        <f>+VCdata!AG39</f>
        <v>2.2906765187103812</v>
      </c>
      <c r="AF84" s="251">
        <f>+VCdata!AH39</f>
        <v>2.1009678404741741</v>
      </c>
      <c r="AG84" s="251">
        <f>+VCdata!AI39</f>
        <v>1.9550133398827718</v>
      </c>
      <c r="AH84" s="251">
        <f>+VCdata!AJ39</f>
        <v>1.8344671809249078</v>
      </c>
      <c r="AI84" s="251">
        <f>+VCdata!AK39</f>
        <v>1.7157027725465628</v>
      </c>
      <c r="AJ84" s="251">
        <f>+VCdata!AL39</f>
        <v>1.5688898403577474</v>
      </c>
      <c r="AK84" s="251">
        <f>+VCdata!AM39</f>
        <v>1.4180455887998995</v>
      </c>
      <c r="AL84" s="251">
        <f>+VCdata!AN39</f>
        <v>1.2629513899391678</v>
      </c>
      <c r="AM84" s="251">
        <f>+VCdata!AO39</f>
        <v>1.1618682670820861</v>
      </c>
      <c r="AN84" s="251">
        <f>+VCdata!AP39</f>
        <v>1.0601483549979815</v>
      </c>
      <c r="AO84" s="251">
        <f>+VCdata!AQ39</f>
        <v>0.9577542661657712</v>
      </c>
      <c r="AP84" s="251">
        <f>+VCdata!AR39</f>
        <v>0.85451765560070525</v>
      </c>
      <c r="AQ84" s="251">
        <f>+VCdata!AS39</f>
        <v>0.75049644690762596</v>
      </c>
      <c r="AR84" s="251">
        <f>+VCdata!AT39</f>
        <v>0.64364822449109227</v>
      </c>
      <c r="AS84" s="251">
        <f>+VCdata!AU39</f>
        <v>0.53692920913360154</v>
      </c>
      <c r="AT84" s="251">
        <f>+VCdata!AV39</f>
        <v>0.43027389339593963</v>
      </c>
      <c r="AU84" s="251">
        <f>+VCdata!AW39</f>
        <v>0.32374034736399698</v>
      </c>
      <c r="AV84" s="251">
        <f>+VCdata!AX39</f>
        <v>0.21739064962609181</v>
      </c>
      <c r="AW84" s="251"/>
      <c r="AX84" s="251"/>
      <c r="AY84" s="251"/>
      <c r="AZ84" s="251"/>
      <c r="BA84" s="251"/>
      <c r="BB84" s="251"/>
      <c r="BC84" s="251"/>
      <c r="BD84" s="251"/>
      <c r="BE84" s="251"/>
      <c r="BF84" s="251"/>
    </row>
    <row r="85" spans="1:58" s="250" customFormat="1" ht="15" hidden="1" customHeight="1" x14ac:dyDescent="0.15">
      <c r="A85" s="248" t="s">
        <v>353</v>
      </c>
      <c r="B85" s="249" t="s">
        <v>52</v>
      </c>
      <c r="C85" s="250" t="s">
        <v>233</v>
      </c>
      <c r="D85" s="248" t="s">
        <v>337</v>
      </c>
      <c r="E85" s="248" t="s">
        <v>433</v>
      </c>
      <c r="F85" s="193" t="s">
        <v>338</v>
      </c>
      <c r="G85" s="248" t="s">
        <v>329</v>
      </c>
      <c r="H85" s="190"/>
      <c r="I85" s="190"/>
      <c r="J85" s="190"/>
      <c r="K85" s="190"/>
      <c r="L85" s="190"/>
      <c r="M85" s="190"/>
      <c r="N85" s="190"/>
      <c r="O85" s="190"/>
      <c r="P85" s="190"/>
      <c r="Q85" s="190"/>
      <c r="R85" s="190"/>
      <c r="S85" s="190"/>
      <c r="T85" s="251">
        <f>+VCdata!V40</f>
        <v>4.3774817064944491</v>
      </c>
      <c r="U85" s="251">
        <f>+VCdata!W40</f>
        <v>4.3677475694860721</v>
      </c>
      <c r="V85" s="251">
        <f>+VCdata!X40</f>
        <v>4.1772533779293246</v>
      </c>
      <c r="W85" s="251">
        <f>+VCdata!Y40</f>
        <v>4.0368674868581413</v>
      </c>
      <c r="X85" s="251">
        <f>+VCdata!Z40</f>
        <v>3.8723599426054927</v>
      </c>
      <c r="Y85" s="251">
        <f>+VCdata!AA40</f>
        <v>3.6642554106809353</v>
      </c>
      <c r="Z85" s="251">
        <f>+VCdata!AB40</f>
        <v>3.4380288047343179</v>
      </c>
      <c r="AA85" s="251">
        <f>+VCdata!AC40</f>
        <v>3.2011968267092166</v>
      </c>
      <c r="AB85" s="251">
        <f>+VCdata!AD40</f>
        <v>2.9752145686532243</v>
      </c>
      <c r="AC85" s="251">
        <f>+VCdata!AE40</f>
        <v>2.7626125226051776</v>
      </c>
      <c r="AD85" s="251">
        <f>+VCdata!AF40</f>
        <v>2.5627248051569547</v>
      </c>
      <c r="AE85" s="251">
        <f>+VCdata!AG40</f>
        <v>2.3697666054462077</v>
      </c>
      <c r="AF85" s="251">
        <f>+VCdata!AH40</f>
        <v>2.1876433222049423</v>
      </c>
      <c r="AG85" s="251">
        <f>+VCdata!AI40</f>
        <v>2.0346283674440184</v>
      </c>
      <c r="AH85" s="251">
        <f>+VCdata!AJ40</f>
        <v>1.8734858170871764</v>
      </c>
      <c r="AI85" s="251">
        <f>+VCdata!AK40</f>
        <v>1.7197820332084444</v>
      </c>
      <c r="AJ85" s="251">
        <f>+VCdata!AL40</f>
        <v>1.5588859779433681</v>
      </c>
      <c r="AK85" s="251">
        <f>+VCdata!AM40</f>
        <v>1.3951915817926208</v>
      </c>
      <c r="AL85" s="251">
        <f>+VCdata!AN40</f>
        <v>1.2341570416600198</v>
      </c>
      <c r="AM85" s="251">
        <f>+VCdata!AO40</f>
        <v>1.1319588347260996</v>
      </c>
      <c r="AN85" s="251">
        <f>+VCdata!AP40</f>
        <v>1.0294111966262907</v>
      </c>
      <c r="AO85" s="251">
        <f>+VCdata!AQ40</f>
        <v>0.92689047621156939</v>
      </c>
      <c r="AP85" s="251">
        <f>+VCdata!AR40</f>
        <v>0.82419577519289322</v>
      </c>
      <c r="AQ85" s="251">
        <f>+VCdata!AS40</f>
        <v>0.72119167082041269</v>
      </c>
      <c r="AR85" s="251">
        <f>+VCdata!AT40</f>
        <v>0.61706812589992832</v>
      </c>
      <c r="AS85" s="251">
        <f>+VCdata!AU40</f>
        <v>0.51328550248873606</v>
      </c>
      <c r="AT85" s="251">
        <f>+VCdata!AV40</f>
        <v>0.40974478911009865</v>
      </c>
      <c r="AU85" s="251">
        <f>+VCdata!AW40</f>
        <v>0.30640926885509645</v>
      </c>
      <c r="AV85" s="251">
        <f>+VCdata!AX40</f>
        <v>0.20344222109146948</v>
      </c>
      <c r="AW85" s="251"/>
      <c r="AX85" s="251"/>
      <c r="AY85" s="251"/>
      <c r="AZ85" s="251"/>
      <c r="BA85" s="251"/>
      <c r="BB85" s="251"/>
      <c r="BC85" s="251"/>
      <c r="BD85" s="251"/>
      <c r="BE85" s="251"/>
      <c r="BF85" s="251"/>
    </row>
    <row r="86" spans="1:58" s="250" customFormat="1" ht="15" hidden="1" customHeight="1" x14ac:dyDescent="0.15">
      <c r="A86" s="248" t="s">
        <v>353</v>
      </c>
      <c r="B86" s="249" t="s">
        <v>52</v>
      </c>
      <c r="C86" s="250" t="s">
        <v>326</v>
      </c>
      <c r="D86" s="248" t="s">
        <v>337</v>
      </c>
      <c r="E86" s="248" t="s">
        <v>433</v>
      </c>
      <c r="F86" s="193" t="s">
        <v>338</v>
      </c>
      <c r="G86" s="248" t="s">
        <v>330</v>
      </c>
      <c r="H86" s="190"/>
      <c r="I86" s="190"/>
      <c r="J86" s="190"/>
      <c r="K86" s="190"/>
      <c r="L86" s="190"/>
      <c r="M86" s="190"/>
      <c r="N86" s="190"/>
      <c r="O86" s="190"/>
      <c r="P86" s="190"/>
      <c r="Q86" s="190"/>
      <c r="R86" s="190"/>
      <c r="S86" s="190"/>
      <c r="T86" s="251">
        <f>+VCdata!V41</f>
        <v>3.9238131330873367</v>
      </c>
      <c r="U86" s="251">
        <f>+VCdata!W41</f>
        <v>3.9220310028957361</v>
      </c>
      <c r="V86" s="251">
        <f>+VCdata!X41</f>
        <v>3.7150908543449712</v>
      </c>
      <c r="W86" s="251">
        <f>+VCdata!Y41</f>
        <v>3.564372953004074</v>
      </c>
      <c r="X86" s="251">
        <f>+VCdata!Z41</f>
        <v>3.3891130246649932</v>
      </c>
      <c r="Y86" s="251">
        <f>+VCdata!AA41</f>
        <v>3.1865646646490187</v>
      </c>
      <c r="Z86" s="251">
        <f>+VCdata!AB41</f>
        <v>2.9832101824671318</v>
      </c>
      <c r="AA86" s="251">
        <f>+VCdata!AC41</f>
        <v>2.7744328064122672</v>
      </c>
      <c r="AB86" s="251">
        <f>+VCdata!AD41</f>
        <v>2.5771830106308387</v>
      </c>
      <c r="AC86" s="251">
        <f>+VCdata!AE41</f>
        <v>2.401500900227977</v>
      </c>
      <c r="AD86" s="251">
        <f>+VCdata!AF41</f>
        <v>2.2211665256733788</v>
      </c>
      <c r="AE86" s="251">
        <f>+VCdata!AG41</f>
        <v>2.0603917602889585</v>
      </c>
      <c r="AF86" s="251">
        <f>+VCdata!AH41</f>
        <v>1.9037443186723384</v>
      </c>
      <c r="AG86" s="251">
        <f>+VCdata!AI41</f>
        <v>1.7597359011859044</v>
      </c>
      <c r="AH86" s="251">
        <f>+VCdata!AJ41</f>
        <v>1.6057102726839936</v>
      </c>
      <c r="AI86" s="251">
        <f>+VCdata!AK41</f>
        <v>1.4580719182780033</v>
      </c>
      <c r="AJ86" s="251">
        <f>+VCdata!AL41</f>
        <v>1.3176964327459246</v>
      </c>
      <c r="AK86" s="251">
        <f>+VCdata!AM41</f>
        <v>1.1772723705374126</v>
      </c>
      <c r="AL86" s="251">
        <f>+VCdata!AN41</f>
        <v>1.0387487251982066</v>
      </c>
      <c r="AM86" s="251">
        <f>+VCdata!AO41</f>
        <v>0.94929935941369092</v>
      </c>
      <c r="AN86" s="251">
        <f>+VCdata!AP41</f>
        <v>0.86110634884852544</v>
      </c>
      <c r="AO86" s="251">
        <f>+VCdata!AQ41</f>
        <v>0.77369628108839505</v>
      </c>
      <c r="AP86" s="251">
        <f>+VCdata!AR41</f>
        <v>0.68695426166112072</v>
      </c>
      <c r="AQ86" s="251">
        <f>+VCdata!AS41</f>
        <v>0.60033166203776978</v>
      </c>
      <c r="AR86" s="251">
        <f>+VCdata!AT41</f>
        <v>0.51388216967059197</v>
      </c>
      <c r="AS86" s="251">
        <f>+VCdata!AU41</f>
        <v>0.4279062532313509</v>
      </c>
      <c r="AT86" s="251">
        <f>+VCdata!AV41</f>
        <v>0.34238593610031087</v>
      </c>
      <c r="AU86" s="251">
        <f>+VCdata!AW41</f>
        <v>0.25717963069798799</v>
      </c>
      <c r="AV86" s="251">
        <f>+VCdata!AX41</f>
        <v>0.17272342456710343</v>
      </c>
      <c r="AW86" s="251"/>
      <c r="AX86" s="251"/>
      <c r="AY86" s="251"/>
      <c r="AZ86" s="251"/>
      <c r="BA86" s="251"/>
      <c r="BB86" s="251"/>
      <c r="BC86" s="251"/>
      <c r="BD86" s="251"/>
      <c r="BE86" s="251"/>
      <c r="BF86" s="251"/>
    </row>
    <row r="87" spans="1:58" s="250" customFormat="1" ht="15" hidden="1" customHeight="1" x14ac:dyDescent="0.15">
      <c r="A87" s="248" t="s">
        <v>353</v>
      </c>
      <c r="B87" s="249" t="s">
        <v>52</v>
      </c>
      <c r="C87" s="250" t="s">
        <v>413</v>
      </c>
      <c r="D87" s="248" t="s">
        <v>337</v>
      </c>
      <c r="E87" s="248" t="s">
        <v>433</v>
      </c>
      <c r="F87" s="193" t="s">
        <v>338</v>
      </c>
      <c r="G87" s="248" t="s">
        <v>330</v>
      </c>
      <c r="H87" s="190"/>
      <c r="I87" s="190"/>
      <c r="J87" s="190"/>
      <c r="K87" s="190"/>
      <c r="L87" s="190"/>
      <c r="M87" s="190"/>
      <c r="N87" s="190"/>
      <c r="O87" s="190"/>
      <c r="P87" s="190"/>
      <c r="Q87" s="190"/>
      <c r="R87" s="190"/>
      <c r="S87" s="190"/>
      <c r="T87" s="251">
        <f>+VCdata!V42</f>
        <v>4.6499406219716688</v>
      </c>
      <c r="U87" s="251">
        <f>+VCdata!W42</f>
        <v>4.6451685115232433</v>
      </c>
      <c r="V87" s="251">
        <f>+VCdata!X42</f>
        <v>4.4678771409932576</v>
      </c>
      <c r="W87" s="251">
        <f>+VCdata!Y42</f>
        <v>4.3101693971604789</v>
      </c>
      <c r="X87" s="251">
        <f>+VCdata!Z42</f>
        <v>4.1079542975799503</v>
      </c>
      <c r="Y87" s="251">
        <f>+VCdata!AA42</f>
        <v>3.8643318953662273</v>
      </c>
      <c r="Z87" s="251">
        <f>+VCdata!AB42</f>
        <v>3.5992224442308109</v>
      </c>
      <c r="AA87" s="251">
        <f>+VCdata!AC42</f>
        <v>3.3076016511640161</v>
      </c>
      <c r="AB87" s="251">
        <f>+VCdata!AD42</f>
        <v>3.0326175779235425</v>
      </c>
      <c r="AC87" s="251">
        <f>+VCdata!AE42</f>
        <v>2.7837386019574719</v>
      </c>
      <c r="AD87" s="251">
        <f>+VCdata!AF42</f>
        <v>2.519297570533535</v>
      </c>
      <c r="AE87" s="251">
        <f>+VCdata!AG42</f>
        <v>2.2759465516940942</v>
      </c>
      <c r="AF87" s="251">
        <f>+VCdata!AH42</f>
        <v>2.0606848883079882</v>
      </c>
      <c r="AG87" s="251">
        <f>+VCdata!AI42</f>
        <v>1.8823634224084596</v>
      </c>
      <c r="AH87" s="251">
        <f>+VCdata!AJ42</f>
        <v>1.7028828794522486</v>
      </c>
      <c r="AI87" s="251">
        <f>+VCdata!AK42</f>
        <v>1.5370663400798725</v>
      </c>
      <c r="AJ87" s="251">
        <f>+VCdata!AL42</f>
        <v>1.3808543558989672</v>
      </c>
      <c r="AK87" s="251">
        <f>+VCdata!AM42</f>
        <v>1.2190638711525574</v>
      </c>
      <c r="AL87" s="251">
        <f>+VCdata!AN42</f>
        <v>1.0710576202172992</v>
      </c>
      <c r="AM87" s="251">
        <f>+VCdata!AO42</f>
        <v>0.97835506635799407</v>
      </c>
      <c r="AN87" s="251">
        <f>+VCdata!AP42</f>
        <v>0.88698051918417975</v>
      </c>
      <c r="AO87" s="251">
        <f>+VCdata!AQ42</f>
        <v>0.79642935075267651</v>
      </c>
      <c r="AP87" s="251">
        <f>+VCdata!AR42</f>
        <v>0.70657716000631265</v>
      </c>
      <c r="AQ87" s="251">
        <f>+VCdata!AS42</f>
        <v>0.6168489447324853</v>
      </c>
      <c r="AR87" s="251">
        <f>+VCdata!AT42</f>
        <v>0.52730486914962538</v>
      </c>
      <c r="AS87" s="251">
        <f>+VCdata!AU42</f>
        <v>0.43825774653014299</v>
      </c>
      <c r="AT87" s="251">
        <f>+VCdata!AV42</f>
        <v>0.34968829910780902</v>
      </c>
      <c r="AU87" s="251">
        <f>+VCdata!AW42</f>
        <v>0.26145510791442655</v>
      </c>
      <c r="AV87" s="251">
        <f>+VCdata!AX42</f>
        <v>0.17399183091311707</v>
      </c>
      <c r="AW87" s="251"/>
      <c r="AX87" s="251"/>
      <c r="AY87" s="251"/>
      <c r="AZ87" s="251"/>
      <c r="BA87" s="251"/>
      <c r="BB87" s="251"/>
      <c r="BC87" s="251"/>
      <c r="BD87" s="251"/>
      <c r="BE87" s="251"/>
      <c r="BF87" s="251"/>
    </row>
    <row r="88" spans="1:58" s="250" customFormat="1" ht="15" hidden="1" customHeight="1" x14ac:dyDescent="0.15">
      <c r="A88" s="248" t="s">
        <v>353</v>
      </c>
      <c r="B88" s="249" t="s">
        <v>52</v>
      </c>
      <c r="C88" s="250" t="s">
        <v>327</v>
      </c>
      <c r="D88" s="248" t="s">
        <v>337</v>
      </c>
      <c r="E88" s="248" t="s">
        <v>433</v>
      </c>
      <c r="F88" s="193" t="s">
        <v>338</v>
      </c>
      <c r="G88" s="248" t="s">
        <v>330</v>
      </c>
      <c r="H88" s="190"/>
      <c r="I88" s="190"/>
      <c r="J88" s="190"/>
      <c r="K88" s="190"/>
      <c r="L88" s="190"/>
      <c r="M88" s="190"/>
      <c r="N88" s="190"/>
      <c r="O88" s="190"/>
      <c r="P88" s="190"/>
      <c r="Q88" s="190"/>
      <c r="R88" s="190"/>
      <c r="S88" s="190"/>
      <c r="T88" s="251">
        <f>+VCdata!V43</f>
        <v>4.4821460604642596</v>
      </c>
      <c r="U88" s="251">
        <f>+VCdata!W43</f>
        <v>4.4821460604642596</v>
      </c>
      <c r="V88" s="251">
        <f>+VCdata!X43</f>
        <v>4.2963817241095681</v>
      </c>
      <c r="W88" s="251">
        <f>+VCdata!Y43</f>
        <v>4.086330297008554</v>
      </c>
      <c r="X88" s="251">
        <f>+VCdata!Z43</f>
        <v>3.8543427587307693</v>
      </c>
      <c r="Y88" s="251">
        <f>+VCdata!AA43</f>
        <v>3.6138069649808369</v>
      </c>
      <c r="Z88" s="251">
        <f>+VCdata!AB43</f>
        <v>3.3551042765437846</v>
      </c>
      <c r="AA88" s="251">
        <f>+VCdata!AC43</f>
        <v>3.1097098780441885</v>
      </c>
      <c r="AB88" s="251">
        <f>+VCdata!AD43</f>
        <v>2.8731387292958597</v>
      </c>
      <c r="AC88" s="251">
        <f>+VCdata!AE43</f>
        <v>2.6382167141372004</v>
      </c>
      <c r="AD88" s="251">
        <f>+VCdata!AF43</f>
        <v>2.4229250256606254</v>
      </c>
      <c r="AE88" s="251">
        <f>+VCdata!AG43</f>
        <v>2.2086552091464533</v>
      </c>
      <c r="AF88" s="251">
        <f>+VCdata!AH43</f>
        <v>2.0059916672190075</v>
      </c>
      <c r="AG88" s="251">
        <f>+VCdata!AI43</f>
        <v>1.8120846596833307</v>
      </c>
      <c r="AH88" s="251">
        <f>+VCdata!AJ43</f>
        <v>1.6577692154533761</v>
      </c>
      <c r="AI88" s="251">
        <f>+VCdata!AK43</f>
        <v>1.5148164893704705</v>
      </c>
      <c r="AJ88" s="251">
        <f>+VCdata!AL43</f>
        <v>1.3849048831475124</v>
      </c>
      <c r="AK88" s="251">
        <f>+VCdata!AM43</f>
        <v>1.2521671313497889</v>
      </c>
      <c r="AL88" s="251">
        <f>+VCdata!AN43</f>
        <v>1.1159452504288609</v>
      </c>
      <c r="AM88" s="251">
        <f>+VCdata!AO43</f>
        <v>1.0330275371495463</v>
      </c>
      <c r="AN88" s="251">
        <f>+VCdata!AP43</f>
        <v>0.94863035444739985</v>
      </c>
      <c r="AO88" s="251">
        <f>+VCdata!AQ43</f>
        <v>0.86256975751545117</v>
      </c>
      <c r="AP88" s="251">
        <f>+VCdata!AR43</f>
        <v>0.77465565008602078</v>
      </c>
      <c r="AQ88" s="251">
        <f>+VCdata!AS43</f>
        <v>0.68504613681350979</v>
      </c>
      <c r="AR88" s="251">
        <f>+VCdata!AT43</f>
        <v>0.58920961568856689</v>
      </c>
      <c r="AS88" s="251">
        <f>+VCdata!AU43</f>
        <v>0.49359076113412642</v>
      </c>
      <c r="AT88" s="251">
        <f>+VCdata!AV43</f>
        <v>0.39809200314677451</v>
      </c>
      <c r="AU88" s="251">
        <f>+VCdata!AW43</f>
        <v>0.30280506099993759</v>
      </c>
      <c r="AV88" s="251">
        <f>+VCdata!AX43</f>
        <v>0.20782246002707683</v>
      </c>
      <c r="AW88" s="251"/>
      <c r="AX88" s="251"/>
      <c r="AY88" s="251"/>
      <c r="AZ88" s="251"/>
      <c r="BA88" s="251"/>
      <c r="BB88" s="251"/>
      <c r="BC88" s="251"/>
      <c r="BD88" s="251"/>
      <c r="BE88" s="251"/>
      <c r="BF88" s="251"/>
    </row>
    <row r="89" spans="1:58" s="250" customFormat="1" ht="15" hidden="1" customHeight="1" x14ac:dyDescent="0.15">
      <c r="A89" s="248" t="s">
        <v>353</v>
      </c>
      <c r="B89" s="249" t="s">
        <v>52</v>
      </c>
      <c r="C89" s="250" t="s">
        <v>233</v>
      </c>
      <c r="D89" s="248" t="s">
        <v>337</v>
      </c>
      <c r="E89" s="248" t="s">
        <v>433</v>
      </c>
      <c r="F89" s="193" t="s">
        <v>338</v>
      </c>
      <c r="G89" s="248" t="s">
        <v>330</v>
      </c>
      <c r="H89" s="190"/>
      <c r="I89" s="190"/>
      <c r="J89" s="190"/>
      <c r="K89" s="190"/>
      <c r="L89" s="190"/>
      <c r="M89" s="190"/>
      <c r="N89" s="190"/>
      <c r="O89" s="190"/>
      <c r="P89" s="190"/>
      <c r="Q89" s="190"/>
      <c r="R89" s="190"/>
      <c r="S89" s="190"/>
      <c r="T89" s="251">
        <f>+VCdata!V44</f>
        <v>4.3481571879122685</v>
      </c>
      <c r="U89" s="251">
        <f>+VCdata!W44</f>
        <v>4.3481571879122685</v>
      </c>
      <c r="V89" s="251">
        <f>+VCdata!X44</f>
        <v>4.1947418044266191</v>
      </c>
      <c r="W89" s="251">
        <f>+VCdata!Y44</f>
        <v>4.0255470015029902</v>
      </c>
      <c r="X89" s="251">
        <f>+VCdata!Z44</f>
        <v>3.8079512615054405</v>
      </c>
      <c r="Y89" s="251">
        <f>+VCdata!AA44</f>
        <v>3.5805652268189108</v>
      </c>
      <c r="Z89" s="251">
        <f>+VCdata!AB44</f>
        <v>3.3395640878303525</v>
      </c>
      <c r="AA89" s="251">
        <f>+VCdata!AC44</f>
        <v>3.0911690900587661</v>
      </c>
      <c r="AB89" s="251">
        <f>+VCdata!AD44</f>
        <v>2.8548000754834613</v>
      </c>
      <c r="AC89" s="251">
        <f>+VCdata!AE44</f>
        <v>2.6409742374076304</v>
      </c>
      <c r="AD89" s="251">
        <f>+VCdata!AF44</f>
        <v>2.4159325243171055</v>
      </c>
      <c r="AE89" s="251">
        <f>+VCdata!AG44</f>
        <v>2.2032228059153831</v>
      </c>
      <c r="AF89" s="251">
        <f>+VCdata!AH44</f>
        <v>2.0060168328956181</v>
      </c>
      <c r="AG89" s="251">
        <f>+VCdata!AI44</f>
        <v>1.8303199522206155</v>
      </c>
      <c r="AH89" s="251">
        <f>+VCdata!AJ44</f>
        <v>1.6646686626959135</v>
      </c>
      <c r="AI89" s="251">
        <f>+VCdata!AK44</f>
        <v>1.5102983306798099</v>
      </c>
      <c r="AJ89" s="251">
        <f>+VCdata!AL44</f>
        <v>1.3663053668097607</v>
      </c>
      <c r="AK89" s="251">
        <f>+VCdata!AM44</f>
        <v>1.2193221457503709</v>
      </c>
      <c r="AL89" s="251">
        <f>+VCdata!AN44</f>
        <v>1.0777024426870845</v>
      </c>
      <c r="AM89" s="251">
        <f>+VCdata!AO44</f>
        <v>0.98995567101965098</v>
      </c>
      <c r="AN89" s="251">
        <f>+VCdata!AP44</f>
        <v>0.90210151873210975</v>
      </c>
      <c r="AO89" s="251">
        <f>+VCdata!AQ44</f>
        <v>0.81419111341493944</v>
      </c>
      <c r="AP89" s="251">
        <f>+VCdata!AR44</f>
        <v>0.7260091024392602</v>
      </c>
      <c r="AQ89" s="251">
        <f>+VCdata!AS44</f>
        <v>0.63722986041490171</v>
      </c>
      <c r="AR89" s="251">
        <f>+VCdata!AT44</f>
        <v>0.54628463480911771</v>
      </c>
      <c r="AS89" s="251">
        <f>+VCdata!AU44</f>
        <v>0.4557269194281412</v>
      </c>
      <c r="AT89" s="251">
        <f>+VCdata!AV44</f>
        <v>0.36549589477113198</v>
      </c>
      <c r="AU89" s="251">
        <f>+VCdata!AW44</f>
        <v>0.27553800301238246</v>
      </c>
      <c r="AV89" s="251">
        <f>+VCdata!AX44</f>
        <v>0.18614792062911209</v>
      </c>
      <c r="AW89" s="251"/>
      <c r="AX89" s="251"/>
      <c r="AY89" s="251"/>
      <c r="AZ89" s="251"/>
      <c r="BA89" s="251"/>
      <c r="BB89" s="251"/>
      <c r="BC89" s="251"/>
      <c r="BD89" s="251"/>
      <c r="BE89" s="251"/>
      <c r="BF89" s="251"/>
    </row>
    <row r="90" spans="1:58" s="250" customFormat="1" ht="15" hidden="1" customHeight="1" x14ac:dyDescent="0.15">
      <c r="A90" s="248" t="s">
        <v>353</v>
      </c>
      <c r="B90" s="249" t="s">
        <v>52</v>
      </c>
      <c r="C90" s="250" t="s">
        <v>326</v>
      </c>
      <c r="D90" s="248" t="s">
        <v>337</v>
      </c>
      <c r="E90" s="248" t="s">
        <v>433</v>
      </c>
      <c r="F90" s="193" t="s">
        <v>338</v>
      </c>
      <c r="G90" s="248" t="s">
        <v>364</v>
      </c>
      <c r="H90" s="190"/>
      <c r="I90" s="190"/>
      <c r="J90" s="190"/>
      <c r="K90" s="190"/>
      <c r="L90" s="190"/>
      <c r="M90" s="190"/>
      <c r="N90" s="190"/>
      <c r="O90" s="190"/>
      <c r="P90" s="190"/>
      <c r="Q90" s="190"/>
      <c r="R90" s="190"/>
      <c r="S90" s="190"/>
      <c r="T90" s="251">
        <f>+VCdata!V45</f>
        <v>4.0140023659217103</v>
      </c>
      <c r="U90" s="251">
        <f>+VCdata!W45</f>
        <v>4.0140023659217103</v>
      </c>
      <c r="V90" s="251">
        <f>+VCdata!X45</f>
        <v>3.8422347435819821</v>
      </c>
      <c r="W90" s="251">
        <f>+VCdata!Y45</f>
        <v>3.8422347435819821</v>
      </c>
      <c r="X90" s="251">
        <f>+VCdata!Z45</f>
        <v>3.726589523822037</v>
      </c>
      <c r="Y90" s="251">
        <f>+VCdata!AA45</f>
        <v>3.5653776726876893</v>
      </c>
      <c r="Z90" s="251">
        <f>+VCdata!AB45</f>
        <v>3.3930664644283919</v>
      </c>
      <c r="AA90" s="251">
        <f>+VCdata!AC45</f>
        <v>3.2014253922053664</v>
      </c>
      <c r="AB90" s="251">
        <f>+VCdata!AD45</f>
        <v>3.0150920119941733</v>
      </c>
      <c r="AC90" s="251">
        <f>+VCdata!AE45</f>
        <v>2.7211623807848935</v>
      </c>
      <c r="AD90" s="251">
        <f>+VCdata!AF45</f>
        <v>2.4411290406815045</v>
      </c>
      <c r="AE90" s="251">
        <f>+VCdata!AG45</f>
        <v>2.2038266406794964</v>
      </c>
      <c r="AF90" s="251">
        <f>+VCdata!AH45</f>
        <v>1.9836063468261367</v>
      </c>
      <c r="AG90" s="251">
        <f>+VCdata!AI45</f>
        <v>1.789626179624749</v>
      </c>
      <c r="AH90" s="251">
        <f>+VCdata!AJ45</f>
        <v>1.6332736869560649</v>
      </c>
      <c r="AI90" s="251">
        <f>+VCdata!AK45</f>
        <v>1.4836140363449599</v>
      </c>
      <c r="AJ90" s="251">
        <f>+VCdata!AL45</f>
        <v>1.3405076541492229</v>
      </c>
      <c r="AK90" s="251">
        <f>+VCdata!AM45</f>
        <v>1.1977409545468882</v>
      </c>
      <c r="AL90" s="251">
        <f>+VCdata!AN45</f>
        <v>1.0564384329206993</v>
      </c>
      <c r="AM90" s="251">
        <f>+VCdata!AO45</f>
        <v>0.96571429596304004</v>
      </c>
      <c r="AN90" s="251">
        <f>+VCdata!AP45</f>
        <v>0.87600654141530565</v>
      </c>
      <c r="AO90" s="251">
        <f>+VCdata!AQ45</f>
        <v>0.78693928737112162</v>
      </c>
      <c r="AP90" s="251">
        <f>+VCdata!AR45</f>
        <v>0.69842302899859199</v>
      </c>
      <c r="AQ90" s="251">
        <f>+VCdata!AS45</f>
        <v>0.61002352981858299</v>
      </c>
      <c r="AR90" s="251">
        <f>+VCdata!AT45</f>
        <v>0.5217792946396157</v>
      </c>
      <c r="AS90" s="251">
        <f>+VCdata!AU45</f>
        <v>0.43392870484557955</v>
      </c>
      <c r="AT90" s="251">
        <f>+VCdata!AV45</f>
        <v>0.34645760699270944</v>
      </c>
      <c r="AU90" s="251">
        <f>+VCdata!AW45</f>
        <v>0.25924814508331911</v>
      </c>
      <c r="AV90" s="251">
        <f>+VCdata!AX45</f>
        <v>0.17266362064355983</v>
      </c>
      <c r="AW90" s="251"/>
      <c r="AX90" s="251"/>
      <c r="AY90" s="251"/>
      <c r="AZ90" s="251"/>
      <c r="BA90" s="251"/>
      <c r="BB90" s="251"/>
      <c r="BC90" s="251"/>
      <c r="BD90" s="251"/>
      <c r="BE90" s="251"/>
      <c r="BF90" s="251"/>
    </row>
    <row r="91" spans="1:58" s="250" customFormat="1" ht="15" hidden="1" customHeight="1" x14ac:dyDescent="0.15">
      <c r="A91" s="248" t="s">
        <v>353</v>
      </c>
      <c r="B91" s="249" t="s">
        <v>52</v>
      </c>
      <c r="C91" s="250" t="s">
        <v>413</v>
      </c>
      <c r="D91" s="248" t="s">
        <v>337</v>
      </c>
      <c r="E91" s="248" t="s">
        <v>433</v>
      </c>
      <c r="F91" s="193" t="s">
        <v>338</v>
      </c>
      <c r="G91" s="248" t="s">
        <v>364</v>
      </c>
      <c r="H91" s="190"/>
      <c r="I91" s="190"/>
      <c r="J91" s="190"/>
      <c r="K91" s="190"/>
      <c r="L91" s="190"/>
      <c r="M91" s="190"/>
      <c r="N91" s="190"/>
      <c r="O91" s="190"/>
      <c r="P91" s="190"/>
      <c r="Q91" s="190"/>
      <c r="R91" s="190"/>
      <c r="S91" s="190"/>
      <c r="T91" s="251">
        <f>+VCdata!V46</f>
        <v>5.1342789167821152</v>
      </c>
      <c r="U91" s="251">
        <f>+VCdata!W46</f>
        <v>5.1342789167821152</v>
      </c>
      <c r="V91" s="251">
        <f>+VCdata!X46</f>
        <v>5.1342789167821152</v>
      </c>
      <c r="W91" s="251">
        <f>+VCdata!Y46</f>
        <v>5.1342789167821152</v>
      </c>
      <c r="X91" s="251">
        <f>+VCdata!Z46</f>
        <v>4.9795754192847967</v>
      </c>
      <c r="Y91" s="251">
        <f>+VCdata!AA46</f>
        <v>4.7439218398022174</v>
      </c>
      <c r="Z91" s="251">
        <f>+VCdata!AB46</f>
        <v>4.4565407877878878</v>
      </c>
      <c r="AA91" s="251">
        <f>+VCdata!AC46</f>
        <v>4.1053812365542459</v>
      </c>
      <c r="AB91" s="251">
        <f>+VCdata!AD46</f>
        <v>3.7793253129111983</v>
      </c>
      <c r="AC91" s="251">
        <f>+VCdata!AE46</f>
        <v>3.3109071249501572</v>
      </c>
      <c r="AD91" s="251">
        <f>+VCdata!AF46</f>
        <v>2.8808009883119414</v>
      </c>
      <c r="AE91" s="251">
        <f>+VCdata!AG46</f>
        <v>2.5177064508345302</v>
      </c>
      <c r="AF91" s="251">
        <f>+VCdata!AH46</f>
        <v>2.2232385562796053</v>
      </c>
      <c r="AG91" s="251">
        <f>+VCdata!AI46</f>
        <v>1.9736179779068215</v>
      </c>
      <c r="AH91" s="251">
        <f>+VCdata!AJ46</f>
        <v>1.7819966704255747</v>
      </c>
      <c r="AI91" s="251">
        <f>+VCdata!AK46</f>
        <v>1.6065269749436175</v>
      </c>
      <c r="AJ91" s="251">
        <f>+VCdata!AL46</f>
        <v>1.4406150968462477</v>
      </c>
      <c r="AK91" s="251">
        <f>+VCdata!AM46</f>
        <v>1.2677168147651174</v>
      </c>
      <c r="AL91" s="251">
        <f>+VCdata!AN46</f>
        <v>1.1121970845647779</v>
      </c>
      <c r="AM91" s="251">
        <f>+VCdata!AO46</f>
        <v>1.0160454745228051</v>
      </c>
      <c r="AN91" s="251">
        <f>+VCdata!AP46</f>
        <v>0.92100126800430782</v>
      </c>
      <c r="AO91" s="251">
        <f>+VCdata!AQ46</f>
        <v>0.82664833348260924</v>
      </c>
      <c r="AP91" s="251">
        <f>+VCdata!AR46</f>
        <v>0.73288406274902795</v>
      </c>
      <c r="AQ91" s="251">
        <f>+VCdata!AS46</f>
        <v>0.6392416050079982</v>
      </c>
      <c r="AR91" s="251">
        <f>+VCdata!AT46</f>
        <v>0.54576793279944769</v>
      </c>
      <c r="AS91" s="251">
        <f>+VCdata!AU46</f>
        <v>0.45271661875268188</v>
      </c>
      <c r="AT91" s="251">
        <f>+VCdata!AV46</f>
        <v>0.3600718500452314</v>
      </c>
      <c r="AU91" s="251">
        <f>+VCdata!AW46</f>
        <v>0.2677166931411164</v>
      </c>
      <c r="AV91" s="251">
        <f>+VCdata!AX46</f>
        <v>0.17600906441897218</v>
      </c>
      <c r="AW91" s="251"/>
      <c r="AX91" s="251"/>
      <c r="AY91" s="251"/>
      <c r="AZ91" s="251"/>
      <c r="BA91" s="251"/>
      <c r="BB91" s="251"/>
      <c r="BC91" s="251"/>
      <c r="BD91" s="251"/>
      <c r="BE91" s="251"/>
      <c r="BF91" s="251"/>
    </row>
    <row r="92" spans="1:58" s="250" customFormat="1" ht="15" hidden="1" customHeight="1" x14ac:dyDescent="0.15">
      <c r="A92" s="248" t="s">
        <v>353</v>
      </c>
      <c r="B92" s="249" t="s">
        <v>52</v>
      </c>
      <c r="C92" s="250" t="s">
        <v>327</v>
      </c>
      <c r="D92" s="248" t="s">
        <v>337</v>
      </c>
      <c r="E92" s="248" t="s">
        <v>433</v>
      </c>
      <c r="F92" s="193" t="s">
        <v>338</v>
      </c>
      <c r="G92" s="248" t="s">
        <v>364</v>
      </c>
      <c r="H92" s="190"/>
      <c r="I92" s="190"/>
      <c r="J92" s="190"/>
      <c r="K92" s="190"/>
      <c r="L92" s="190"/>
      <c r="M92" s="190"/>
      <c r="N92" s="190"/>
      <c r="O92" s="190"/>
      <c r="P92" s="190"/>
      <c r="Q92" s="190"/>
      <c r="R92" s="190"/>
      <c r="S92" s="190"/>
      <c r="T92" s="251">
        <f>+VCdata!V47</f>
        <v>4.4939180970482457</v>
      </c>
      <c r="U92" s="251">
        <f>+VCdata!W47</f>
        <v>4.4939180970482457</v>
      </c>
      <c r="V92" s="251">
        <f>+VCdata!X47</f>
        <v>4.4599612220727414</v>
      </c>
      <c r="W92" s="251">
        <f>+VCdata!Y47</f>
        <v>4.4599612220727414</v>
      </c>
      <c r="X92" s="251">
        <f>+VCdata!Z47</f>
        <v>4.4599612220727414</v>
      </c>
      <c r="Y92" s="251">
        <f>+VCdata!AA47</f>
        <v>4.4599612220727414</v>
      </c>
      <c r="Z92" s="251">
        <f>+VCdata!AB47</f>
        <v>4.1594813244025062</v>
      </c>
      <c r="AA92" s="251">
        <f>+VCdata!AC47</f>
        <v>3.8746500023125163</v>
      </c>
      <c r="AB92" s="251">
        <f>+VCdata!AD47</f>
        <v>3.5840719493446915</v>
      </c>
      <c r="AC92" s="251">
        <f>+VCdata!AE47</f>
        <v>3.2115218875888267</v>
      </c>
      <c r="AD92" s="251">
        <f>+VCdata!AF47</f>
        <v>2.9011495259209745</v>
      </c>
      <c r="AE92" s="251">
        <f>+VCdata!AG47</f>
        <v>2.5885262625104533</v>
      </c>
      <c r="AF92" s="251">
        <f>+VCdata!AH47</f>
        <v>2.3029766077418996</v>
      </c>
      <c r="AG92" s="251">
        <f>+VCdata!AI47</f>
        <v>2.0343333005938322</v>
      </c>
      <c r="AH92" s="251">
        <f>+VCdata!AJ47</f>
        <v>1.8341816740169423</v>
      </c>
      <c r="AI92" s="251">
        <f>+VCdata!AK47</f>
        <v>1.6574603598658877</v>
      </c>
      <c r="AJ92" s="251">
        <f>+VCdata!AL47</f>
        <v>1.4950852296925634</v>
      </c>
      <c r="AK92" s="251">
        <f>+VCdata!AM47</f>
        <v>1.3336590613085995</v>
      </c>
      <c r="AL92" s="251">
        <f>+VCdata!AN47</f>
        <v>1.1723538110360903</v>
      </c>
      <c r="AM92" s="251">
        <f>+VCdata!AO47</f>
        <v>1.0753173983917219</v>
      </c>
      <c r="AN92" s="251">
        <f>+VCdata!AP47</f>
        <v>0.97834549439697871</v>
      </c>
      <c r="AO92" s="251">
        <f>+VCdata!AQ47</f>
        <v>0.88148316738045451</v>
      </c>
      <c r="AP92" s="251">
        <f>+VCdata!AR47</f>
        <v>0.78458845566636104</v>
      </c>
      <c r="AQ92" s="251">
        <f>+VCdata!AS47</f>
        <v>0.68771469983149602</v>
      </c>
      <c r="AR92" s="251">
        <f>+VCdata!AT47</f>
        <v>0.59090057410065133</v>
      </c>
      <c r="AS92" s="251">
        <f>+VCdata!AU47</f>
        <v>0.49420465004423975</v>
      </c>
      <c r="AT92" s="251">
        <f>+VCdata!AV47</f>
        <v>0.39755724173309298</v>
      </c>
      <c r="AU92" s="251">
        <f>+VCdata!AW47</f>
        <v>0.3010161603013205</v>
      </c>
      <c r="AV92" s="251">
        <f>+VCdata!AX47</f>
        <v>0.20464742514218956</v>
      </c>
      <c r="AW92" s="251"/>
      <c r="AX92" s="251"/>
      <c r="AY92" s="251"/>
      <c r="AZ92" s="251"/>
      <c r="BA92" s="251"/>
      <c r="BB92" s="251"/>
      <c r="BC92" s="251"/>
      <c r="BD92" s="251"/>
      <c r="BE92" s="251"/>
      <c r="BF92" s="251"/>
    </row>
    <row r="93" spans="1:58" s="250" customFormat="1" ht="15" hidden="1" customHeight="1" x14ac:dyDescent="0.15">
      <c r="A93" s="248" t="s">
        <v>353</v>
      </c>
      <c r="B93" s="249" t="s">
        <v>52</v>
      </c>
      <c r="C93" s="250" t="s">
        <v>233</v>
      </c>
      <c r="D93" s="248" t="s">
        <v>337</v>
      </c>
      <c r="E93" s="248" t="s">
        <v>433</v>
      </c>
      <c r="F93" s="193" t="s">
        <v>338</v>
      </c>
      <c r="G93" s="248" t="s">
        <v>364</v>
      </c>
      <c r="H93" s="190"/>
      <c r="I93" s="190"/>
      <c r="J93" s="190"/>
      <c r="K93" s="190"/>
      <c r="L93" s="190"/>
      <c r="M93" s="190"/>
      <c r="N93" s="190"/>
      <c r="O93" s="190"/>
      <c r="P93" s="190"/>
      <c r="Q93" s="190"/>
      <c r="R93" s="190"/>
      <c r="S93" s="190"/>
      <c r="T93" s="251">
        <f>+VCdata!V48</f>
        <v>4.4990093525055928</v>
      </c>
      <c r="U93" s="251">
        <f>+VCdata!W48</f>
        <v>4.4990093525055928</v>
      </c>
      <c r="V93" s="251">
        <f>+VCdata!X48</f>
        <v>4.3505069033399337</v>
      </c>
      <c r="W93" s="251">
        <f>+VCdata!Y48</f>
        <v>4.3505069033399337</v>
      </c>
      <c r="X93" s="251">
        <f>+VCdata!Z48</f>
        <v>4.2543568837617167</v>
      </c>
      <c r="Y93" s="251">
        <f>+VCdata!AA48</f>
        <v>4.1442832985746527</v>
      </c>
      <c r="Z93" s="251">
        <f>+VCdata!AB48</f>
        <v>3.9191656471730689</v>
      </c>
      <c r="AA93" s="251">
        <f>+VCdata!AC48</f>
        <v>3.6633510094282062</v>
      </c>
      <c r="AB93" s="251">
        <f>+VCdata!AD48</f>
        <v>3.4131453002803935</v>
      </c>
      <c r="AC93" s="251">
        <f>+VCdata!AE48</f>
        <v>3.0223713648311521</v>
      </c>
      <c r="AD93" s="251">
        <f>+VCdata!AF48</f>
        <v>2.6888388635215081</v>
      </c>
      <c r="AE93" s="251">
        <f>+VCdata!AG48</f>
        <v>2.3948149675942734</v>
      </c>
      <c r="AF93" s="251">
        <f>+VCdata!AH48</f>
        <v>2.1365839935207993</v>
      </c>
      <c r="AG93" s="251">
        <f>+VCdata!AI48</f>
        <v>1.9080119843234744</v>
      </c>
      <c r="AH93" s="251">
        <f>+VCdata!AJ48</f>
        <v>1.7255944724463828</v>
      </c>
      <c r="AI93" s="251">
        <f>+VCdata!AK48</f>
        <v>1.5623834784999424</v>
      </c>
      <c r="AJ93" s="251">
        <f>+VCdata!AL48</f>
        <v>1.4083151110062535</v>
      </c>
      <c r="AK93" s="251">
        <f>+VCdata!AM48</f>
        <v>1.2523460292738622</v>
      </c>
      <c r="AL93" s="251">
        <f>+VCdata!AN48</f>
        <v>1.1021528083784329</v>
      </c>
      <c r="AM93" s="251">
        <f>+VCdata!AO48</f>
        <v>1.0116849728911657</v>
      </c>
      <c r="AN93" s="251">
        <f>+VCdata!AP48</f>
        <v>0.91877281398422039</v>
      </c>
      <c r="AO93" s="251">
        <f>+VCdata!AQ48</f>
        <v>0.82615550089302547</v>
      </c>
      <c r="AP93" s="251">
        <f>+VCdata!AR48</f>
        <v>0.73384102053556366</v>
      </c>
      <c r="AQ93" s="251">
        <f>+VCdata!AS48</f>
        <v>0.64145187452334329</v>
      </c>
      <c r="AR93" s="251">
        <f>+VCdata!AT48</f>
        <v>0.55059413344600228</v>
      </c>
      <c r="AS93" s="251">
        <f>+VCdata!AU48</f>
        <v>0.45860450823293569</v>
      </c>
      <c r="AT93" s="251">
        <f>+VCdata!AV48</f>
        <v>0.3668227987459835</v>
      </c>
      <c r="AU93" s="251">
        <f>+VCdata!AW48</f>
        <v>0.27522183197828209</v>
      </c>
      <c r="AV93" s="251">
        <f>+VCdata!AX48</f>
        <v>0.18409790004550111</v>
      </c>
      <c r="AW93" s="251"/>
      <c r="AX93" s="251"/>
      <c r="AY93" s="251"/>
      <c r="AZ93" s="251"/>
      <c r="BA93" s="251"/>
      <c r="BB93" s="251"/>
      <c r="BC93" s="251"/>
      <c r="BD93" s="251"/>
      <c r="BE93" s="251"/>
      <c r="BF93" s="251"/>
    </row>
    <row r="94" spans="1:58" s="250" customFormat="1" ht="15" hidden="1" customHeight="1" x14ac:dyDescent="0.15">
      <c r="A94" s="248" t="s">
        <v>353</v>
      </c>
      <c r="B94" s="249" t="s">
        <v>52</v>
      </c>
      <c r="C94" s="250" t="s">
        <v>326</v>
      </c>
      <c r="D94" s="248" t="s">
        <v>337</v>
      </c>
      <c r="E94" s="248" t="s">
        <v>433</v>
      </c>
      <c r="F94" s="193" t="s">
        <v>338</v>
      </c>
      <c r="G94" s="248" t="s">
        <v>234</v>
      </c>
      <c r="H94" s="190"/>
      <c r="I94" s="190"/>
      <c r="J94" s="190"/>
      <c r="K94" s="190"/>
      <c r="L94" s="190"/>
      <c r="M94" s="190"/>
      <c r="N94" s="190"/>
      <c r="O94" s="190"/>
      <c r="P94" s="190"/>
      <c r="Q94" s="190"/>
      <c r="R94" s="190"/>
      <c r="S94" s="190"/>
      <c r="T94" s="251">
        <f>+VCdata!V49</f>
        <v>3.8894154693511069</v>
      </c>
      <c r="U94" s="251">
        <f>+VCdata!W49</f>
        <v>3.8894154693511069</v>
      </c>
      <c r="V94" s="251">
        <f>+VCdata!X49</f>
        <v>3.7281525592177736</v>
      </c>
      <c r="W94" s="251">
        <f>+VCdata!Y49</f>
        <v>3.7281525592177736</v>
      </c>
      <c r="X94" s="251">
        <f>+VCdata!Z49</f>
        <v>3.580127328717289</v>
      </c>
      <c r="Y94" s="251">
        <f>+VCdata!AA49</f>
        <v>3.406346218106703</v>
      </c>
      <c r="Z94" s="251">
        <f>+VCdata!AB49</f>
        <v>3.2633004895789499</v>
      </c>
      <c r="AA94" s="251">
        <f>+VCdata!AC49</f>
        <v>3.0879777701645561</v>
      </c>
      <c r="AB94" s="251">
        <f>+VCdata!AD49</f>
        <v>2.9053001969944918</v>
      </c>
      <c r="AC94" s="251">
        <f>+VCdata!AE49</f>
        <v>2.6945149048304557</v>
      </c>
      <c r="AD94" s="251">
        <f>+VCdata!AF49</f>
        <v>2.4825284766957938</v>
      </c>
      <c r="AE94" s="251">
        <f>+VCdata!AG49</f>
        <v>2.266007560188227</v>
      </c>
      <c r="AF94" s="251">
        <f>+VCdata!AH49</f>
        <v>2.0618617365146652</v>
      </c>
      <c r="AG94" s="251">
        <f>+VCdata!AI49</f>
        <v>1.8612542203247155</v>
      </c>
      <c r="AH94" s="251">
        <f>+VCdata!AJ49</f>
        <v>1.6989176769298093</v>
      </c>
      <c r="AI94" s="251">
        <f>+VCdata!AK49</f>
        <v>1.5432272560781042</v>
      </c>
      <c r="AJ94" s="251">
        <f>+VCdata!AL49</f>
        <v>1.3941519486407419</v>
      </c>
      <c r="AK94" s="251">
        <f>+VCdata!AM49</f>
        <v>1.245391190474483</v>
      </c>
      <c r="AL94" s="251">
        <f>+VCdata!AN49</f>
        <v>1.0981826318612709</v>
      </c>
      <c r="AM94" s="251">
        <f>+VCdata!AO49</f>
        <v>1.0038642323668021</v>
      </c>
      <c r="AN94" s="251">
        <f>+VCdata!AP49</f>
        <v>0.91058062900280423</v>
      </c>
      <c r="AO94" s="251">
        <f>+VCdata!AQ49</f>
        <v>0.81794481653676676</v>
      </c>
      <c r="AP94" s="251">
        <f>+VCdata!AR49</f>
        <v>0.72586396156205468</v>
      </c>
      <c r="AQ94" s="251">
        <f>+VCdata!AS49</f>
        <v>0.63389449962911903</v>
      </c>
      <c r="AR94" s="251">
        <f>+VCdata!AT49</f>
        <v>0.54207707028050289</v>
      </c>
      <c r="AS94" s="251">
        <f>+VCdata!AU49</f>
        <v>0.45065476193738163</v>
      </c>
      <c r="AT94" s="251">
        <f>+VCdata!AV49</f>
        <v>0.35961309977307399</v>
      </c>
      <c r="AU94" s="251">
        <f>+VCdata!AW49</f>
        <v>0.26883384232843899</v>
      </c>
      <c r="AV94" s="251">
        <f>+VCdata!AX49</f>
        <v>0.17868137479908958</v>
      </c>
      <c r="AW94" s="251"/>
      <c r="AX94" s="251"/>
      <c r="AY94" s="251"/>
      <c r="AZ94" s="251"/>
      <c r="BA94" s="251"/>
      <c r="BB94" s="251"/>
      <c r="BC94" s="251"/>
      <c r="BD94" s="251"/>
      <c r="BE94" s="251"/>
      <c r="BF94" s="251"/>
    </row>
    <row r="95" spans="1:58" s="250" customFormat="1" ht="15" hidden="1" customHeight="1" x14ac:dyDescent="0.15">
      <c r="A95" s="248" t="s">
        <v>353</v>
      </c>
      <c r="B95" s="249" t="s">
        <v>52</v>
      </c>
      <c r="C95" s="250" t="s">
        <v>413</v>
      </c>
      <c r="D95" s="248" t="s">
        <v>337</v>
      </c>
      <c r="E95" s="248" t="s">
        <v>433</v>
      </c>
      <c r="F95" s="193" t="s">
        <v>338</v>
      </c>
      <c r="G95" s="248" t="s">
        <v>234</v>
      </c>
      <c r="H95" s="190"/>
      <c r="I95" s="190"/>
      <c r="J95" s="190"/>
      <c r="K95" s="190"/>
      <c r="L95" s="190"/>
      <c r="M95" s="190"/>
      <c r="N95" s="190"/>
      <c r="O95" s="190"/>
      <c r="P95" s="190"/>
      <c r="Q95" s="190"/>
      <c r="R95" s="190"/>
      <c r="S95" s="190"/>
      <c r="T95" s="251">
        <f>+VCdata!V50</f>
        <v>4.736130766874771</v>
      </c>
      <c r="U95" s="251">
        <f>+VCdata!W50</f>
        <v>4.736130766874771</v>
      </c>
      <c r="V95" s="251">
        <f>+VCdata!X50</f>
        <v>4.5557919638044879</v>
      </c>
      <c r="W95" s="251">
        <f>+VCdata!Y50</f>
        <v>4.5441045594688969</v>
      </c>
      <c r="X95" s="251">
        <f>+VCdata!Z50</f>
        <v>4.3914279069508328</v>
      </c>
      <c r="Y95" s="251">
        <f>+VCdata!AA50</f>
        <v>4.1941510149510339</v>
      </c>
      <c r="Z95" s="251">
        <f>+VCdata!AB50</f>
        <v>4.0155435533558856</v>
      </c>
      <c r="AA95" s="251">
        <f>+VCdata!AC50</f>
        <v>3.7531131517189258</v>
      </c>
      <c r="AB95" s="251">
        <f>+VCdata!AD50</f>
        <v>3.4817673046793138</v>
      </c>
      <c r="AC95" s="251">
        <f>+VCdata!AE50</f>
        <v>3.1610638435114313</v>
      </c>
      <c r="AD95" s="251">
        <f>+VCdata!AF50</f>
        <v>2.8411578739508636</v>
      </c>
      <c r="AE95" s="251">
        <f>+VCdata!AG50</f>
        <v>2.521134546143355</v>
      </c>
      <c r="AF95" s="251">
        <f>+VCdata!AH50</f>
        <v>2.2544199700357463</v>
      </c>
      <c r="AG95" s="251">
        <f>+VCdata!AI50</f>
        <v>2.0047796960049422</v>
      </c>
      <c r="AH95" s="251">
        <f>+VCdata!AJ50</f>
        <v>1.8128026212388277</v>
      </c>
      <c r="AI95" s="251">
        <f>+VCdata!AK50</f>
        <v>1.6358738136533841</v>
      </c>
      <c r="AJ95" s="251">
        <f>+VCdata!AL50</f>
        <v>1.4682408126151061</v>
      </c>
      <c r="AK95" s="251">
        <f>+VCdata!AM50</f>
        <v>1.294411682510177</v>
      </c>
      <c r="AL95" s="251">
        <f>+VCdata!AN50</f>
        <v>1.1362141661037166</v>
      </c>
      <c r="AM95" s="251">
        <f>+VCdata!AO50</f>
        <v>1.0380663495659317</v>
      </c>
      <c r="AN95" s="251">
        <f>+VCdata!AP50</f>
        <v>0.94103768467197202</v>
      </c>
      <c r="AO95" s="251">
        <f>+VCdata!AQ50</f>
        <v>0.84470466757082319</v>
      </c>
      <c r="AP95" s="251">
        <f>+VCdata!AR50</f>
        <v>0.74896272667950048</v>
      </c>
      <c r="AQ95" s="251">
        <f>+VCdata!AS50</f>
        <v>0.65333754145872569</v>
      </c>
      <c r="AR95" s="251">
        <f>+VCdata!AT50</f>
        <v>0.5578773754675409</v>
      </c>
      <c r="AS95" s="251">
        <f>+VCdata!AU50</f>
        <v>0.46283984836638004</v>
      </c>
      <c r="AT95" s="251">
        <f>+VCdata!AV50</f>
        <v>0.36820895370582668</v>
      </c>
      <c r="AU95" s="251">
        <f>+VCdata!AW50</f>
        <v>0.27386664850468367</v>
      </c>
      <c r="AV95" s="251">
        <f>+VCdata!AX50</f>
        <v>0.1801744580197559</v>
      </c>
      <c r="AW95" s="251"/>
      <c r="AX95" s="251"/>
      <c r="AY95" s="251"/>
      <c r="AZ95" s="251"/>
      <c r="BA95" s="251"/>
      <c r="BB95" s="251"/>
      <c r="BC95" s="251"/>
      <c r="BD95" s="251"/>
      <c r="BE95" s="251"/>
      <c r="BF95" s="251"/>
    </row>
    <row r="96" spans="1:58" s="250" customFormat="1" ht="15" hidden="1" customHeight="1" x14ac:dyDescent="0.15">
      <c r="A96" s="248" t="s">
        <v>353</v>
      </c>
      <c r="B96" s="249" t="s">
        <v>52</v>
      </c>
      <c r="C96" s="250" t="s">
        <v>327</v>
      </c>
      <c r="D96" s="248" t="s">
        <v>337</v>
      </c>
      <c r="E96" s="248" t="s">
        <v>433</v>
      </c>
      <c r="F96" s="193" t="s">
        <v>338</v>
      </c>
      <c r="G96" s="248" t="s">
        <v>234</v>
      </c>
      <c r="H96" s="190"/>
      <c r="I96" s="190"/>
      <c r="J96" s="190"/>
      <c r="K96" s="190"/>
      <c r="L96" s="190"/>
      <c r="M96" s="190"/>
      <c r="N96" s="190"/>
      <c r="O96" s="190"/>
      <c r="P96" s="190"/>
      <c r="Q96" s="190"/>
      <c r="R96" s="190"/>
      <c r="S96" s="190"/>
      <c r="T96" s="251">
        <f>+VCdata!V51</f>
        <v>4.4034200561769694</v>
      </c>
      <c r="U96" s="251">
        <f>+VCdata!W51</f>
        <v>4.4034200561769694</v>
      </c>
      <c r="V96" s="251">
        <f>+VCdata!X51</f>
        <v>4.2227207391297163</v>
      </c>
      <c r="W96" s="251">
        <f>+VCdata!Y51</f>
        <v>4.1146477038896059</v>
      </c>
      <c r="X96" s="251">
        <f>+VCdata!Z51</f>
        <v>3.9319607314719089</v>
      </c>
      <c r="Y96" s="251">
        <f>+VCdata!AA51</f>
        <v>3.7390899155184414</v>
      </c>
      <c r="Z96" s="251">
        <f>+VCdata!AB51</f>
        <v>3.5441403782213352</v>
      </c>
      <c r="AA96" s="251">
        <f>+VCdata!AC51</f>
        <v>3.3448313618473215</v>
      </c>
      <c r="AB96" s="251">
        <f>+VCdata!AD51</f>
        <v>3.1364125522057624</v>
      </c>
      <c r="AC96" s="251">
        <f>+VCdata!AE51</f>
        <v>2.8685960384987403</v>
      </c>
      <c r="AD96" s="251">
        <f>+VCdata!AF51</f>
        <v>2.6351037699062623</v>
      </c>
      <c r="AE96" s="251">
        <f>+VCdata!AG51</f>
        <v>2.393166750403922</v>
      </c>
      <c r="AF96" s="251">
        <f>+VCdata!AH51</f>
        <v>2.1656987032765707</v>
      </c>
      <c r="AG96" s="251">
        <f>+VCdata!AI51</f>
        <v>1.9584850569316405</v>
      </c>
      <c r="AH96" s="251">
        <f>+VCdata!AJ51</f>
        <v>1.7996045071216522</v>
      </c>
      <c r="AI96" s="251">
        <f>+VCdata!AK51</f>
        <v>1.6530381549252657</v>
      </c>
      <c r="AJ96" s="251">
        <f>+VCdata!AL51</f>
        <v>1.512110232966648</v>
      </c>
      <c r="AK96" s="251">
        <f>+VCdata!AM51</f>
        <v>1.3578762640586532</v>
      </c>
      <c r="AL96" s="251">
        <f>+VCdata!AN51</f>
        <v>1.2012343273607504</v>
      </c>
      <c r="AM96" s="251">
        <f>+VCdata!AO51</f>
        <v>1.1016643598032831</v>
      </c>
      <c r="AN96" s="251">
        <f>+VCdata!AP51</f>
        <v>1.0021606650134851</v>
      </c>
      <c r="AO96" s="251">
        <f>+VCdata!AQ51</f>
        <v>0.90278244670883556</v>
      </c>
      <c r="AP96" s="251">
        <f>+VCdata!AR51</f>
        <v>0.80337248553226615</v>
      </c>
      <c r="AQ96" s="251">
        <f>+VCdata!AS51</f>
        <v>0.70399339567115593</v>
      </c>
      <c r="AR96" s="251">
        <f>+VCdata!AT51</f>
        <v>0.60468944701922878</v>
      </c>
      <c r="AS96" s="251">
        <f>+VCdata!AU51</f>
        <v>0.50552487946719293</v>
      </c>
      <c r="AT96" s="251">
        <f>+VCdata!AV51</f>
        <v>0.40642573985791336</v>
      </c>
      <c r="AU96" s="251">
        <f>+VCdata!AW51</f>
        <v>0.30745625719326736</v>
      </c>
      <c r="AV96" s="251">
        <f>+VCdata!AX51</f>
        <v>0.20868651527368068</v>
      </c>
      <c r="AW96" s="251"/>
      <c r="AX96" s="251"/>
      <c r="AY96" s="251"/>
      <c r="AZ96" s="251"/>
      <c r="BA96" s="251"/>
      <c r="BB96" s="251"/>
      <c r="BC96" s="251"/>
      <c r="BD96" s="251"/>
      <c r="BE96" s="251"/>
      <c r="BF96" s="251"/>
    </row>
    <row r="97" spans="1:58" s="250" customFormat="1" ht="15" hidden="1" customHeight="1" x14ac:dyDescent="0.15">
      <c r="A97" s="248" t="s">
        <v>353</v>
      </c>
      <c r="B97" s="249" t="s">
        <v>52</v>
      </c>
      <c r="C97" s="250" t="s">
        <v>233</v>
      </c>
      <c r="D97" s="248" t="s">
        <v>337</v>
      </c>
      <c r="E97" s="248" t="s">
        <v>433</v>
      </c>
      <c r="F97" s="193" t="s">
        <v>338</v>
      </c>
      <c r="G97" s="248" t="s">
        <v>234</v>
      </c>
      <c r="H97" s="190"/>
      <c r="I97" s="190"/>
      <c r="J97" s="190"/>
      <c r="K97" s="190"/>
      <c r="L97" s="190"/>
      <c r="M97" s="190"/>
      <c r="N97" s="190"/>
      <c r="O97" s="190"/>
      <c r="P97" s="190"/>
      <c r="Q97" s="190"/>
      <c r="R97" s="190"/>
      <c r="S97" s="190"/>
      <c r="T97" s="251">
        <f>+VCdata!V52</f>
        <v>4.1020739491409435</v>
      </c>
      <c r="U97" s="251">
        <f>+VCdata!W52</f>
        <v>4.1020739491409435</v>
      </c>
      <c r="V97" s="251">
        <f>+VCdata!X52</f>
        <v>3.930887584245629</v>
      </c>
      <c r="W97" s="251">
        <f>+VCdata!Y52</f>
        <v>3.930887584245629</v>
      </c>
      <c r="X97" s="251">
        <f>+VCdata!Z52</f>
        <v>3.8029126864201244</v>
      </c>
      <c r="Y97" s="251">
        <f>+VCdata!AA52</f>
        <v>3.6297181179981584</v>
      </c>
      <c r="Z97" s="251">
        <f>+VCdata!AB52</f>
        <v>3.481735472854731</v>
      </c>
      <c r="AA97" s="251">
        <f>+VCdata!AC52</f>
        <v>3.2849011462507347</v>
      </c>
      <c r="AB97" s="251">
        <f>+VCdata!AD52</f>
        <v>3.073380534041152</v>
      </c>
      <c r="AC97" s="251">
        <f>+VCdata!AE52</f>
        <v>2.8213015699926922</v>
      </c>
      <c r="AD97" s="251">
        <f>+VCdata!AF52</f>
        <v>2.5849613892504371</v>
      </c>
      <c r="AE97" s="251">
        <f>+VCdata!AG52</f>
        <v>2.3438808654237788</v>
      </c>
      <c r="AF97" s="251">
        <f>+VCdata!AH52</f>
        <v>2.1228518877219957</v>
      </c>
      <c r="AG97" s="251">
        <f>+VCdata!AI52</f>
        <v>1.9118191837991054</v>
      </c>
      <c r="AH97" s="251">
        <f>+VCdata!AJ52</f>
        <v>1.7451561996012046</v>
      </c>
      <c r="AI97" s="251">
        <f>+VCdata!AK52</f>
        <v>1.5880504607433665</v>
      </c>
      <c r="AJ97" s="251">
        <f>+VCdata!AL52</f>
        <v>1.437613461584941</v>
      </c>
      <c r="AK97" s="251">
        <f>+VCdata!AM52</f>
        <v>1.2826522679268313</v>
      </c>
      <c r="AL97" s="251">
        <f>+VCdata!AN52</f>
        <v>1.1309887827119292</v>
      </c>
      <c r="AM97" s="251">
        <f>+VCdata!AO52</f>
        <v>1.0343221391604565</v>
      </c>
      <c r="AN97" s="251">
        <f>+VCdata!AP52</f>
        <v>0.93875451280208766</v>
      </c>
      <c r="AO97" s="251">
        <f>+VCdata!AQ52</f>
        <v>0.84373223913495343</v>
      </c>
      <c r="AP97" s="251">
        <f>+VCdata!AR52</f>
        <v>0.74912526995895268</v>
      </c>
      <c r="AQ97" s="251">
        <f>+VCdata!AS52</f>
        <v>0.65463170750111133</v>
      </c>
      <c r="AR97" s="251">
        <f>+VCdata!AT52</f>
        <v>0.56027431281698192</v>
      </c>
      <c r="AS97" s="251">
        <f>+VCdata!AU52</f>
        <v>0.46626056899706025</v>
      </c>
      <c r="AT97" s="251">
        <f>+VCdata!AV52</f>
        <v>0.37255662808085116</v>
      </c>
      <c r="AU97" s="251">
        <f>+VCdata!AW52</f>
        <v>0.27912022975240347</v>
      </c>
      <c r="AV97" s="251">
        <f>+VCdata!AX52</f>
        <v>0.18621281393558867</v>
      </c>
      <c r="AW97" s="251"/>
      <c r="AX97" s="251"/>
      <c r="AY97" s="251"/>
      <c r="AZ97" s="251"/>
      <c r="BA97" s="251"/>
      <c r="BB97" s="251"/>
      <c r="BC97" s="251"/>
      <c r="BD97" s="251"/>
      <c r="BE97" s="251"/>
      <c r="BF97" s="251"/>
    </row>
    <row r="98" spans="1:58" s="250" customFormat="1" ht="15" hidden="1" customHeight="1" x14ac:dyDescent="0.15">
      <c r="A98" s="248" t="s">
        <v>370</v>
      </c>
      <c r="B98" s="249" t="s">
        <v>52</v>
      </c>
      <c r="C98" s="250" t="s">
        <v>368</v>
      </c>
      <c r="D98" s="248" t="s">
        <v>369</v>
      </c>
      <c r="E98" s="248" t="s">
        <v>29</v>
      </c>
      <c r="F98" s="193" t="s">
        <v>367</v>
      </c>
      <c r="G98" s="248" t="s">
        <v>368</v>
      </c>
      <c r="H98" s="190"/>
      <c r="I98" s="190"/>
      <c r="J98" s="190"/>
      <c r="K98" s="190"/>
      <c r="L98" s="190"/>
      <c r="M98" s="190"/>
      <c r="N98" s="190"/>
      <c r="O98" s="190"/>
      <c r="P98" s="190"/>
      <c r="Q98" s="190"/>
      <c r="R98" s="190"/>
      <c r="S98" s="190"/>
      <c r="T98" s="251"/>
      <c r="U98" s="251">
        <v>1</v>
      </c>
      <c r="V98" s="251">
        <v>0.96576747072674518</v>
      </c>
      <c r="W98" s="251">
        <v>0.93153494145349003</v>
      </c>
      <c r="X98" s="251">
        <v>0.89730241218023521</v>
      </c>
      <c r="Y98" s="251">
        <v>0.86306988290698017</v>
      </c>
      <c r="Z98" s="251">
        <v>0.82883735363372524</v>
      </c>
      <c r="AA98" s="251">
        <v>0.79460482436047042</v>
      </c>
      <c r="AB98" s="251">
        <v>0.76037229508721538</v>
      </c>
      <c r="AC98" s="251">
        <v>0.7161825737268781</v>
      </c>
      <c r="AD98" s="251">
        <v>0.67199285236654105</v>
      </c>
      <c r="AE98" s="251">
        <v>0.62780313100620389</v>
      </c>
      <c r="AF98" s="251">
        <v>0.58361340964586683</v>
      </c>
      <c r="AG98" s="251">
        <v>0.53942368828552978</v>
      </c>
      <c r="AH98" s="251">
        <v>0.49693665164059386</v>
      </c>
      <c r="AI98" s="251">
        <v>0.454449614995658</v>
      </c>
      <c r="AJ98" s="251">
        <v>0.41196257835072209</v>
      </c>
      <c r="AK98" s="251">
        <v>0.36947554170578634</v>
      </c>
      <c r="AL98" s="251">
        <v>0.32698850506085048</v>
      </c>
      <c r="AM98" s="251">
        <v>0.29883823918863928</v>
      </c>
      <c r="AN98" s="251">
        <v>0.27068797331642813</v>
      </c>
      <c r="AO98" s="251">
        <v>0.2425377074442169</v>
      </c>
      <c r="AP98" s="251">
        <v>0.21438744157200568</v>
      </c>
      <c r="AQ98" s="251">
        <v>0.1862371756997945</v>
      </c>
      <c r="AR98" s="251">
        <v>0.15808690982758328</v>
      </c>
      <c r="AS98" s="251">
        <v>0.12993664395537211</v>
      </c>
      <c r="AT98" s="251">
        <v>0.10178637808316089</v>
      </c>
      <c r="AU98" s="251">
        <v>7.3636112210949692E-2</v>
      </c>
      <c r="AV98" s="251">
        <v>4.5485846338738409E-2</v>
      </c>
      <c r="AW98" s="251"/>
      <c r="AX98" s="251"/>
      <c r="AY98" s="251"/>
      <c r="AZ98" s="251"/>
      <c r="BA98" s="251"/>
      <c r="BB98" s="251"/>
      <c r="BC98" s="251"/>
      <c r="BD98" s="251"/>
      <c r="BE98" s="251"/>
      <c r="BF98" s="251"/>
    </row>
    <row r="99" spans="1:58" s="250" customFormat="1" ht="15" hidden="1" customHeight="1" x14ac:dyDescent="0.15">
      <c r="A99" s="248" t="s">
        <v>371</v>
      </c>
      <c r="B99" s="249" t="s">
        <v>52</v>
      </c>
      <c r="C99" s="250" t="s">
        <v>326</v>
      </c>
      <c r="D99" s="248" t="s">
        <v>372</v>
      </c>
      <c r="E99" s="248" t="s">
        <v>262</v>
      </c>
      <c r="F99" s="193" t="s">
        <v>373</v>
      </c>
      <c r="G99" s="248" t="s">
        <v>331</v>
      </c>
      <c r="H99" s="190"/>
      <c r="I99" s="190"/>
      <c r="J99" s="190"/>
      <c r="K99" s="190"/>
      <c r="L99" s="190"/>
      <c r="M99" s="190"/>
      <c r="N99" s="190"/>
      <c r="O99" s="190"/>
      <c r="P99" s="190"/>
      <c r="Q99" s="190"/>
      <c r="R99" s="190"/>
      <c r="S99" s="190"/>
      <c r="T99" s="251">
        <f t="shared" ref="T99:AV99" si="0">+T26-T74</f>
        <v>58.910456240978284</v>
      </c>
      <c r="U99" s="251">
        <f t="shared" si="0"/>
        <v>58.391514987768382</v>
      </c>
      <c r="V99" s="251">
        <f t="shared" si="0"/>
        <v>57.403836121198538</v>
      </c>
      <c r="W99" s="251">
        <f t="shared" si="0"/>
        <v>52.354799765325176</v>
      </c>
      <c r="X99" s="251">
        <f t="shared" si="0"/>
        <v>46.377174273991329</v>
      </c>
      <c r="Y99" s="251">
        <f t="shared" si="0"/>
        <v>39.388314946339001</v>
      </c>
      <c r="Z99" s="251">
        <f t="shared" si="0"/>
        <v>32.550221496513089</v>
      </c>
      <c r="AA99" s="251">
        <f t="shared" si="0"/>
        <v>25.367211787548015</v>
      </c>
      <c r="AB99" s="251">
        <f t="shared" si="0"/>
        <v>19.580742741427517</v>
      </c>
      <c r="AC99" s="251">
        <f t="shared" si="0"/>
        <v>14.080626313947102</v>
      </c>
      <c r="AD99" s="251">
        <f t="shared" si="0"/>
        <v>9.6493869166840547</v>
      </c>
      <c r="AE99" s="251">
        <f t="shared" si="0"/>
        <v>6.2087475991229919</v>
      </c>
      <c r="AF99" s="251">
        <f t="shared" si="0"/>
        <v>3.7357093171497464</v>
      </c>
      <c r="AG99" s="251">
        <f t="shared" si="0"/>
        <v>1.7293509318517668</v>
      </c>
      <c r="AH99" s="251">
        <f t="shared" si="0"/>
        <v>7.945224944340068E-2</v>
      </c>
      <c r="AI99" s="251">
        <f t="shared" si="0"/>
        <v>1.5134625888618247E-2</v>
      </c>
      <c r="AJ99" s="251">
        <f t="shared" si="0"/>
        <v>1.3686932748938396E-2</v>
      </c>
      <c r="AK99" s="251">
        <f t="shared" si="0"/>
        <v>1.2235890550526873E-2</v>
      </c>
      <c r="AL99" s="251">
        <f t="shared" si="0"/>
        <v>1.0807427596347674E-2</v>
      </c>
      <c r="AM99" s="251">
        <f t="shared" si="0"/>
        <v>9.8768313604504776E-3</v>
      </c>
      <c r="AN99" s="251">
        <f t="shared" si="0"/>
        <v>8.961063538765579E-3</v>
      </c>
      <c r="AO99" s="251">
        <f t="shared" si="0"/>
        <v>8.0545071923250333E-3</v>
      </c>
      <c r="AP99" s="251">
        <f t="shared" si="0"/>
        <v>7.155799614489422E-3</v>
      </c>
      <c r="AQ99" s="251">
        <f t="shared" si="0"/>
        <v>6.2583955169825956E-3</v>
      </c>
      <c r="AR99" s="251">
        <f t="shared" si="0"/>
        <v>5.3629572781375701E-3</v>
      </c>
      <c r="AS99" s="251">
        <f t="shared" si="0"/>
        <v>4.4730656062570984E-3</v>
      </c>
      <c r="AT99" s="251">
        <f t="shared" si="0"/>
        <v>3.5885057113396179E-3</v>
      </c>
      <c r="AU99" s="251">
        <f t="shared" si="0"/>
        <v>2.7076201976579672E-3</v>
      </c>
      <c r="AV99" s="251">
        <f t="shared" si="0"/>
        <v>1.8355121692631982E-3</v>
      </c>
      <c r="AW99" s="251"/>
      <c r="AX99" s="251"/>
      <c r="AY99" s="251"/>
      <c r="AZ99" s="251"/>
      <c r="BA99" s="251"/>
      <c r="BB99" s="251"/>
      <c r="BC99" s="251"/>
      <c r="BD99" s="251"/>
      <c r="BE99" s="251"/>
      <c r="BF99" s="251"/>
    </row>
    <row r="100" spans="1:58" s="250" customFormat="1" ht="15" hidden="1" customHeight="1" x14ac:dyDescent="0.15">
      <c r="A100" s="248" t="s">
        <v>371</v>
      </c>
      <c r="B100" s="249" t="s">
        <v>52</v>
      </c>
      <c r="C100" s="250" t="s">
        <v>413</v>
      </c>
      <c r="D100" s="248" t="s">
        <v>372</v>
      </c>
      <c r="E100" s="248" t="s">
        <v>262</v>
      </c>
      <c r="F100" s="193" t="s">
        <v>373</v>
      </c>
      <c r="G100" s="248" t="s">
        <v>331</v>
      </c>
      <c r="H100" s="190"/>
      <c r="I100" s="190"/>
      <c r="J100" s="190"/>
      <c r="K100" s="190"/>
      <c r="L100" s="190"/>
      <c r="M100" s="190"/>
      <c r="N100" s="190"/>
      <c r="O100" s="190"/>
      <c r="P100" s="190"/>
      <c r="Q100" s="190"/>
      <c r="R100" s="190"/>
      <c r="S100" s="190"/>
      <c r="T100" s="251">
        <f t="shared" ref="T100:AV100" si="1">+T27-T75</f>
        <v>63.076610337627386</v>
      </c>
      <c r="U100" s="251">
        <f t="shared" si="1"/>
        <v>61.442701768273665</v>
      </c>
      <c r="V100" s="251">
        <f t="shared" si="1"/>
        <v>57.587878495401327</v>
      </c>
      <c r="W100" s="251">
        <f t="shared" si="1"/>
        <v>53.272810647893273</v>
      </c>
      <c r="X100" s="251">
        <f t="shared" si="1"/>
        <v>48.663357931497295</v>
      </c>
      <c r="Y100" s="251">
        <f t="shared" si="1"/>
        <v>43.807638967167136</v>
      </c>
      <c r="Z100" s="251">
        <f t="shared" si="1"/>
        <v>38.400703217874167</v>
      </c>
      <c r="AA100" s="251">
        <f t="shared" si="1"/>
        <v>33.517169840830036</v>
      </c>
      <c r="AB100" s="251">
        <f t="shared" si="1"/>
        <v>26.71194915648265</v>
      </c>
      <c r="AC100" s="251">
        <f t="shared" si="1"/>
        <v>19.775429159240126</v>
      </c>
      <c r="AD100" s="251">
        <f t="shared" si="1"/>
        <v>14.609546072768996</v>
      </c>
      <c r="AE100" s="251">
        <f t="shared" si="1"/>
        <v>9.4747952120168257</v>
      </c>
      <c r="AF100" s="251">
        <f t="shared" si="1"/>
        <v>6.209285829592603</v>
      </c>
      <c r="AG100" s="251">
        <f t="shared" si="1"/>
        <v>3.1087213555008533</v>
      </c>
      <c r="AH100" s="251">
        <f t="shared" si="1"/>
        <v>0.64753531550966237</v>
      </c>
      <c r="AI100" s="251">
        <f t="shared" si="1"/>
        <v>0.32884314056998942</v>
      </c>
      <c r="AJ100" s="251">
        <f t="shared" si="1"/>
        <v>0.32525327798296644</v>
      </c>
      <c r="AK100" s="251">
        <f t="shared" si="1"/>
        <v>1.2610675456684817E-2</v>
      </c>
      <c r="AL100" s="251">
        <f t="shared" si="1"/>
        <v>1.1096086662762739E-2</v>
      </c>
      <c r="AM100" s="251">
        <f t="shared" si="1"/>
        <v>1.0136425179547492E-2</v>
      </c>
      <c r="AN100" s="251">
        <f t="shared" si="1"/>
        <v>9.1922323682732676E-3</v>
      </c>
      <c r="AO100" s="251">
        <f t="shared" si="1"/>
        <v>8.2576142657250218E-3</v>
      </c>
      <c r="AP100" s="251">
        <f t="shared" si="1"/>
        <v>7.3311190725905417E-3</v>
      </c>
      <c r="AQ100" s="251">
        <f t="shared" si="1"/>
        <v>6.405968062097922E-3</v>
      </c>
      <c r="AR100" s="251">
        <f t="shared" si="1"/>
        <v>5.4828814788097091E-3</v>
      </c>
      <c r="AS100" s="251">
        <f t="shared" si="1"/>
        <v>4.5655503230281336E-3</v>
      </c>
      <c r="AT100" s="251">
        <f t="shared" si="1"/>
        <v>3.6537481797461191E-3</v>
      </c>
      <c r="AU100" s="251">
        <f t="shared" si="1"/>
        <v>2.7458191596830828E-3</v>
      </c>
      <c r="AV100" s="251">
        <f t="shared" si="1"/>
        <v>1.8468446599750055E-3</v>
      </c>
      <c r="AW100" s="251"/>
      <c r="AX100" s="251"/>
      <c r="AY100" s="251"/>
      <c r="AZ100" s="251"/>
      <c r="BA100" s="251"/>
      <c r="BB100" s="251"/>
      <c r="BC100" s="251"/>
      <c r="BD100" s="251"/>
      <c r="BE100" s="251"/>
      <c r="BF100" s="251"/>
    </row>
    <row r="101" spans="1:58" s="250" customFormat="1" ht="15" hidden="1" customHeight="1" x14ac:dyDescent="0.15">
      <c r="A101" s="248" t="s">
        <v>371</v>
      </c>
      <c r="B101" s="249" t="s">
        <v>52</v>
      </c>
      <c r="C101" s="250" t="s">
        <v>327</v>
      </c>
      <c r="D101" s="248" t="s">
        <v>372</v>
      </c>
      <c r="E101" s="248" t="s">
        <v>262</v>
      </c>
      <c r="F101" s="193" t="s">
        <v>373</v>
      </c>
      <c r="G101" s="248" t="s">
        <v>331</v>
      </c>
      <c r="H101" s="190"/>
      <c r="I101" s="190"/>
      <c r="J101" s="190"/>
      <c r="K101" s="190"/>
      <c r="L101" s="190"/>
      <c r="M101" s="190"/>
      <c r="N101" s="190"/>
      <c r="O101" s="190"/>
      <c r="P101" s="190"/>
      <c r="Q101" s="190"/>
      <c r="R101" s="190"/>
      <c r="S101" s="190"/>
      <c r="T101" s="251">
        <f t="shared" ref="T101:AV101" si="2">+T28-T76</f>
        <v>59.0992670904796</v>
      </c>
      <c r="U101" s="251">
        <f t="shared" si="2"/>
        <v>58.202910159832264</v>
      </c>
      <c r="V101" s="251">
        <f t="shared" si="2"/>
        <v>57.102447741067145</v>
      </c>
      <c r="W101" s="251">
        <f t="shared" si="2"/>
        <v>53.886370017844825</v>
      </c>
      <c r="X101" s="251">
        <f t="shared" si="2"/>
        <v>49.257496039535027</v>
      </c>
      <c r="Y101" s="251">
        <f t="shared" si="2"/>
        <v>43.842984851622617</v>
      </c>
      <c r="Z101" s="251">
        <f t="shared" si="2"/>
        <v>37.677245755979477</v>
      </c>
      <c r="AA101" s="251">
        <f t="shared" si="2"/>
        <v>30.955108894645953</v>
      </c>
      <c r="AB101" s="251">
        <f t="shared" si="2"/>
        <v>25.14098960657973</v>
      </c>
      <c r="AC101" s="251">
        <f t="shared" si="2"/>
        <v>18.979198142133313</v>
      </c>
      <c r="AD101" s="251">
        <f t="shared" si="2"/>
        <v>14.286429384301535</v>
      </c>
      <c r="AE101" s="251">
        <f t="shared" si="2"/>
        <v>9.6246063930673653</v>
      </c>
      <c r="AF101" s="251">
        <f t="shared" si="2"/>
        <v>6.7739129202316537</v>
      </c>
      <c r="AG101" s="251">
        <f t="shared" si="2"/>
        <v>4.0916640527194303</v>
      </c>
      <c r="AH101" s="251">
        <f t="shared" si="2"/>
        <v>1.8517124567876975</v>
      </c>
      <c r="AI101" s="251">
        <f t="shared" si="2"/>
        <v>1.2365554354169792</v>
      </c>
      <c r="AJ101" s="251">
        <f t="shared" si="2"/>
        <v>0.89324521496526899</v>
      </c>
      <c r="AK101" s="251">
        <f t="shared" si="2"/>
        <v>0.35521705180856533</v>
      </c>
      <c r="AL101" s="251">
        <f t="shared" si="2"/>
        <v>0.29734091759430337</v>
      </c>
      <c r="AM101" s="251">
        <f t="shared" si="2"/>
        <v>0.29332806573897185</v>
      </c>
      <c r="AN101" s="251">
        <f t="shared" si="2"/>
        <v>0.28491030355118241</v>
      </c>
      <c r="AO101" s="251">
        <f t="shared" si="2"/>
        <v>0.28101442903296847</v>
      </c>
      <c r="AP101" s="251">
        <f t="shared" si="2"/>
        <v>5.76719850553431E-2</v>
      </c>
      <c r="AQ101" s="251">
        <f t="shared" si="2"/>
        <v>7.2552897502382585E-3</v>
      </c>
      <c r="AR101" s="251">
        <f t="shared" si="2"/>
        <v>6.2471109841624184E-3</v>
      </c>
      <c r="AS101" s="251">
        <f t="shared" si="2"/>
        <v>5.2418237025672054E-3</v>
      </c>
      <c r="AT101" s="251">
        <f t="shared" si="2"/>
        <v>4.2382247638544923E-3</v>
      </c>
      <c r="AU101" s="251">
        <f t="shared" si="2"/>
        <v>3.2374880219472879E-3</v>
      </c>
      <c r="AV101" s="251">
        <f t="shared" si="2"/>
        <v>2.2407547803613703E-3</v>
      </c>
      <c r="AW101" s="251"/>
      <c r="AX101" s="251"/>
      <c r="AY101" s="251"/>
      <c r="AZ101" s="251"/>
      <c r="BA101" s="251"/>
      <c r="BB101" s="251"/>
      <c r="BC101" s="251"/>
      <c r="BD101" s="251"/>
      <c r="BE101" s="251"/>
      <c r="BF101" s="251"/>
    </row>
    <row r="102" spans="1:58" s="250" customFormat="1" ht="15" hidden="1" customHeight="1" x14ac:dyDescent="0.15">
      <c r="A102" s="248" t="s">
        <v>371</v>
      </c>
      <c r="B102" s="249" t="s">
        <v>52</v>
      </c>
      <c r="C102" s="250" t="s">
        <v>233</v>
      </c>
      <c r="D102" s="248" t="s">
        <v>372</v>
      </c>
      <c r="E102" s="248" t="s">
        <v>262</v>
      </c>
      <c r="F102" s="193" t="s">
        <v>373</v>
      </c>
      <c r="G102" s="248" t="s">
        <v>331</v>
      </c>
      <c r="H102" s="190"/>
      <c r="I102" s="190"/>
      <c r="J102" s="190"/>
      <c r="K102" s="190"/>
      <c r="L102" s="190"/>
      <c r="M102" s="190"/>
      <c r="N102" s="190"/>
      <c r="O102" s="190"/>
      <c r="P102" s="190"/>
      <c r="Q102" s="190"/>
      <c r="R102" s="190"/>
      <c r="S102" s="190"/>
      <c r="T102" s="251">
        <f t="shared" ref="T102:AV102" si="3">+T29-T77</f>
        <v>61.172571719732161</v>
      </c>
      <c r="U102" s="251">
        <f t="shared" si="3"/>
        <v>59.835426416345356</v>
      </c>
      <c r="V102" s="251">
        <f t="shared" si="3"/>
        <v>57.226587838378947</v>
      </c>
      <c r="W102" s="251">
        <f t="shared" si="3"/>
        <v>53.666998317558587</v>
      </c>
      <c r="X102" s="251">
        <f t="shared" si="3"/>
        <v>49.080365130172446</v>
      </c>
      <c r="Y102" s="251">
        <f t="shared" si="3"/>
        <v>43.747113760134745</v>
      </c>
      <c r="Z102" s="251">
        <f t="shared" si="3"/>
        <v>37.737336225080732</v>
      </c>
      <c r="AA102" s="251">
        <f t="shared" si="3"/>
        <v>31.452419009674362</v>
      </c>
      <c r="AB102" s="251">
        <f t="shared" si="3"/>
        <v>25.435302096348025</v>
      </c>
      <c r="AC102" s="251">
        <f t="shared" si="3"/>
        <v>19.004041934957957</v>
      </c>
      <c r="AD102" s="251">
        <f t="shared" si="3"/>
        <v>14.192732693741311</v>
      </c>
      <c r="AE102" s="251">
        <f t="shared" si="3"/>
        <v>9.4585040795574375</v>
      </c>
      <c r="AF102" s="251">
        <f t="shared" si="3"/>
        <v>6.5374014553511284</v>
      </c>
      <c r="AG102" s="251">
        <f t="shared" si="3"/>
        <v>3.8075510074952401</v>
      </c>
      <c r="AH102" s="251">
        <f t="shared" si="3"/>
        <v>1.574202061974683</v>
      </c>
      <c r="AI102" s="251">
        <f t="shared" si="3"/>
        <v>1.033138511931367</v>
      </c>
      <c r="AJ102" s="251">
        <f t="shared" si="3"/>
        <v>0.75947599162112267</v>
      </c>
      <c r="AK102" s="251">
        <f t="shared" si="3"/>
        <v>0.28000925794835951</v>
      </c>
      <c r="AL102" s="251">
        <f t="shared" si="3"/>
        <v>0.23413867270080613</v>
      </c>
      <c r="AM102" s="251">
        <f t="shared" si="3"/>
        <v>0.22706369870319887</v>
      </c>
      <c r="AN102" s="251">
        <f t="shared" si="3"/>
        <v>0.22319848378704554</v>
      </c>
      <c r="AO102" s="251">
        <f t="shared" si="3"/>
        <v>0.22347059133504688</v>
      </c>
      <c r="AP102" s="251">
        <f t="shared" si="3"/>
        <v>4.767398055727079E-2</v>
      </c>
      <c r="AQ102" s="251">
        <f t="shared" si="3"/>
        <v>7.0759222738159266E-3</v>
      </c>
      <c r="AR102" s="251">
        <f t="shared" si="3"/>
        <v>6.0913938145825686E-3</v>
      </c>
      <c r="AS102" s="251">
        <f t="shared" si="3"/>
        <v>5.1045754767965468E-3</v>
      </c>
      <c r="AT102" s="251">
        <f t="shared" si="3"/>
        <v>4.1193446467966965E-3</v>
      </c>
      <c r="AU102" s="251">
        <f t="shared" si="3"/>
        <v>3.1374918717568812E-3</v>
      </c>
      <c r="AV102" s="251">
        <f t="shared" si="3"/>
        <v>2.1618039482518836E-3</v>
      </c>
      <c r="AW102" s="251"/>
      <c r="AX102" s="251"/>
      <c r="AY102" s="251"/>
      <c r="AZ102" s="251"/>
      <c r="BA102" s="251"/>
      <c r="BB102" s="251"/>
      <c r="BC102" s="251"/>
      <c r="BD102" s="251"/>
      <c r="BE102" s="251"/>
      <c r="BF102" s="251"/>
    </row>
    <row r="103" spans="1:58" s="250" customFormat="1" ht="15" hidden="1" customHeight="1" x14ac:dyDescent="0.15">
      <c r="A103" s="248" t="s">
        <v>371</v>
      </c>
      <c r="B103" s="249" t="s">
        <v>52</v>
      </c>
      <c r="C103" s="250" t="s">
        <v>326</v>
      </c>
      <c r="D103" s="248" t="s">
        <v>372</v>
      </c>
      <c r="E103" s="248" t="s">
        <v>262</v>
      </c>
      <c r="F103" s="193" t="s">
        <v>373</v>
      </c>
      <c r="G103" s="248" t="s">
        <v>365</v>
      </c>
      <c r="H103" s="190"/>
      <c r="I103" s="190"/>
      <c r="J103" s="190"/>
      <c r="K103" s="190"/>
      <c r="L103" s="190"/>
      <c r="M103" s="190"/>
      <c r="N103" s="190"/>
      <c r="O103" s="190"/>
      <c r="P103" s="190"/>
      <c r="Q103" s="190"/>
      <c r="R103" s="190"/>
      <c r="S103" s="190"/>
      <c r="T103" s="251">
        <f t="shared" ref="T103:AV103" si="4">+T38-T78</f>
        <v>1147.7061462313295</v>
      </c>
      <c r="U103" s="251">
        <f t="shared" si="4"/>
        <v>1151.4126068284324</v>
      </c>
      <c r="V103" s="251">
        <f t="shared" si="4"/>
        <v>1137.4677222258438</v>
      </c>
      <c r="W103" s="251">
        <f t="shared" si="4"/>
        <v>1117.5745862428082</v>
      </c>
      <c r="X103" s="251">
        <f t="shared" si="4"/>
        <v>1102.3600243986675</v>
      </c>
      <c r="Y103" s="251">
        <f t="shared" si="4"/>
        <v>991.57329172053221</v>
      </c>
      <c r="Z103" s="251">
        <f t="shared" si="4"/>
        <v>919.85980007502837</v>
      </c>
      <c r="AA103" s="251">
        <f t="shared" si="4"/>
        <v>801.69707616558173</v>
      </c>
      <c r="AB103" s="251">
        <f t="shared" si="4"/>
        <v>688.10587982101356</v>
      </c>
      <c r="AC103" s="251">
        <f t="shared" si="4"/>
        <v>484.00519596249114</v>
      </c>
      <c r="AD103" s="251">
        <f t="shared" si="4"/>
        <v>342.4914199307151</v>
      </c>
      <c r="AE103" s="251">
        <f t="shared" si="4"/>
        <v>214.0736688287829</v>
      </c>
      <c r="AF103" s="251">
        <f t="shared" si="4"/>
        <v>125.79731734140785</v>
      </c>
      <c r="AG103" s="251">
        <f t="shared" si="4"/>
        <v>45.941513311231823</v>
      </c>
      <c r="AH103" s="251">
        <f t="shared" si="4"/>
        <v>41.897590462920547</v>
      </c>
      <c r="AI103" s="251">
        <f t="shared" si="4"/>
        <v>37.4641967267805</v>
      </c>
      <c r="AJ103" s="251">
        <f t="shared" si="4"/>
        <v>33.814322314038918</v>
      </c>
      <c r="AK103" s="251">
        <f t="shared" si="4"/>
        <v>30.204501190958734</v>
      </c>
      <c r="AL103" s="251">
        <f t="shared" si="4"/>
        <v>26.594009398517567</v>
      </c>
      <c r="AM103" s="251">
        <f t="shared" si="4"/>
        <v>24.316396554284857</v>
      </c>
      <c r="AN103" s="251">
        <f t="shared" si="4"/>
        <v>22.049005602121962</v>
      </c>
      <c r="AO103" s="251">
        <f t="shared" si="4"/>
        <v>19.789314204127606</v>
      </c>
      <c r="AP103" s="251">
        <f t="shared" si="4"/>
        <v>17.536935887477444</v>
      </c>
      <c r="AQ103" s="251">
        <f t="shared" si="4"/>
        <v>15.288547908373079</v>
      </c>
      <c r="AR103" s="251">
        <f t="shared" si="4"/>
        <v>13.043907411386556</v>
      </c>
      <c r="AS103" s="251">
        <f t="shared" si="4"/>
        <v>10.804957911641315</v>
      </c>
      <c r="AT103" s="251">
        <f t="shared" si="4"/>
        <v>8.5715996109106687</v>
      </c>
      <c r="AU103" s="251">
        <f t="shared" si="4"/>
        <v>6.3421066364554761</v>
      </c>
      <c r="AV103" s="251">
        <f t="shared" si="4"/>
        <v>4.1218399037182412</v>
      </c>
      <c r="AW103" s="251"/>
      <c r="AX103" s="251"/>
      <c r="AY103" s="251"/>
      <c r="AZ103" s="251"/>
      <c r="BA103" s="251"/>
      <c r="BB103" s="251"/>
      <c r="BC103" s="251"/>
      <c r="BD103" s="251"/>
      <c r="BE103" s="251"/>
      <c r="BF103" s="251"/>
    </row>
    <row r="104" spans="1:58" s="250" customFormat="1" ht="15" hidden="1" customHeight="1" x14ac:dyDescent="0.15">
      <c r="A104" s="248" t="s">
        <v>371</v>
      </c>
      <c r="B104" s="249" t="s">
        <v>52</v>
      </c>
      <c r="C104" s="250" t="s">
        <v>413</v>
      </c>
      <c r="D104" s="248" t="s">
        <v>372</v>
      </c>
      <c r="E104" s="248" t="s">
        <v>262</v>
      </c>
      <c r="F104" s="193" t="s">
        <v>373</v>
      </c>
      <c r="G104" s="248" t="s">
        <v>365</v>
      </c>
      <c r="H104" s="190"/>
      <c r="I104" s="190"/>
      <c r="J104" s="190"/>
      <c r="K104" s="190"/>
      <c r="L104" s="190"/>
      <c r="M104" s="190"/>
      <c r="N104" s="190"/>
      <c r="O104" s="190"/>
      <c r="P104" s="190"/>
      <c r="Q104" s="190"/>
      <c r="R104" s="190"/>
      <c r="S104" s="190"/>
      <c r="T104" s="251">
        <f t="shared" ref="T104:AV104" si="5">+T39-T79</f>
        <v>1246.9570329693422</v>
      </c>
      <c r="U104" s="251">
        <f t="shared" si="5"/>
        <v>1234.517107475717</v>
      </c>
      <c r="V104" s="251">
        <f t="shared" si="5"/>
        <v>1194.1839759478298</v>
      </c>
      <c r="W104" s="251">
        <f t="shared" si="5"/>
        <v>1116.3876242863826</v>
      </c>
      <c r="X104" s="251">
        <f t="shared" si="5"/>
        <v>1018.6046232942826</v>
      </c>
      <c r="Y104" s="251">
        <f t="shared" si="5"/>
        <v>898.70575668665458</v>
      </c>
      <c r="Z104" s="251">
        <f t="shared" si="5"/>
        <v>810.8388434307135</v>
      </c>
      <c r="AA104" s="251">
        <f t="shared" si="5"/>
        <v>708.28645424243234</v>
      </c>
      <c r="AB104" s="251">
        <f t="shared" si="5"/>
        <v>601.98301890695768</v>
      </c>
      <c r="AC104" s="251">
        <f t="shared" si="5"/>
        <v>441.8961286307163</v>
      </c>
      <c r="AD104" s="251">
        <f t="shared" si="5"/>
        <v>327.82812609751744</v>
      </c>
      <c r="AE104" s="251">
        <f t="shared" si="5"/>
        <v>216.03508581265601</v>
      </c>
      <c r="AF104" s="251">
        <f t="shared" si="5"/>
        <v>142.73761809703302</v>
      </c>
      <c r="AG104" s="251">
        <f t="shared" si="5"/>
        <v>73.75710552862229</v>
      </c>
      <c r="AH104" s="251">
        <f t="shared" si="5"/>
        <v>58.527350488075911</v>
      </c>
      <c r="AI104" s="251">
        <f t="shared" si="5"/>
        <v>48.701103541053968</v>
      </c>
      <c r="AJ104" s="251">
        <f t="shared" si="5"/>
        <v>43.641482118614427</v>
      </c>
      <c r="AK104" s="251">
        <f t="shared" si="5"/>
        <v>33.821876977497595</v>
      </c>
      <c r="AL104" s="251">
        <f t="shared" si="5"/>
        <v>29.42008602088859</v>
      </c>
      <c r="AM104" s="251">
        <f t="shared" si="5"/>
        <v>26.85791389712654</v>
      </c>
      <c r="AN104" s="251">
        <f t="shared" si="5"/>
        <v>24.312232020077598</v>
      </c>
      <c r="AO104" s="251">
        <f t="shared" si="5"/>
        <v>21.77780588430479</v>
      </c>
      <c r="AP104" s="251">
        <f t="shared" si="5"/>
        <v>19.253376767508957</v>
      </c>
      <c r="AQ104" s="251">
        <f t="shared" si="5"/>
        <v>16.733336478619819</v>
      </c>
      <c r="AR104" s="251">
        <f t="shared" si="5"/>
        <v>14.218008693516261</v>
      </c>
      <c r="AS104" s="251">
        <f t="shared" si="5"/>
        <v>11.710416725872623</v>
      </c>
      <c r="AT104" s="251">
        <f t="shared" si="5"/>
        <v>9.2103469644569778</v>
      </c>
      <c r="AU104" s="251">
        <f t="shared" si="5"/>
        <v>6.7160882851825345</v>
      </c>
      <c r="AV104" s="251">
        <f t="shared" si="5"/>
        <v>4.2327890849498049</v>
      </c>
      <c r="AW104" s="251"/>
      <c r="AX104" s="251"/>
      <c r="AY104" s="251"/>
      <c r="AZ104" s="251"/>
      <c r="BA104" s="251"/>
      <c r="BB104" s="251"/>
      <c r="BC104" s="251"/>
      <c r="BD104" s="251"/>
      <c r="BE104" s="251"/>
      <c r="BF104" s="251"/>
    </row>
    <row r="105" spans="1:58" s="250" customFormat="1" ht="15" hidden="1" customHeight="1" x14ac:dyDescent="0.15">
      <c r="A105" s="248" t="s">
        <v>371</v>
      </c>
      <c r="B105" s="249" t="s">
        <v>52</v>
      </c>
      <c r="C105" s="250" t="s">
        <v>327</v>
      </c>
      <c r="D105" s="248" t="s">
        <v>372</v>
      </c>
      <c r="E105" s="248" t="s">
        <v>262</v>
      </c>
      <c r="F105" s="193" t="s">
        <v>373</v>
      </c>
      <c r="G105" s="248" t="s">
        <v>365</v>
      </c>
      <c r="H105" s="190"/>
      <c r="I105" s="190"/>
      <c r="J105" s="190"/>
      <c r="K105" s="190"/>
      <c r="L105" s="190"/>
      <c r="M105" s="190"/>
      <c r="N105" s="190"/>
      <c r="O105" s="190"/>
      <c r="P105" s="190"/>
      <c r="Q105" s="190"/>
      <c r="R105" s="190"/>
      <c r="S105" s="190"/>
      <c r="T105" s="251">
        <f t="shared" ref="T105:AV105" si="6">+T40-T80</f>
        <v>967.57590270928222</v>
      </c>
      <c r="U105" s="251">
        <f t="shared" si="6"/>
        <v>949.20534536426112</v>
      </c>
      <c r="V105" s="251">
        <f t="shared" si="6"/>
        <v>947.65306393104049</v>
      </c>
      <c r="W105" s="251">
        <f t="shared" si="6"/>
        <v>911.85605417289116</v>
      </c>
      <c r="X105" s="251">
        <f t="shared" si="6"/>
        <v>840.99796944413515</v>
      </c>
      <c r="Y105" s="251">
        <f t="shared" si="6"/>
        <v>749.72302864337792</v>
      </c>
      <c r="Z105" s="251">
        <f t="shared" si="6"/>
        <v>678.70301148980923</v>
      </c>
      <c r="AA105" s="251">
        <f t="shared" si="6"/>
        <v>589.33722778261847</v>
      </c>
      <c r="AB105" s="251">
        <f t="shared" si="6"/>
        <v>507.15971842064937</v>
      </c>
      <c r="AC105" s="251">
        <f t="shared" si="6"/>
        <v>448.27641335164071</v>
      </c>
      <c r="AD105" s="251">
        <f t="shared" si="6"/>
        <v>399.70235434354578</v>
      </c>
      <c r="AE105" s="251">
        <f t="shared" si="6"/>
        <v>353.78646108387653</v>
      </c>
      <c r="AF105" s="251">
        <f t="shared" si="6"/>
        <v>305.18600810370964</v>
      </c>
      <c r="AG105" s="251">
        <f t="shared" si="6"/>
        <v>259.97121955553337</v>
      </c>
      <c r="AH105" s="251">
        <f t="shared" si="6"/>
        <v>201.99154808571927</v>
      </c>
      <c r="AI105" s="251">
        <f t="shared" si="6"/>
        <v>145.11617134466326</v>
      </c>
      <c r="AJ105" s="251">
        <f t="shared" si="6"/>
        <v>116.24426839883257</v>
      </c>
      <c r="AK105" s="251">
        <f t="shared" si="6"/>
        <v>85.593516541357232</v>
      </c>
      <c r="AL105" s="251">
        <f t="shared" si="6"/>
        <v>60.507927356302829</v>
      </c>
      <c r="AM105" s="251">
        <f t="shared" si="6"/>
        <v>52.010978086331043</v>
      </c>
      <c r="AN105" s="251">
        <f t="shared" si="6"/>
        <v>43.716995522476971</v>
      </c>
      <c r="AO105" s="251">
        <f t="shared" si="6"/>
        <v>35.721070725079599</v>
      </c>
      <c r="AP105" s="251">
        <f t="shared" si="6"/>
        <v>25.275594598757056</v>
      </c>
      <c r="AQ105" s="251">
        <f t="shared" si="6"/>
        <v>16.178818569239457</v>
      </c>
      <c r="AR105" s="251">
        <f t="shared" si="6"/>
        <v>13.897376233466032</v>
      </c>
      <c r="AS105" s="251">
        <f t="shared" si="6"/>
        <v>11.609254854056438</v>
      </c>
      <c r="AT105" s="251">
        <f t="shared" si="6"/>
        <v>9.3149231142693907</v>
      </c>
      <c r="AU105" s="251">
        <f t="shared" si="6"/>
        <v>7.0127772652830505</v>
      </c>
      <c r="AV105" s="251">
        <f t="shared" si="6"/>
        <v>4.7023637583079774</v>
      </c>
      <c r="AW105" s="251"/>
      <c r="AX105" s="251"/>
      <c r="AY105" s="251"/>
      <c r="AZ105" s="251"/>
      <c r="BA105" s="251"/>
      <c r="BB105" s="251"/>
      <c r="BC105" s="251"/>
      <c r="BD105" s="251"/>
      <c r="BE105" s="251"/>
      <c r="BF105" s="251"/>
    </row>
    <row r="106" spans="1:58" s="250" customFormat="1" ht="15" hidden="1" customHeight="1" x14ac:dyDescent="0.15">
      <c r="A106" s="248" t="s">
        <v>371</v>
      </c>
      <c r="B106" s="249" t="s">
        <v>52</v>
      </c>
      <c r="C106" s="250" t="s">
        <v>233</v>
      </c>
      <c r="D106" s="248" t="s">
        <v>372</v>
      </c>
      <c r="E106" s="248" t="s">
        <v>262</v>
      </c>
      <c r="F106" s="193" t="s">
        <v>373</v>
      </c>
      <c r="G106" s="248" t="s">
        <v>365</v>
      </c>
      <c r="H106" s="190"/>
      <c r="I106" s="190"/>
      <c r="J106" s="190"/>
      <c r="K106" s="190"/>
      <c r="L106" s="190"/>
      <c r="M106" s="190"/>
      <c r="N106" s="190"/>
      <c r="O106" s="190"/>
      <c r="P106" s="190"/>
      <c r="Q106" s="190"/>
      <c r="R106" s="190"/>
      <c r="S106" s="190"/>
      <c r="T106" s="251">
        <f t="shared" ref="T106:AV106" si="7">+T41-T81</f>
        <v>1126.990549533675</v>
      </c>
      <c r="U106" s="251">
        <f t="shared" si="7"/>
        <v>1112.9171425871023</v>
      </c>
      <c r="V106" s="251">
        <f t="shared" si="7"/>
        <v>1087.9823268766222</v>
      </c>
      <c r="W106" s="251">
        <f t="shared" si="7"/>
        <v>1039.4343228742066</v>
      </c>
      <c r="X106" s="251">
        <f t="shared" si="7"/>
        <v>993.79860401745429</v>
      </c>
      <c r="Y106" s="251">
        <f t="shared" si="7"/>
        <v>887.26590232105764</v>
      </c>
      <c r="Z106" s="251">
        <f t="shared" si="7"/>
        <v>810.55020967036853</v>
      </c>
      <c r="AA106" s="251">
        <f t="shared" si="7"/>
        <v>705.21887588690527</v>
      </c>
      <c r="AB106" s="251">
        <f t="shared" si="7"/>
        <v>604.38680302178852</v>
      </c>
      <c r="AC106" s="251">
        <f t="shared" si="7"/>
        <v>464.28011596381549</v>
      </c>
      <c r="AD106" s="251">
        <f t="shared" si="7"/>
        <v>360.79311228198054</v>
      </c>
      <c r="AE106" s="251">
        <f t="shared" si="7"/>
        <v>263.90149474264888</v>
      </c>
      <c r="AF106" s="251">
        <f t="shared" si="7"/>
        <v>191.21184997270717</v>
      </c>
      <c r="AG106" s="251">
        <f t="shared" si="7"/>
        <v>124.13210118946354</v>
      </c>
      <c r="AH106" s="251">
        <f t="shared" si="7"/>
        <v>100.61962428869681</v>
      </c>
      <c r="AI106" s="251">
        <f t="shared" si="7"/>
        <v>76.479756752706294</v>
      </c>
      <c r="AJ106" s="251">
        <f t="shared" si="7"/>
        <v>63.395113958963023</v>
      </c>
      <c r="AK106" s="251">
        <f t="shared" si="7"/>
        <v>49.260922406840287</v>
      </c>
      <c r="AL106" s="251">
        <f t="shared" si="7"/>
        <v>38.183244786142531</v>
      </c>
      <c r="AM106" s="251">
        <f t="shared" si="7"/>
        <v>34.950780060909089</v>
      </c>
      <c r="AN106" s="251">
        <f t="shared" si="7"/>
        <v>30.400304066130097</v>
      </c>
      <c r="AO106" s="251">
        <f t="shared" si="7"/>
        <v>25.991640294421678</v>
      </c>
      <c r="AP106" s="251">
        <f t="shared" si="7"/>
        <v>20.696838428824243</v>
      </c>
      <c r="AQ106" s="251">
        <f t="shared" si="7"/>
        <v>15.894603682353768</v>
      </c>
      <c r="AR106" s="251">
        <f t="shared" si="7"/>
        <v>13.617054840668795</v>
      </c>
      <c r="AS106" s="251">
        <f t="shared" si="7"/>
        <v>11.317767115521086</v>
      </c>
      <c r="AT106" s="251">
        <f t="shared" si="7"/>
        <v>9.0194717635743196</v>
      </c>
      <c r="AU106" s="251">
        <f t="shared" si="7"/>
        <v>6.718238007415434</v>
      </c>
      <c r="AV106" s="251">
        <f t="shared" si="7"/>
        <v>4.4163374209533242</v>
      </c>
      <c r="AW106" s="251"/>
      <c r="AX106" s="251"/>
      <c r="AY106" s="251"/>
      <c r="AZ106" s="251"/>
      <c r="BA106" s="251"/>
      <c r="BB106" s="251"/>
      <c r="BC106" s="251"/>
      <c r="BD106" s="251"/>
      <c r="BE106" s="251"/>
      <c r="BF106" s="251"/>
    </row>
    <row r="107" spans="1:58" s="250" customFormat="1" ht="15" hidden="1" customHeight="1" x14ac:dyDescent="0.15">
      <c r="A107" s="248" t="s">
        <v>371</v>
      </c>
      <c r="B107" s="249" t="s">
        <v>52</v>
      </c>
      <c r="C107" s="250" t="s">
        <v>326</v>
      </c>
      <c r="D107" s="248" t="s">
        <v>372</v>
      </c>
      <c r="E107" s="248" t="s">
        <v>262</v>
      </c>
      <c r="F107" s="193" t="s">
        <v>373</v>
      </c>
      <c r="G107" s="248" t="s">
        <v>329</v>
      </c>
      <c r="H107" s="190"/>
      <c r="I107" s="190"/>
      <c r="J107" s="190"/>
      <c r="K107" s="190"/>
      <c r="L107" s="190"/>
      <c r="M107" s="190"/>
      <c r="N107" s="190"/>
      <c r="O107" s="190"/>
      <c r="P107" s="190"/>
      <c r="Q107" s="190"/>
      <c r="R107" s="190"/>
      <c r="S107" s="190"/>
      <c r="T107" s="251">
        <f t="shared" ref="T107:AV107" si="8">+T50-T82</f>
        <v>852.41198062110084</v>
      </c>
      <c r="U107" s="251">
        <f t="shared" si="8"/>
        <v>841.98284149100039</v>
      </c>
      <c r="V107" s="251">
        <f t="shared" si="8"/>
        <v>828.13706286997683</v>
      </c>
      <c r="W107" s="251">
        <f t="shared" si="8"/>
        <v>789.08964452720818</v>
      </c>
      <c r="X107" s="251">
        <f t="shared" si="8"/>
        <v>745.91982474423071</v>
      </c>
      <c r="Y107" s="251">
        <f t="shared" si="8"/>
        <v>675.53929007347506</v>
      </c>
      <c r="Z107" s="251">
        <f t="shared" si="8"/>
        <v>608.75433582049152</v>
      </c>
      <c r="AA107" s="251">
        <f t="shared" si="8"/>
        <v>513.62066552830004</v>
      </c>
      <c r="AB107" s="251">
        <f t="shared" si="8"/>
        <v>424.4614386030417</v>
      </c>
      <c r="AC107" s="251">
        <f t="shared" si="8"/>
        <v>283.47543893701612</v>
      </c>
      <c r="AD107" s="251">
        <f t="shared" si="8"/>
        <v>193.77800617215146</v>
      </c>
      <c r="AE107" s="251">
        <f t="shared" si="8"/>
        <v>116.14373356243414</v>
      </c>
      <c r="AF107" s="251">
        <f t="shared" si="8"/>
        <v>68.004267178157917</v>
      </c>
      <c r="AG107" s="251">
        <f t="shared" si="8"/>
        <v>26.275693305993961</v>
      </c>
      <c r="AH107" s="251">
        <f t="shared" si="8"/>
        <v>23.984052353493233</v>
      </c>
      <c r="AI107" s="251">
        <f t="shared" si="8"/>
        <v>21.747655640257253</v>
      </c>
      <c r="AJ107" s="251">
        <f t="shared" si="8"/>
        <v>19.639054818780203</v>
      </c>
      <c r="AK107" s="251">
        <f t="shared" si="8"/>
        <v>17.538883651967705</v>
      </c>
      <c r="AL107" s="251">
        <f t="shared" si="8"/>
        <v>15.458133367336531</v>
      </c>
      <c r="AM107" s="251">
        <f t="shared" si="8"/>
        <v>14.133123394873669</v>
      </c>
      <c r="AN107" s="251">
        <f t="shared" si="8"/>
        <v>12.820020128736502</v>
      </c>
      <c r="AO107" s="251">
        <f t="shared" si="8"/>
        <v>11.514260414167987</v>
      </c>
      <c r="AP107" s="251">
        <f t="shared" si="8"/>
        <v>10.214735719866924</v>
      </c>
      <c r="AQ107" s="251">
        <f t="shared" si="8"/>
        <v>8.91643079219957</v>
      </c>
      <c r="AR107" s="251">
        <f t="shared" si="8"/>
        <v>7.6198070008846184</v>
      </c>
      <c r="AS107" s="251">
        <f t="shared" si="8"/>
        <v>6.3276019825920597</v>
      </c>
      <c r="AT107" s="251">
        <f t="shared" si="8"/>
        <v>5.0396523290516226</v>
      </c>
      <c r="AU107" s="251">
        <f t="shared" si="8"/>
        <v>3.7546360267097336</v>
      </c>
      <c r="AV107" s="251">
        <f t="shared" si="8"/>
        <v>2.4766265167028427</v>
      </c>
      <c r="AW107" s="251"/>
      <c r="AX107" s="251"/>
      <c r="AY107" s="251"/>
      <c r="AZ107" s="251"/>
      <c r="BA107" s="251"/>
      <c r="BB107" s="251"/>
      <c r="BC107" s="251"/>
      <c r="BD107" s="251"/>
      <c r="BE107" s="251"/>
      <c r="BF107" s="251"/>
    </row>
    <row r="108" spans="1:58" s="250" customFormat="1" ht="15" hidden="1" customHeight="1" x14ac:dyDescent="0.15">
      <c r="A108" s="248" t="s">
        <v>371</v>
      </c>
      <c r="B108" s="249" t="s">
        <v>52</v>
      </c>
      <c r="C108" s="250" t="s">
        <v>413</v>
      </c>
      <c r="D108" s="248" t="s">
        <v>372</v>
      </c>
      <c r="E108" s="248" t="s">
        <v>262</v>
      </c>
      <c r="F108" s="193" t="s">
        <v>373</v>
      </c>
      <c r="G108" s="248" t="s">
        <v>329</v>
      </c>
      <c r="H108" s="190"/>
      <c r="I108" s="190"/>
      <c r="J108" s="190"/>
      <c r="K108" s="190"/>
      <c r="L108" s="190"/>
      <c r="M108" s="190"/>
      <c r="N108" s="190"/>
      <c r="O108" s="190"/>
      <c r="P108" s="190"/>
      <c r="Q108" s="190"/>
      <c r="R108" s="190"/>
      <c r="S108" s="190"/>
      <c r="T108" s="251">
        <f t="shared" ref="T108:AV108" si="9">+T51-T83</f>
        <v>583.56309700126224</v>
      </c>
      <c r="U108" s="251">
        <f t="shared" si="9"/>
        <v>578.05948826885697</v>
      </c>
      <c r="V108" s="251">
        <f t="shared" si="9"/>
        <v>572.62495148322637</v>
      </c>
      <c r="W108" s="251">
        <f t="shared" si="9"/>
        <v>536.97009322727217</v>
      </c>
      <c r="X108" s="251">
        <f t="shared" si="9"/>
        <v>497.11549632073076</v>
      </c>
      <c r="Y108" s="251">
        <f t="shared" si="9"/>
        <v>457.08235351789278</v>
      </c>
      <c r="Z108" s="251">
        <f t="shared" si="9"/>
        <v>415.04151444776403</v>
      </c>
      <c r="AA108" s="251">
        <f t="shared" si="9"/>
        <v>359.94297211364926</v>
      </c>
      <c r="AB108" s="251">
        <f t="shared" si="9"/>
        <v>303.43183739102079</v>
      </c>
      <c r="AC108" s="251">
        <f t="shared" si="9"/>
        <v>217.57098193134397</v>
      </c>
      <c r="AD108" s="251">
        <f t="shared" si="9"/>
        <v>158.34167201210315</v>
      </c>
      <c r="AE108" s="251">
        <f t="shared" si="9"/>
        <v>102.03691571825746</v>
      </c>
      <c r="AF108" s="251">
        <f t="shared" si="9"/>
        <v>66.438301190407145</v>
      </c>
      <c r="AG108" s="251">
        <f t="shared" si="9"/>
        <v>34.475766663548782</v>
      </c>
      <c r="AH108" s="251">
        <f t="shared" si="9"/>
        <v>28.350262034055323</v>
      </c>
      <c r="AI108" s="251">
        <f t="shared" si="9"/>
        <v>24.254140885739375</v>
      </c>
      <c r="AJ108" s="251">
        <f t="shared" si="9"/>
        <v>21.877781816557434</v>
      </c>
      <c r="AK108" s="251">
        <f t="shared" si="9"/>
        <v>18.060000336947919</v>
      </c>
      <c r="AL108" s="251">
        <f t="shared" si="9"/>
        <v>15.863725674373562</v>
      </c>
      <c r="AM108" s="251">
        <f t="shared" si="9"/>
        <v>14.498015636547191</v>
      </c>
      <c r="AN108" s="251">
        <f t="shared" si="9"/>
        <v>13.145098242617703</v>
      </c>
      <c r="AO108" s="251">
        <f t="shared" si="9"/>
        <v>11.800027437186925</v>
      </c>
      <c r="AP108" s="251">
        <f t="shared" si="9"/>
        <v>10.461571756874459</v>
      </c>
      <c r="AQ108" s="251">
        <f t="shared" si="9"/>
        <v>9.1243924532371601</v>
      </c>
      <c r="AR108" s="251">
        <f t="shared" si="9"/>
        <v>7.7890306234749014</v>
      </c>
      <c r="AS108" s="251">
        <f t="shared" si="9"/>
        <v>6.458376973250946</v>
      </c>
      <c r="AT108" s="251">
        <f t="shared" si="9"/>
        <v>5.1322520358370349</v>
      </c>
      <c r="AU108" s="251">
        <f t="shared" si="9"/>
        <v>3.8093350723371788</v>
      </c>
      <c r="AV108" s="251">
        <f t="shared" si="9"/>
        <v>2.4936721668589703</v>
      </c>
      <c r="AW108" s="251"/>
      <c r="AX108" s="251"/>
      <c r="AY108" s="251"/>
      <c r="AZ108" s="251"/>
      <c r="BA108" s="251"/>
      <c r="BB108" s="251"/>
      <c r="BC108" s="251"/>
      <c r="BD108" s="251"/>
      <c r="BE108" s="251"/>
      <c r="BF108" s="251"/>
    </row>
    <row r="109" spans="1:58" s="250" customFormat="1" ht="15" hidden="1" customHeight="1" x14ac:dyDescent="0.15">
      <c r="A109" s="248" t="s">
        <v>371</v>
      </c>
      <c r="B109" s="249" t="s">
        <v>52</v>
      </c>
      <c r="C109" s="250" t="s">
        <v>327</v>
      </c>
      <c r="D109" s="248" t="s">
        <v>372</v>
      </c>
      <c r="E109" s="248" t="s">
        <v>262</v>
      </c>
      <c r="F109" s="193" t="s">
        <v>373</v>
      </c>
      <c r="G109" s="248" t="s">
        <v>329</v>
      </c>
      <c r="H109" s="190"/>
      <c r="I109" s="190"/>
      <c r="J109" s="190"/>
      <c r="K109" s="190"/>
      <c r="L109" s="190"/>
      <c r="M109" s="190"/>
      <c r="N109" s="190"/>
      <c r="O109" s="190"/>
      <c r="P109" s="190"/>
      <c r="Q109" s="190"/>
      <c r="R109" s="190"/>
      <c r="S109" s="190"/>
      <c r="T109" s="251">
        <f t="shared" ref="T109:AV109" si="10">+T52-T84</f>
        <v>686.60139937456984</v>
      </c>
      <c r="U109" s="251">
        <f t="shared" si="10"/>
        <v>683.8678251824158</v>
      </c>
      <c r="V109" s="251">
        <f t="shared" si="10"/>
        <v>691.17512643291047</v>
      </c>
      <c r="W109" s="251">
        <f t="shared" si="10"/>
        <v>652.06910963514486</v>
      </c>
      <c r="X109" s="251">
        <f t="shared" si="10"/>
        <v>607.63057802664139</v>
      </c>
      <c r="Y109" s="251">
        <f t="shared" si="10"/>
        <v>565.68707155026732</v>
      </c>
      <c r="Z109" s="251">
        <f t="shared" si="10"/>
        <v>524.50135866706034</v>
      </c>
      <c r="AA109" s="251">
        <f t="shared" si="10"/>
        <v>474.90643101527689</v>
      </c>
      <c r="AB109" s="251">
        <f t="shared" si="10"/>
        <v>428.12910510926343</v>
      </c>
      <c r="AC109" s="251">
        <f t="shared" si="10"/>
        <v>375.6892079207276</v>
      </c>
      <c r="AD109" s="251">
        <f t="shared" si="10"/>
        <v>333.24935565193857</v>
      </c>
      <c r="AE109" s="251">
        <f t="shared" si="10"/>
        <v>293.7154889384264</v>
      </c>
      <c r="AF109" s="251">
        <f t="shared" si="10"/>
        <v>249.24778969245742</v>
      </c>
      <c r="AG109" s="251">
        <f t="shared" si="10"/>
        <v>208.70674972310769</v>
      </c>
      <c r="AH109" s="251">
        <f t="shared" si="10"/>
        <v>156.45472985839041</v>
      </c>
      <c r="AI109" s="251">
        <f t="shared" si="10"/>
        <v>107.46754173097744</v>
      </c>
      <c r="AJ109" s="251">
        <f t="shared" si="10"/>
        <v>83.534343961546995</v>
      </c>
      <c r="AK109" s="251">
        <f t="shared" si="10"/>
        <v>60.825505717229476</v>
      </c>
      <c r="AL109" s="251">
        <f t="shared" si="10"/>
        <v>40.94859507218144</v>
      </c>
      <c r="AM109" s="251">
        <f t="shared" si="10"/>
        <v>34.238305604627143</v>
      </c>
      <c r="AN109" s="251">
        <f t="shared" si="10"/>
        <v>27.56943257647875</v>
      </c>
      <c r="AO109" s="251">
        <f t="shared" si="10"/>
        <v>21.514734019811698</v>
      </c>
      <c r="AP109" s="251">
        <f t="shared" si="10"/>
        <v>15.276712941818467</v>
      </c>
      <c r="AQ109" s="251">
        <f t="shared" si="10"/>
        <v>9.7076964683213003</v>
      </c>
      <c r="AR109" s="251">
        <f t="shared" si="10"/>
        <v>8.3256111624236944</v>
      </c>
      <c r="AS109" s="251">
        <f t="shared" si="10"/>
        <v>6.945197154126391</v>
      </c>
      <c r="AT109" s="251">
        <f t="shared" si="10"/>
        <v>5.565607102527343</v>
      </c>
      <c r="AU109" s="251">
        <f t="shared" si="10"/>
        <v>4.1875921461163292</v>
      </c>
      <c r="AV109" s="251">
        <f t="shared" si="10"/>
        <v>2.8119552734951672</v>
      </c>
      <c r="AW109" s="251"/>
      <c r="AX109" s="251"/>
      <c r="AY109" s="251"/>
      <c r="AZ109" s="251"/>
      <c r="BA109" s="251"/>
      <c r="BB109" s="251"/>
      <c r="BC109" s="251"/>
      <c r="BD109" s="251"/>
      <c r="BE109" s="251"/>
      <c r="BF109" s="251"/>
    </row>
    <row r="110" spans="1:58" s="250" customFormat="1" ht="15" hidden="1" customHeight="1" x14ac:dyDescent="0.15">
      <c r="A110" s="248" t="s">
        <v>371</v>
      </c>
      <c r="B110" s="249" t="s">
        <v>52</v>
      </c>
      <c r="C110" s="250" t="s">
        <v>233</v>
      </c>
      <c r="D110" s="248" t="s">
        <v>372</v>
      </c>
      <c r="E110" s="248" t="s">
        <v>262</v>
      </c>
      <c r="F110" s="193" t="s">
        <v>373</v>
      </c>
      <c r="G110" s="248" t="s">
        <v>329</v>
      </c>
      <c r="H110" s="190"/>
      <c r="I110" s="190"/>
      <c r="J110" s="190"/>
      <c r="K110" s="190"/>
      <c r="L110" s="190"/>
      <c r="M110" s="190"/>
      <c r="N110" s="190"/>
      <c r="O110" s="190"/>
      <c r="P110" s="190"/>
      <c r="Q110" s="190"/>
      <c r="R110" s="190"/>
      <c r="S110" s="190"/>
      <c r="T110" s="251">
        <f t="shared" ref="T110:AV110" si="11">+T53-T85</f>
        <v>724.60487080925304</v>
      </c>
      <c r="U110" s="251">
        <f t="shared" si="11"/>
        <v>718.46222417954527</v>
      </c>
      <c r="V110" s="251">
        <f t="shared" si="11"/>
        <v>705.42729323750984</v>
      </c>
      <c r="W110" s="251">
        <f t="shared" si="11"/>
        <v>676.32620584555923</v>
      </c>
      <c r="X110" s="251">
        <f t="shared" si="11"/>
        <v>631.73784620023275</v>
      </c>
      <c r="Y110" s="251">
        <f t="shared" si="11"/>
        <v>580.32706004385864</v>
      </c>
      <c r="Z110" s="251">
        <f t="shared" si="11"/>
        <v>529.40393579901456</v>
      </c>
      <c r="AA110" s="251">
        <f t="shared" si="11"/>
        <v>460.77048561902387</v>
      </c>
      <c r="AB110" s="251">
        <f t="shared" si="11"/>
        <v>395.15563988427073</v>
      </c>
      <c r="AC110" s="251">
        <f t="shared" si="11"/>
        <v>307.9536642830376</v>
      </c>
      <c r="AD110" s="251">
        <f t="shared" si="11"/>
        <v>245.62340862689771</v>
      </c>
      <c r="AE110" s="251">
        <f t="shared" si="11"/>
        <v>189.87541681549231</v>
      </c>
      <c r="AF110" s="251">
        <f t="shared" si="11"/>
        <v>146.21533928601011</v>
      </c>
      <c r="AG110" s="251">
        <f t="shared" si="11"/>
        <v>106.19824117121944</v>
      </c>
      <c r="AH110" s="251">
        <f t="shared" si="11"/>
        <v>80.905527364017075</v>
      </c>
      <c r="AI110" s="251">
        <f t="shared" si="11"/>
        <v>58.240728904200161</v>
      </c>
      <c r="AJ110" s="251">
        <f t="shared" si="11"/>
        <v>46.887244986988314</v>
      </c>
      <c r="AK110" s="251">
        <f t="shared" si="11"/>
        <v>35.869399434212575</v>
      </c>
      <c r="AL110" s="251">
        <f t="shared" si="11"/>
        <v>26.349304252696967</v>
      </c>
      <c r="AM110" s="251">
        <f t="shared" si="11"/>
        <v>22.856810538207597</v>
      </c>
      <c r="AN110" s="251">
        <f t="shared" si="11"/>
        <v>19.239480995533874</v>
      </c>
      <c r="AO110" s="251">
        <f t="shared" si="11"/>
        <v>15.893470341287459</v>
      </c>
      <c r="AP110" s="251">
        <f t="shared" si="11"/>
        <v>12.460727617004462</v>
      </c>
      <c r="AQ110" s="251">
        <f t="shared" si="11"/>
        <v>9.3273220376262671</v>
      </c>
      <c r="AR110" s="251">
        <f t="shared" si="11"/>
        <v>7.9806734905412</v>
      </c>
      <c r="AS110" s="251">
        <f t="shared" si="11"/>
        <v>6.6384386562289723</v>
      </c>
      <c r="AT110" s="251">
        <f t="shared" si="11"/>
        <v>5.2993306076761</v>
      </c>
      <c r="AU110" s="251">
        <f t="shared" si="11"/>
        <v>3.9628750751786259</v>
      </c>
      <c r="AV110" s="251">
        <f t="shared" si="11"/>
        <v>2.6311801891931506</v>
      </c>
      <c r="AW110" s="251"/>
      <c r="AX110" s="251"/>
      <c r="AY110" s="251"/>
      <c r="AZ110" s="251"/>
      <c r="BA110" s="251"/>
      <c r="BB110" s="251"/>
      <c r="BC110" s="251"/>
      <c r="BD110" s="251"/>
      <c r="BE110" s="251"/>
      <c r="BF110" s="251"/>
    </row>
    <row r="111" spans="1:58" s="250" customFormat="1" ht="15" hidden="1" customHeight="1" x14ac:dyDescent="0.15">
      <c r="A111" s="248" t="s">
        <v>371</v>
      </c>
      <c r="B111" s="249" t="s">
        <v>52</v>
      </c>
      <c r="C111" s="250" t="s">
        <v>326</v>
      </c>
      <c r="D111" s="248" t="s">
        <v>372</v>
      </c>
      <c r="E111" s="248" t="s">
        <v>262</v>
      </c>
      <c r="F111" s="193" t="s">
        <v>373</v>
      </c>
      <c r="G111" s="248" t="s">
        <v>330</v>
      </c>
      <c r="H111" s="190"/>
      <c r="I111" s="190"/>
      <c r="J111" s="190"/>
      <c r="K111" s="190"/>
      <c r="L111" s="190"/>
      <c r="M111" s="190"/>
      <c r="N111" s="190"/>
      <c r="O111" s="190"/>
      <c r="P111" s="190"/>
      <c r="Q111" s="190"/>
      <c r="R111" s="190"/>
      <c r="S111" s="190"/>
      <c r="T111" s="251">
        <f>+T66-T86</f>
        <v>972.73763364726756</v>
      </c>
      <c r="U111" s="251">
        <f t="shared" ref="U111:AV114" si="12">+U66-U86</f>
        <v>965.32726329446598</v>
      </c>
      <c r="V111" s="251">
        <f t="shared" si="12"/>
        <v>955.13515457281835</v>
      </c>
      <c r="W111" s="251">
        <f t="shared" si="12"/>
        <v>878.95117651996895</v>
      </c>
      <c r="X111" s="251">
        <f t="shared" si="12"/>
        <v>805.12631071973783</v>
      </c>
      <c r="Y111" s="251">
        <f t="shared" si="12"/>
        <v>728.39588326779074</v>
      </c>
      <c r="Z111" s="251">
        <f t="shared" si="12"/>
        <v>656.26157210587132</v>
      </c>
      <c r="AA111" s="251">
        <f t="shared" si="12"/>
        <v>554.2763894404344</v>
      </c>
      <c r="AB111" s="251">
        <f t="shared" si="12"/>
        <v>459.01895086757213</v>
      </c>
      <c r="AC111" s="251">
        <f t="shared" si="12"/>
        <v>308.34296659970602</v>
      </c>
      <c r="AD111" s="251">
        <f t="shared" si="12"/>
        <v>211.99414949412122</v>
      </c>
      <c r="AE111" s="251">
        <f t="shared" si="12"/>
        <v>128.04197392156365</v>
      </c>
      <c r="AF111" s="251">
        <f t="shared" si="12"/>
        <v>75.551103219410251</v>
      </c>
      <c r="AG111" s="251">
        <f t="shared" si="12"/>
        <v>30.142031513649869</v>
      </c>
      <c r="AH111" s="251">
        <f t="shared" si="12"/>
        <v>27.50383175838326</v>
      </c>
      <c r="AI111" s="251">
        <f t="shared" si="12"/>
        <v>24.950988894159863</v>
      </c>
      <c r="AJ111" s="251">
        <f t="shared" si="12"/>
        <v>22.548873368728856</v>
      </c>
      <c r="AK111" s="251">
        <f t="shared" si="12"/>
        <v>20.145962629026275</v>
      </c>
      <c r="AL111" s="251">
        <f t="shared" si="12"/>
        <v>17.774865678464909</v>
      </c>
      <c r="AM111" s="251">
        <f t="shared" si="12"/>
        <v>16.244270628609247</v>
      </c>
      <c r="AN111" s="251">
        <f t="shared" si="12"/>
        <v>14.734483797045334</v>
      </c>
      <c r="AO111" s="251">
        <f t="shared" si="12"/>
        <v>13.238803031956984</v>
      </c>
      <c r="AP111" s="251">
        <f t="shared" si="12"/>
        <v>11.754550699534732</v>
      </c>
      <c r="AQ111" s="251">
        <f t="shared" si="12"/>
        <v>10.272341772646282</v>
      </c>
      <c r="AR111" s="251">
        <f t="shared" si="12"/>
        <v>8.7930949032523493</v>
      </c>
      <c r="AS111" s="251">
        <f t="shared" si="12"/>
        <v>7.3219514441808933</v>
      </c>
      <c r="AT111" s="251">
        <f t="shared" si="12"/>
        <v>5.8586037954942078</v>
      </c>
      <c r="AU111" s="251">
        <f t="shared" si="12"/>
        <v>4.400629236387795</v>
      </c>
      <c r="AV111" s="251">
        <f t="shared" si="12"/>
        <v>2.955489709259326</v>
      </c>
      <c r="AW111" s="251"/>
      <c r="AX111" s="251"/>
      <c r="AY111" s="251"/>
      <c r="AZ111" s="251"/>
      <c r="BA111" s="251"/>
      <c r="BB111" s="251"/>
      <c r="BC111" s="251"/>
      <c r="BD111" s="251"/>
      <c r="BE111" s="251"/>
      <c r="BF111" s="251"/>
    </row>
    <row r="112" spans="1:58" s="250" customFormat="1" ht="15" hidden="1" customHeight="1" x14ac:dyDescent="0.15">
      <c r="A112" s="248" t="s">
        <v>371</v>
      </c>
      <c r="B112" s="249" t="s">
        <v>52</v>
      </c>
      <c r="C112" s="250" t="s">
        <v>413</v>
      </c>
      <c r="D112" s="248" t="s">
        <v>372</v>
      </c>
      <c r="E112" s="248" t="s">
        <v>262</v>
      </c>
      <c r="F112" s="193" t="s">
        <v>373</v>
      </c>
      <c r="G112" s="248" t="s">
        <v>330</v>
      </c>
      <c r="H112" s="190"/>
      <c r="I112" s="190"/>
      <c r="J112" s="190"/>
      <c r="K112" s="190"/>
      <c r="L112" s="190"/>
      <c r="M112" s="190"/>
      <c r="N112" s="190"/>
      <c r="O112" s="190"/>
      <c r="P112" s="190"/>
      <c r="Q112" s="190"/>
      <c r="R112" s="190"/>
      <c r="S112" s="190"/>
      <c r="T112" s="251">
        <f t="shared" ref="T112:AI114" si="13">+T67-T87</f>
        <v>937.72325476921014</v>
      </c>
      <c r="U112" s="251">
        <f t="shared" si="13"/>
        <v>930.62279665387484</v>
      </c>
      <c r="V112" s="251">
        <f t="shared" si="13"/>
        <v>921.51331976157155</v>
      </c>
      <c r="W112" s="251">
        <f t="shared" si="13"/>
        <v>865.78028743269965</v>
      </c>
      <c r="X112" s="251">
        <f t="shared" si="13"/>
        <v>809.89955940785194</v>
      </c>
      <c r="Y112" s="251">
        <f t="shared" si="13"/>
        <v>738.6264022340572</v>
      </c>
      <c r="Z112" s="251">
        <f t="shared" si="13"/>
        <v>667.37996801721818</v>
      </c>
      <c r="AA112" s="251">
        <f t="shared" si="13"/>
        <v>571.15919927245807</v>
      </c>
      <c r="AB112" s="251">
        <f t="shared" si="13"/>
        <v>476.7012261079397</v>
      </c>
      <c r="AC112" s="251">
        <f t="shared" si="13"/>
        <v>330.63849720310714</v>
      </c>
      <c r="AD112" s="251">
        <f t="shared" si="13"/>
        <v>234.3855495537627</v>
      </c>
      <c r="AE112" s="251">
        <f t="shared" si="13"/>
        <v>144.22385247579149</v>
      </c>
      <c r="AF112" s="251">
        <f t="shared" si="13"/>
        <v>88.886246098652791</v>
      </c>
      <c r="AG112" s="251">
        <f t="shared" si="13"/>
        <v>39.209329672322525</v>
      </c>
      <c r="AH112" s="251">
        <f t="shared" si="13"/>
        <v>32.472218159516252</v>
      </c>
      <c r="AI112" s="251">
        <f t="shared" si="13"/>
        <v>27.887912930255599</v>
      </c>
      <c r="AJ112" s="251">
        <f t="shared" si="12"/>
        <v>25.139952312048994</v>
      </c>
      <c r="AK112" s="251">
        <f t="shared" si="12"/>
        <v>20.85953735083265</v>
      </c>
      <c r="AL112" s="251">
        <f t="shared" si="12"/>
        <v>18.326985945940454</v>
      </c>
      <c r="AM112" s="251">
        <f t="shared" si="12"/>
        <v>16.740742246570122</v>
      </c>
      <c r="AN112" s="251">
        <f t="shared" si="12"/>
        <v>15.177222217151522</v>
      </c>
      <c r="AO112" s="251">
        <f t="shared" si="12"/>
        <v>13.627791112879132</v>
      </c>
      <c r="AP112" s="251">
        <f t="shared" si="12"/>
        <v>12.09032029344135</v>
      </c>
      <c r="AQ112" s="251">
        <f t="shared" si="12"/>
        <v>10.554970832089195</v>
      </c>
      <c r="AR112" s="251">
        <f t="shared" si="12"/>
        <v>9.0227722054491455</v>
      </c>
      <c r="AS112" s="251">
        <f t="shared" si="12"/>
        <v>7.4990769961824473</v>
      </c>
      <c r="AT112" s="251">
        <f t="shared" si="12"/>
        <v>5.9835553402891763</v>
      </c>
      <c r="AU112" s="251">
        <f t="shared" si="12"/>
        <v>4.4737874020912987</v>
      </c>
      <c r="AV112" s="251">
        <f t="shared" si="12"/>
        <v>2.9771935511800036</v>
      </c>
      <c r="AW112" s="251"/>
      <c r="AX112" s="251"/>
      <c r="AY112" s="251"/>
      <c r="AZ112" s="251"/>
      <c r="BA112" s="251"/>
      <c r="BB112" s="251"/>
      <c r="BC112" s="251"/>
      <c r="BD112" s="251"/>
      <c r="BE112" s="251"/>
      <c r="BF112" s="251"/>
    </row>
    <row r="113" spans="1:58" s="250" customFormat="1" ht="15" hidden="1" customHeight="1" x14ac:dyDescent="0.15">
      <c r="A113" s="248" t="s">
        <v>371</v>
      </c>
      <c r="B113" s="249" t="s">
        <v>52</v>
      </c>
      <c r="C113" s="250" t="s">
        <v>327</v>
      </c>
      <c r="D113" s="248" t="s">
        <v>372</v>
      </c>
      <c r="E113" s="248" t="s">
        <v>262</v>
      </c>
      <c r="F113" s="193" t="s">
        <v>373</v>
      </c>
      <c r="G113" s="248" t="s">
        <v>330</v>
      </c>
      <c r="H113" s="190"/>
      <c r="I113" s="190"/>
      <c r="J113" s="190"/>
      <c r="K113" s="190"/>
      <c r="L113" s="190"/>
      <c r="M113" s="190"/>
      <c r="N113" s="190"/>
      <c r="O113" s="190"/>
      <c r="P113" s="190"/>
      <c r="Q113" s="190"/>
      <c r="R113" s="190"/>
      <c r="S113" s="190"/>
      <c r="T113" s="251">
        <f t="shared" si="13"/>
        <v>972.32529038057385</v>
      </c>
      <c r="U113" s="251">
        <f t="shared" si="12"/>
        <v>967.98550782918301</v>
      </c>
      <c r="V113" s="251">
        <f t="shared" si="12"/>
        <v>955.55000196362948</v>
      </c>
      <c r="W113" s="251">
        <f t="shared" si="12"/>
        <v>906.94294939709164</v>
      </c>
      <c r="X113" s="251">
        <f t="shared" si="12"/>
        <v>862.5088488380859</v>
      </c>
      <c r="Y113" s="251">
        <f t="shared" si="12"/>
        <v>818.06559269299089</v>
      </c>
      <c r="Z113" s="251">
        <f t="shared" si="12"/>
        <v>775.31974839894303</v>
      </c>
      <c r="AA113" s="251">
        <f t="shared" si="12"/>
        <v>731.86189952089308</v>
      </c>
      <c r="AB113" s="251">
        <f t="shared" si="12"/>
        <v>690.65599340964036</v>
      </c>
      <c r="AC113" s="251">
        <f t="shared" si="12"/>
        <v>634.13523718803719</v>
      </c>
      <c r="AD113" s="251">
        <f t="shared" si="12"/>
        <v>583.4854109874484</v>
      </c>
      <c r="AE113" s="251">
        <f t="shared" si="12"/>
        <v>535.50971622343559</v>
      </c>
      <c r="AF113" s="251">
        <f t="shared" si="12"/>
        <v>492.93347002781496</v>
      </c>
      <c r="AG113" s="251">
        <f t="shared" si="12"/>
        <v>433.36344033333597</v>
      </c>
      <c r="AH113" s="251">
        <f t="shared" si="12"/>
        <v>381.88378428065977</v>
      </c>
      <c r="AI113" s="251">
        <f t="shared" si="12"/>
        <v>333.39175382178234</v>
      </c>
      <c r="AJ113" s="251">
        <f t="shared" si="12"/>
        <v>288.86525122301748</v>
      </c>
      <c r="AK113" s="251">
        <f t="shared" si="12"/>
        <v>247.30723610581899</v>
      </c>
      <c r="AL113" s="251">
        <f t="shared" si="12"/>
        <v>209.15150739871279</v>
      </c>
      <c r="AM113" s="251">
        <f t="shared" si="12"/>
        <v>136.75563653736552</v>
      </c>
      <c r="AN113" s="251">
        <f t="shared" si="12"/>
        <v>69.047198286665449</v>
      </c>
      <c r="AO113" s="251">
        <f t="shared" si="12"/>
        <v>48.680529981739674</v>
      </c>
      <c r="AP113" s="251">
        <f t="shared" si="12"/>
        <v>29.190159512875141</v>
      </c>
      <c r="AQ113" s="251">
        <f t="shared" si="12"/>
        <v>11.72190056325339</v>
      </c>
      <c r="AR113" s="251">
        <f t="shared" si="12"/>
        <v>10.082031201782145</v>
      </c>
      <c r="AS113" s="251">
        <f t="shared" si="12"/>
        <v>8.4458863571839426</v>
      </c>
      <c r="AT113" s="251">
        <f t="shared" si="12"/>
        <v>6.8117964982892518</v>
      </c>
      <c r="AU113" s="251">
        <f t="shared" si="12"/>
        <v>5.1813310437767095</v>
      </c>
      <c r="AV113" s="251">
        <f t="shared" si="12"/>
        <v>3.5560732049077588</v>
      </c>
      <c r="AW113" s="251"/>
      <c r="AX113" s="251"/>
      <c r="AY113" s="251"/>
      <c r="AZ113" s="251"/>
      <c r="BA113" s="251"/>
      <c r="BB113" s="251"/>
      <c r="BC113" s="251"/>
      <c r="BD113" s="251"/>
      <c r="BE113" s="251"/>
      <c r="BF113" s="251"/>
    </row>
    <row r="114" spans="1:58" s="250" customFormat="1" ht="15" hidden="1" customHeight="1" x14ac:dyDescent="0.15">
      <c r="A114" s="248" t="s">
        <v>371</v>
      </c>
      <c r="B114" s="249" t="s">
        <v>52</v>
      </c>
      <c r="C114" s="250" t="s">
        <v>233</v>
      </c>
      <c r="D114" s="248" t="s">
        <v>372</v>
      </c>
      <c r="E114" s="248" t="s">
        <v>262</v>
      </c>
      <c r="F114" s="193" t="s">
        <v>373</v>
      </c>
      <c r="G114" s="248" t="s">
        <v>330</v>
      </c>
      <c r="H114" s="190"/>
      <c r="I114" s="190"/>
      <c r="J114" s="190"/>
      <c r="K114" s="190"/>
      <c r="L114" s="190"/>
      <c r="M114" s="190"/>
      <c r="N114" s="190"/>
      <c r="O114" s="190"/>
      <c r="P114" s="190"/>
      <c r="Q114" s="190"/>
      <c r="R114" s="190"/>
      <c r="S114" s="190"/>
      <c r="T114" s="251">
        <f t="shared" si="13"/>
        <v>971.05557213883617</v>
      </c>
      <c r="U114" s="251">
        <f t="shared" si="12"/>
        <v>964.27583486346953</v>
      </c>
      <c r="V114" s="251">
        <f t="shared" si="12"/>
        <v>949.58321234008588</v>
      </c>
      <c r="W114" s="251">
        <f t="shared" si="12"/>
        <v>886.820489218239</v>
      </c>
      <c r="X114" s="251">
        <f t="shared" si="12"/>
        <v>824.79309824297491</v>
      </c>
      <c r="Y114" s="251">
        <f t="shared" si="12"/>
        <v>758.13430315533049</v>
      </c>
      <c r="Z114" s="251">
        <f t="shared" si="12"/>
        <v>694.71687029637405</v>
      </c>
      <c r="AA114" s="251">
        <f t="shared" si="12"/>
        <v>611.11985368258183</v>
      </c>
      <c r="AB114" s="251">
        <f t="shared" si="12"/>
        <v>532.8337367818948</v>
      </c>
      <c r="AC114" s="251">
        <f t="shared" si="12"/>
        <v>421.17112437924482</v>
      </c>
      <c r="AD114" s="251">
        <f t="shared" si="12"/>
        <v>341.77506314325268</v>
      </c>
      <c r="AE114" s="251">
        <f t="shared" si="12"/>
        <v>269.81667642472041</v>
      </c>
      <c r="AF114" s="251">
        <f t="shared" si="12"/>
        <v>219.50043652374086</v>
      </c>
      <c r="AG114" s="251">
        <f t="shared" si="12"/>
        <v>166.93218978018433</v>
      </c>
      <c r="AH114" s="251">
        <f t="shared" si="12"/>
        <v>145.21181304078769</v>
      </c>
      <c r="AI114" s="251">
        <f t="shared" si="12"/>
        <v>125.75860107414941</v>
      </c>
      <c r="AJ114" s="251">
        <f t="shared" si="12"/>
        <v>109.02572284130515</v>
      </c>
      <c r="AK114" s="251">
        <f t="shared" si="12"/>
        <v>93.656379604063375</v>
      </c>
      <c r="AL114" s="251">
        <f t="shared" si="12"/>
        <v>80.052560966663478</v>
      </c>
      <c r="AM114" s="251">
        <f t="shared" si="12"/>
        <v>57.172955769464245</v>
      </c>
      <c r="AN114" s="251">
        <f t="shared" si="12"/>
        <v>33.421591091826286</v>
      </c>
      <c r="AO114" s="251">
        <f t="shared" si="12"/>
        <v>25.548985611391426</v>
      </c>
      <c r="AP114" s="251">
        <f t="shared" si="12"/>
        <v>17.894625354143205</v>
      </c>
      <c r="AQ114" s="251">
        <f t="shared" si="12"/>
        <v>10.903710944877208</v>
      </c>
      <c r="AR114" s="251">
        <f t="shared" si="12"/>
        <v>9.3475370845115702</v>
      </c>
      <c r="AS114" s="251">
        <f t="shared" si="12"/>
        <v>7.7979939546593044</v>
      </c>
      <c r="AT114" s="251">
        <f t="shared" si="12"/>
        <v>6.2540408660838125</v>
      </c>
      <c r="AU114" s="251">
        <f t="shared" si="12"/>
        <v>4.7147613848785435</v>
      </c>
      <c r="AV114" s="251">
        <f t="shared" si="12"/>
        <v>3.1851977529870292</v>
      </c>
      <c r="AW114" s="251"/>
      <c r="AX114" s="251"/>
      <c r="AY114" s="251"/>
      <c r="AZ114" s="251"/>
      <c r="BA114" s="251"/>
      <c r="BB114" s="251"/>
      <c r="BC114" s="251"/>
      <c r="BD114" s="251"/>
      <c r="BE114" s="251"/>
      <c r="BF114" s="251"/>
    </row>
    <row r="115" spans="1:58" s="250" customFormat="1" ht="15" hidden="1" customHeight="1" x14ac:dyDescent="0.15">
      <c r="A115" s="248" t="s">
        <v>371</v>
      </c>
      <c r="B115" s="249" t="s">
        <v>52</v>
      </c>
      <c r="C115" s="250" t="s">
        <v>326</v>
      </c>
      <c r="D115" s="248" t="s">
        <v>372</v>
      </c>
      <c r="E115" s="248" t="s">
        <v>262</v>
      </c>
      <c r="F115" s="193" t="s">
        <v>373</v>
      </c>
      <c r="G115" s="248" t="s">
        <v>364</v>
      </c>
      <c r="H115" s="190"/>
      <c r="I115" s="190"/>
      <c r="J115" s="190"/>
      <c r="K115" s="190"/>
      <c r="L115" s="190"/>
      <c r="M115" s="190"/>
      <c r="N115" s="190"/>
      <c r="O115" s="190"/>
      <c r="P115" s="190"/>
      <c r="Q115" s="190"/>
      <c r="R115" s="190"/>
      <c r="S115" s="190"/>
      <c r="T115" s="251">
        <f>+T2-T90</f>
        <v>244.60762257386088</v>
      </c>
      <c r="U115" s="251">
        <f t="shared" ref="U115:AV115" si="14">+U2-U90</f>
        <v>239.98224831438958</v>
      </c>
      <c r="V115" s="251">
        <f t="shared" si="14"/>
        <v>232.76389854537248</v>
      </c>
      <c r="W115" s="251">
        <f t="shared" si="14"/>
        <v>152.11441182851044</v>
      </c>
      <c r="X115" s="251">
        <f t="shared" si="14"/>
        <v>121.65264773218018</v>
      </c>
      <c r="Y115" s="251">
        <f t="shared" si="14"/>
        <v>91.27014209169927</v>
      </c>
      <c r="Z115" s="251">
        <f t="shared" si="14"/>
        <v>63.951507518682611</v>
      </c>
      <c r="AA115" s="251">
        <f t="shared" si="14"/>
        <v>45.930800561265016</v>
      </c>
      <c r="AB115" s="251">
        <f t="shared" si="14"/>
        <v>31.902980067938369</v>
      </c>
      <c r="AC115" s="251">
        <f t="shared" si="14"/>
        <v>26.986579143919027</v>
      </c>
      <c r="AD115" s="251">
        <f t="shared" si="14"/>
        <v>22.387763434709726</v>
      </c>
      <c r="AE115" s="251">
        <f t="shared" si="14"/>
        <v>19.826646028645385</v>
      </c>
      <c r="AF115" s="251">
        <f t="shared" si="14"/>
        <v>16.931100432764467</v>
      </c>
      <c r="AG115" s="251">
        <f t="shared" si="14"/>
        <v>14.944615928270304</v>
      </c>
      <c r="AH115" s="251">
        <f t="shared" si="14"/>
        <v>13.639890259627821</v>
      </c>
      <c r="AI115" s="251">
        <f t="shared" si="14"/>
        <v>12.353724045664928</v>
      </c>
      <c r="AJ115" s="251">
        <f t="shared" si="14"/>
        <v>11.162089383614378</v>
      </c>
      <c r="AK115" s="251">
        <f t="shared" si="14"/>
        <v>9.973290739670162</v>
      </c>
      <c r="AL115" s="251">
        <f t="shared" si="14"/>
        <v>8.7966817287292791</v>
      </c>
      <c r="AM115" s="251">
        <f t="shared" si="14"/>
        <v>8.0412459805960204</v>
      </c>
      <c r="AN115" s="251">
        <f t="shared" si="14"/>
        <v>7.2942733783463058</v>
      </c>
      <c r="AO115" s="251">
        <f t="shared" si="14"/>
        <v>6.5526340533622118</v>
      </c>
      <c r="AP115" s="251">
        <f t="shared" si="14"/>
        <v>5.8155827227244137</v>
      </c>
      <c r="AQ115" s="251">
        <f t="shared" si="14"/>
        <v>5.0795036148148895</v>
      </c>
      <c r="AR115" s="251">
        <f t="shared" si="14"/>
        <v>4.3447173489286497</v>
      </c>
      <c r="AS115" s="251">
        <f t="shared" si="14"/>
        <v>3.6132088634196822</v>
      </c>
      <c r="AT115" s="251">
        <f t="shared" si="14"/>
        <v>2.8848603063277687</v>
      </c>
      <c r="AU115" s="251">
        <f t="shared" si="14"/>
        <v>2.1586903221198654</v>
      </c>
      <c r="AV115" s="251">
        <f t="shared" si="14"/>
        <v>1.4377240259352233</v>
      </c>
      <c r="AW115" s="251"/>
      <c r="AX115" s="251"/>
      <c r="AY115" s="251"/>
      <c r="AZ115" s="251"/>
      <c r="BA115" s="251"/>
      <c r="BB115" s="251"/>
      <c r="BC115" s="251"/>
      <c r="BD115" s="251"/>
      <c r="BE115" s="251"/>
      <c r="BF115" s="251"/>
    </row>
    <row r="116" spans="1:58" s="250" customFormat="1" ht="15" hidden="1" customHeight="1" x14ac:dyDescent="0.15">
      <c r="A116" s="248" t="s">
        <v>371</v>
      </c>
      <c r="B116" s="249" t="s">
        <v>52</v>
      </c>
      <c r="C116" s="250" t="s">
        <v>413</v>
      </c>
      <c r="D116" s="248" t="s">
        <v>372</v>
      </c>
      <c r="E116" s="248" t="s">
        <v>262</v>
      </c>
      <c r="F116" s="193" t="s">
        <v>373</v>
      </c>
      <c r="G116" s="248" t="s">
        <v>364</v>
      </c>
      <c r="H116" s="190"/>
      <c r="I116" s="190"/>
      <c r="J116" s="190"/>
      <c r="K116" s="190"/>
      <c r="L116" s="190"/>
      <c r="M116" s="190"/>
      <c r="N116" s="190"/>
      <c r="O116" s="190"/>
      <c r="P116" s="190"/>
      <c r="Q116" s="190"/>
      <c r="R116" s="190"/>
      <c r="S116" s="190"/>
      <c r="T116" s="251">
        <f t="shared" ref="T116:AV116" si="15">+T3-T91</f>
        <v>226.86070028389659</v>
      </c>
      <c r="U116" s="251">
        <f t="shared" si="15"/>
        <v>222.31685984172216</v>
      </c>
      <c r="V116" s="251">
        <f t="shared" si="15"/>
        <v>214.3188673811047</v>
      </c>
      <c r="W116" s="251">
        <f t="shared" si="15"/>
        <v>172.54137959705835</v>
      </c>
      <c r="X116" s="251">
        <f t="shared" si="15"/>
        <v>145.50903892580044</v>
      </c>
      <c r="Y116" s="251">
        <f t="shared" si="15"/>
        <v>118.99511820701588</v>
      </c>
      <c r="Z116" s="251">
        <f t="shared" si="15"/>
        <v>85.594888124374165</v>
      </c>
      <c r="AA116" s="251">
        <f t="shared" si="15"/>
        <v>63.591454080403146</v>
      </c>
      <c r="AB116" s="251">
        <f t="shared" si="15"/>
        <v>47.181910069697018</v>
      </c>
      <c r="AC116" s="251">
        <f t="shared" si="15"/>
        <v>38.054800533849345</v>
      </c>
      <c r="AD116" s="251">
        <f t="shared" si="15"/>
        <v>30.948131654653686</v>
      </c>
      <c r="AE116" s="251">
        <f t="shared" si="15"/>
        <v>25.070705151204653</v>
      </c>
      <c r="AF116" s="251">
        <f t="shared" si="15"/>
        <v>20.741450538680894</v>
      </c>
      <c r="AG116" s="251">
        <f t="shared" si="15"/>
        <v>17.266362088870974</v>
      </c>
      <c r="AH116" s="251">
        <f t="shared" si="15"/>
        <v>15.036898179061112</v>
      </c>
      <c r="AI116" s="251">
        <f t="shared" si="15"/>
        <v>13.295544533890244</v>
      </c>
      <c r="AJ116" s="251">
        <f t="shared" si="15"/>
        <v>11.952195699738404</v>
      </c>
      <c r="AK116" s="251">
        <f t="shared" si="15"/>
        <v>10.255182775489333</v>
      </c>
      <c r="AL116" s="251">
        <f t="shared" si="15"/>
        <v>8.9990261185513667</v>
      </c>
      <c r="AM116" s="251">
        <f t="shared" si="15"/>
        <v>8.221684990757252</v>
      </c>
      <c r="AN116" s="251">
        <f t="shared" si="15"/>
        <v>7.4527841334252747</v>
      </c>
      <c r="AO116" s="251">
        <f t="shared" si="15"/>
        <v>6.6893225921803294</v>
      </c>
      <c r="AP116" s="251">
        <f t="shared" si="15"/>
        <v>5.9305832193672785</v>
      </c>
      <c r="AQ116" s="251">
        <f t="shared" si="15"/>
        <v>5.1728196822833477</v>
      </c>
      <c r="AR116" s="251">
        <f t="shared" si="15"/>
        <v>4.4164198945564017</v>
      </c>
      <c r="AS116" s="251">
        <f t="shared" si="15"/>
        <v>3.6634374997230204</v>
      </c>
      <c r="AT116" s="251">
        <f t="shared" si="15"/>
        <v>2.9137448600361378</v>
      </c>
      <c r="AU116" s="251">
        <f t="shared" si="15"/>
        <v>2.1663957865508841</v>
      </c>
      <c r="AV116" s="251">
        <f t="shared" si="15"/>
        <v>1.424286588516932</v>
      </c>
      <c r="AW116" s="251"/>
      <c r="AX116" s="251"/>
      <c r="AY116" s="251"/>
      <c r="AZ116" s="251"/>
      <c r="BA116" s="251"/>
      <c r="BB116" s="251"/>
      <c r="BC116" s="251"/>
      <c r="BD116" s="251"/>
      <c r="BE116" s="251"/>
      <c r="BF116" s="251"/>
    </row>
    <row r="117" spans="1:58" s="250" customFormat="1" ht="15" hidden="1" customHeight="1" x14ac:dyDescent="0.15">
      <c r="A117" s="248" t="s">
        <v>371</v>
      </c>
      <c r="B117" s="249" t="s">
        <v>52</v>
      </c>
      <c r="C117" s="250" t="s">
        <v>327</v>
      </c>
      <c r="D117" s="248" t="s">
        <v>372</v>
      </c>
      <c r="E117" s="248" t="s">
        <v>262</v>
      </c>
      <c r="F117" s="193" t="s">
        <v>373</v>
      </c>
      <c r="G117" s="248" t="s">
        <v>364</v>
      </c>
      <c r="H117" s="190"/>
      <c r="I117" s="190"/>
      <c r="J117" s="190"/>
      <c r="K117" s="190"/>
      <c r="L117" s="190"/>
      <c r="M117" s="190"/>
      <c r="N117" s="190"/>
      <c r="O117" s="190"/>
      <c r="P117" s="190"/>
      <c r="Q117" s="190"/>
      <c r="R117" s="190"/>
      <c r="S117" s="190"/>
      <c r="T117" s="251">
        <f t="shared" ref="T117:AV117" si="16">+T4-T92</f>
        <v>242.50090850820951</v>
      </c>
      <c r="U117" s="251">
        <f t="shared" si="16"/>
        <v>239.26876033335171</v>
      </c>
      <c r="V117" s="251">
        <f t="shared" si="16"/>
        <v>235.21906791135041</v>
      </c>
      <c r="W117" s="251">
        <f t="shared" si="16"/>
        <v>218.27024218586095</v>
      </c>
      <c r="X117" s="251">
        <f t="shared" si="16"/>
        <v>170.80995163970746</v>
      </c>
      <c r="Y117" s="251">
        <f t="shared" si="16"/>
        <v>150.49867673278962</v>
      </c>
      <c r="Z117" s="251">
        <f t="shared" si="16"/>
        <v>126.94551942792985</v>
      </c>
      <c r="AA117" s="251">
        <f t="shared" si="16"/>
        <v>90.607331475145045</v>
      </c>
      <c r="AB117" s="251">
        <f t="shared" si="16"/>
        <v>77.13623104542549</v>
      </c>
      <c r="AC117" s="251">
        <f t="shared" si="16"/>
        <v>64.997586145704759</v>
      </c>
      <c r="AD117" s="251">
        <f t="shared" si="16"/>
        <v>54.444711834167535</v>
      </c>
      <c r="AE117" s="251">
        <f t="shared" si="16"/>
        <v>44.595666028967045</v>
      </c>
      <c r="AF117" s="251">
        <f t="shared" si="16"/>
        <v>35.615207235373134</v>
      </c>
      <c r="AG117" s="251">
        <f t="shared" si="16"/>
        <v>27.37982520673906</v>
      </c>
      <c r="AH117" s="251">
        <f t="shared" si="16"/>
        <v>22.394076972368453</v>
      </c>
      <c r="AI117" s="251">
        <f t="shared" si="16"/>
        <v>18.631634131823933</v>
      </c>
      <c r="AJ117" s="251">
        <f t="shared" si="16"/>
        <v>15.464640215676916</v>
      </c>
      <c r="AK117" s="251">
        <f t="shared" si="16"/>
        <v>12.330875352273274</v>
      </c>
      <c r="AL117" s="251">
        <f t="shared" si="16"/>
        <v>9.7124389866328933</v>
      </c>
      <c r="AM117" s="251">
        <f t="shared" si="16"/>
        <v>8.9189403385126784</v>
      </c>
      <c r="AN117" s="251">
        <f t="shared" si="16"/>
        <v>8.1077636447585384</v>
      </c>
      <c r="AO117" s="251">
        <f t="shared" si="16"/>
        <v>7.3167597119896497</v>
      </c>
      <c r="AP117" s="251">
        <f t="shared" si="16"/>
        <v>6.3872222521788959</v>
      </c>
      <c r="AQ117" s="251">
        <f t="shared" si="16"/>
        <v>5.5366860211415574</v>
      </c>
      <c r="AR117" s="251">
        <f t="shared" si="16"/>
        <v>4.7572506526217504</v>
      </c>
      <c r="AS117" s="251">
        <f t="shared" si="16"/>
        <v>3.9787665288267782</v>
      </c>
      <c r="AT117" s="251">
        <f t="shared" si="16"/>
        <v>3.2006729393315765</v>
      </c>
      <c r="AU117" s="251">
        <f t="shared" si="16"/>
        <v>2.4234353639519113</v>
      </c>
      <c r="AV117" s="251">
        <f t="shared" si="16"/>
        <v>1.6475853214907643</v>
      </c>
      <c r="AW117" s="251"/>
      <c r="AX117" s="251"/>
      <c r="AY117" s="251"/>
      <c r="AZ117" s="251"/>
      <c r="BA117" s="251"/>
      <c r="BB117" s="251"/>
      <c r="BC117" s="251"/>
      <c r="BD117" s="251"/>
      <c r="BE117" s="251"/>
      <c r="BF117" s="251"/>
    </row>
    <row r="118" spans="1:58" s="250" customFormat="1" ht="15" hidden="1" customHeight="1" x14ac:dyDescent="0.15">
      <c r="A118" s="248" t="s">
        <v>371</v>
      </c>
      <c r="B118" s="249" t="s">
        <v>52</v>
      </c>
      <c r="C118" s="250" t="s">
        <v>233</v>
      </c>
      <c r="D118" s="248" t="s">
        <v>372</v>
      </c>
      <c r="E118" s="248" t="s">
        <v>262</v>
      </c>
      <c r="F118" s="193" t="s">
        <v>373</v>
      </c>
      <c r="G118" s="248" t="s">
        <v>364</v>
      </c>
      <c r="H118" s="190"/>
      <c r="I118" s="190"/>
      <c r="J118" s="190"/>
      <c r="K118" s="190"/>
      <c r="L118" s="190"/>
      <c r="M118" s="190"/>
      <c r="N118" s="190"/>
      <c r="O118" s="190"/>
      <c r="P118" s="190"/>
      <c r="Q118" s="190"/>
      <c r="R118" s="190"/>
      <c r="S118" s="190"/>
      <c r="T118" s="251">
        <f t="shared" ref="T118:AV118" si="17">+T5-T93</f>
        <v>243.72333988669988</v>
      </c>
      <c r="U118" s="251">
        <f t="shared" si="17"/>
        <v>239.3934351977469</v>
      </c>
      <c r="V118" s="251">
        <f t="shared" si="17"/>
        <v>233.94617066533846</v>
      </c>
      <c r="W118" s="251">
        <f t="shared" si="17"/>
        <v>173.9618666779279</v>
      </c>
      <c r="X118" s="251">
        <f t="shared" si="17"/>
        <v>140.96726576168214</v>
      </c>
      <c r="Y118" s="251">
        <f t="shared" si="17"/>
        <v>113.97540923427151</v>
      </c>
      <c r="Z118" s="251">
        <f t="shared" si="17"/>
        <v>87.619302869627361</v>
      </c>
      <c r="AA118" s="251">
        <f t="shared" si="17"/>
        <v>63.380372986225687</v>
      </c>
      <c r="AB118" s="251">
        <f t="shared" si="17"/>
        <v>49.421971461122375</v>
      </c>
      <c r="AC118" s="251">
        <f t="shared" si="17"/>
        <v>40.685771781570324</v>
      </c>
      <c r="AD118" s="251">
        <f t="shared" si="17"/>
        <v>33.86851981563504</v>
      </c>
      <c r="AE118" s="251">
        <f t="shared" si="17"/>
        <v>28.603904918545638</v>
      </c>
      <c r="AF118" s="251">
        <f t="shared" si="17"/>
        <v>23.614267099646838</v>
      </c>
      <c r="AG118" s="251">
        <f t="shared" si="17"/>
        <v>19.442863117652479</v>
      </c>
      <c r="AH118" s="251">
        <f t="shared" si="17"/>
        <v>16.846319314840628</v>
      </c>
      <c r="AI118" s="251">
        <f t="shared" si="17"/>
        <v>14.675729990554075</v>
      </c>
      <c r="AJ118" s="251">
        <f t="shared" si="17"/>
        <v>12.771658894522119</v>
      </c>
      <c r="AK118" s="251">
        <f t="shared" si="17"/>
        <v>10.821714726961883</v>
      </c>
      <c r="AL118" s="251">
        <f t="shared" si="17"/>
        <v>9.1179965103226408</v>
      </c>
      <c r="AM118" s="251">
        <f t="shared" si="17"/>
        <v>8.3632314383050748</v>
      </c>
      <c r="AN118" s="251">
        <f t="shared" si="17"/>
        <v>7.5926382185463934</v>
      </c>
      <c r="AO118" s="251">
        <f t="shared" si="17"/>
        <v>6.8316923364379436</v>
      </c>
      <c r="AP118" s="251">
        <f t="shared" si="17"/>
        <v>6.0202452214305282</v>
      </c>
      <c r="AQ118" s="251">
        <f t="shared" si="17"/>
        <v>5.2383183310699275</v>
      </c>
      <c r="AR118" s="251">
        <f t="shared" si="17"/>
        <v>4.494612809998257</v>
      </c>
      <c r="AS118" s="251">
        <f t="shared" si="17"/>
        <v>3.7433478343532243</v>
      </c>
      <c r="AT118" s="251">
        <f t="shared" si="17"/>
        <v>2.9939486841319396</v>
      </c>
      <c r="AU118" s="251">
        <f t="shared" si="17"/>
        <v>2.2461044470777765</v>
      </c>
      <c r="AV118" s="251">
        <f t="shared" si="17"/>
        <v>1.5021985099173352</v>
      </c>
      <c r="AW118" s="251"/>
      <c r="AX118" s="251"/>
      <c r="AY118" s="251"/>
      <c r="AZ118" s="251"/>
      <c r="BA118" s="251"/>
      <c r="BB118" s="251"/>
      <c r="BC118" s="251"/>
      <c r="BD118" s="251"/>
      <c r="BE118" s="251"/>
      <c r="BF118" s="251"/>
    </row>
    <row r="119" spans="1:58" s="250" customFormat="1" ht="15" hidden="1" customHeight="1" x14ac:dyDescent="0.15">
      <c r="A119" s="248" t="s">
        <v>371</v>
      </c>
      <c r="B119" s="249" t="s">
        <v>52</v>
      </c>
      <c r="C119" s="250" t="s">
        <v>326</v>
      </c>
      <c r="D119" s="248" t="s">
        <v>372</v>
      </c>
      <c r="E119" s="248" t="s">
        <v>262</v>
      </c>
      <c r="F119" s="193" t="s">
        <v>373</v>
      </c>
      <c r="G119" s="248" t="s">
        <v>234</v>
      </c>
      <c r="H119" s="190"/>
      <c r="I119" s="190"/>
      <c r="J119" s="190"/>
      <c r="K119" s="190"/>
      <c r="L119" s="190"/>
      <c r="M119" s="190"/>
      <c r="N119" s="190"/>
      <c r="O119" s="190"/>
      <c r="P119" s="190"/>
      <c r="Q119" s="190"/>
      <c r="R119" s="190"/>
      <c r="S119" s="190"/>
      <c r="T119" s="251">
        <f t="shared" ref="T119:AV119" si="18">+T14-T94</f>
        <v>290.51144343810421</v>
      </c>
      <c r="U119" s="251">
        <f t="shared" si="18"/>
        <v>287.16573308651107</v>
      </c>
      <c r="V119" s="251">
        <f t="shared" si="18"/>
        <v>285.48295508008061</v>
      </c>
      <c r="W119" s="251">
        <f t="shared" si="18"/>
        <v>231.71184470205557</v>
      </c>
      <c r="X119" s="251">
        <f t="shared" si="18"/>
        <v>203.86260661562463</v>
      </c>
      <c r="Y119" s="251">
        <f t="shared" si="18"/>
        <v>173.66831424118914</v>
      </c>
      <c r="Z119" s="251">
        <f t="shared" si="18"/>
        <v>136.97004927930885</v>
      </c>
      <c r="AA119" s="251">
        <f t="shared" si="18"/>
        <v>105.67415902075219</v>
      </c>
      <c r="AB119" s="251">
        <f t="shared" si="18"/>
        <v>80.104131883386643</v>
      </c>
      <c r="AC119" s="251">
        <f t="shared" si="18"/>
        <v>54.026937792504057</v>
      </c>
      <c r="AD119" s="251">
        <f t="shared" si="18"/>
        <v>29.478091507015076</v>
      </c>
      <c r="AE119" s="251">
        <f t="shared" si="18"/>
        <v>19.967587127340707</v>
      </c>
      <c r="AF119" s="251">
        <f t="shared" si="18"/>
        <v>10.198294712493421</v>
      </c>
      <c r="AG119" s="251">
        <f t="shared" si="18"/>
        <v>8.70609138583721</v>
      </c>
      <c r="AH119" s="251">
        <f t="shared" si="18"/>
        <v>7.9468552680555362</v>
      </c>
      <c r="AI119" s="251">
        <f t="shared" si="18"/>
        <v>7.2147563990460188</v>
      </c>
      <c r="AJ119" s="251">
        <f t="shared" si="18"/>
        <v>6.5177582851357556</v>
      </c>
      <c r="AK119" s="251">
        <f t="shared" si="18"/>
        <v>5.8222461654546578</v>
      </c>
      <c r="AL119" s="251">
        <f t="shared" si="18"/>
        <v>5.1340038039514404</v>
      </c>
      <c r="AM119" s="251">
        <f t="shared" si="18"/>
        <v>4.6930652863147992</v>
      </c>
      <c r="AN119" s="251">
        <f t="shared" si="18"/>
        <v>4.25696444058811</v>
      </c>
      <c r="AO119" s="251">
        <f t="shared" si="18"/>
        <v>3.8238920173093849</v>
      </c>
      <c r="AP119" s="251">
        <f t="shared" si="18"/>
        <v>3.3934140203026053</v>
      </c>
      <c r="AQ119" s="251">
        <f t="shared" si="18"/>
        <v>2.9634567857661316</v>
      </c>
      <c r="AR119" s="251">
        <f t="shared" si="18"/>
        <v>2.534210303561351</v>
      </c>
      <c r="AS119" s="251">
        <f t="shared" si="18"/>
        <v>2.1068110120572592</v>
      </c>
      <c r="AT119" s="251">
        <f t="shared" si="18"/>
        <v>1.681191241439121</v>
      </c>
      <c r="AU119" s="251">
        <f t="shared" si="18"/>
        <v>1.2567982128854522</v>
      </c>
      <c r="AV119" s="251">
        <f t="shared" si="18"/>
        <v>0.83533542718574361</v>
      </c>
      <c r="AW119" s="251"/>
      <c r="AX119" s="251"/>
      <c r="AY119" s="251"/>
      <c r="AZ119" s="251"/>
      <c r="BA119" s="251"/>
      <c r="BB119" s="251"/>
      <c r="BC119" s="251"/>
      <c r="BD119" s="251"/>
      <c r="BE119" s="251"/>
      <c r="BF119" s="251"/>
    </row>
    <row r="120" spans="1:58" s="250" customFormat="1" ht="15" hidden="1" customHeight="1" x14ac:dyDescent="0.15">
      <c r="A120" s="248" t="s">
        <v>371</v>
      </c>
      <c r="B120" s="249" t="s">
        <v>52</v>
      </c>
      <c r="C120" s="250" t="s">
        <v>413</v>
      </c>
      <c r="D120" s="248" t="s">
        <v>372</v>
      </c>
      <c r="E120" s="248" t="s">
        <v>262</v>
      </c>
      <c r="F120" s="193" t="s">
        <v>373</v>
      </c>
      <c r="G120" s="248" t="s">
        <v>234</v>
      </c>
      <c r="H120" s="190"/>
      <c r="I120" s="190"/>
      <c r="J120" s="190"/>
      <c r="K120" s="190"/>
      <c r="L120" s="190"/>
      <c r="M120" s="190"/>
      <c r="N120" s="190"/>
      <c r="O120" s="190"/>
      <c r="P120" s="190"/>
      <c r="Q120" s="190"/>
      <c r="R120" s="190"/>
      <c r="S120" s="190"/>
      <c r="T120" s="251">
        <f t="shared" ref="T120:AV120" si="19">+T15-T95</f>
        <v>232.50909779609512</v>
      </c>
      <c r="U120" s="251">
        <f t="shared" si="19"/>
        <v>230.21751969694259</v>
      </c>
      <c r="V120" s="251">
        <f t="shared" si="19"/>
        <v>224.90191049655849</v>
      </c>
      <c r="W120" s="251">
        <f t="shared" si="19"/>
        <v>207.65691136956877</v>
      </c>
      <c r="X120" s="251">
        <f t="shared" si="19"/>
        <v>186.98028797090959</v>
      </c>
      <c r="Y120" s="251">
        <f t="shared" si="19"/>
        <v>165.06548849345995</v>
      </c>
      <c r="Z120" s="251">
        <f t="shared" si="19"/>
        <v>135.58316705893856</v>
      </c>
      <c r="AA120" s="251">
        <f t="shared" si="19"/>
        <v>109.62484357115365</v>
      </c>
      <c r="AB120" s="251">
        <f t="shared" si="19"/>
        <v>85.95212774673881</v>
      </c>
      <c r="AC120" s="251">
        <f t="shared" si="19"/>
        <v>61.79716076210282</v>
      </c>
      <c r="AD120" s="251">
        <f t="shared" si="19"/>
        <v>39.936698989269587</v>
      </c>
      <c r="AE120" s="251">
        <f t="shared" si="19"/>
        <v>26.422098686790751</v>
      </c>
      <c r="AF120" s="251">
        <f t="shared" si="19"/>
        <v>14.971413359917117</v>
      </c>
      <c r="AG120" s="251">
        <f t="shared" si="19"/>
        <v>11.480345078823104</v>
      </c>
      <c r="AH120" s="251">
        <f t="shared" si="19"/>
        <v>9.478852254291521</v>
      </c>
      <c r="AI120" s="251">
        <f t="shared" si="19"/>
        <v>8.1257100788295702</v>
      </c>
      <c r="AJ120" s="251">
        <f t="shared" si="19"/>
        <v>7.320025798975621</v>
      </c>
      <c r="AK120" s="251">
        <f t="shared" si="19"/>
        <v>6.0513746157350781</v>
      </c>
      <c r="AL120" s="251">
        <f t="shared" si="19"/>
        <v>5.3118012265348762</v>
      </c>
      <c r="AM120" s="251">
        <f t="shared" si="19"/>
        <v>4.8529601842207306</v>
      </c>
      <c r="AN120" s="251">
        <f t="shared" si="19"/>
        <v>4.3993511758414687</v>
      </c>
      <c r="AO120" s="251">
        <f t="shared" si="19"/>
        <v>3.9489943208935983</v>
      </c>
      <c r="AP120" s="251">
        <f t="shared" si="19"/>
        <v>3.5014007472266648</v>
      </c>
      <c r="AQ120" s="251">
        <f t="shared" si="19"/>
        <v>3.054353006319543</v>
      </c>
      <c r="AR120" s="251">
        <f t="shared" si="19"/>
        <v>2.6080767303107533</v>
      </c>
      <c r="AS120" s="251">
        <f t="shared" si="19"/>
        <v>2.1637762911128267</v>
      </c>
      <c r="AT120" s="251">
        <f t="shared" si="19"/>
        <v>1.7213768585747398</v>
      </c>
      <c r="AU120" s="251">
        <f t="shared" si="19"/>
        <v>1.2803265817593963</v>
      </c>
      <c r="AV120" s="251">
        <f t="shared" si="19"/>
        <v>0.84231559124235855</v>
      </c>
      <c r="AW120" s="251"/>
      <c r="AX120" s="251"/>
      <c r="AY120" s="251"/>
      <c r="AZ120" s="251"/>
      <c r="BA120" s="251"/>
      <c r="BB120" s="251"/>
      <c r="BC120" s="251"/>
      <c r="BD120" s="251"/>
      <c r="BE120" s="251"/>
      <c r="BF120" s="251"/>
    </row>
    <row r="121" spans="1:58" s="250" customFormat="1" ht="15" hidden="1" customHeight="1" x14ac:dyDescent="0.15">
      <c r="A121" s="248" t="s">
        <v>371</v>
      </c>
      <c r="B121" s="249" t="s">
        <v>52</v>
      </c>
      <c r="C121" s="250" t="s">
        <v>327</v>
      </c>
      <c r="D121" s="248" t="s">
        <v>372</v>
      </c>
      <c r="E121" s="248" t="s">
        <v>262</v>
      </c>
      <c r="F121" s="193" t="s">
        <v>373</v>
      </c>
      <c r="G121" s="248" t="s">
        <v>234</v>
      </c>
      <c r="H121" s="190"/>
      <c r="I121" s="190"/>
      <c r="J121" s="190"/>
      <c r="K121" s="190"/>
      <c r="L121" s="190"/>
      <c r="M121" s="190"/>
      <c r="N121" s="190"/>
      <c r="O121" s="190"/>
      <c r="P121" s="190"/>
      <c r="Q121" s="190"/>
      <c r="R121" s="190"/>
      <c r="S121" s="190"/>
      <c r="T121" s="251">
        <f t="shared" ref="T121:AV121" si="20">+T16-T96</f>
        <v>247.56207966927525</v>
      </c>
      <c r="U121" s="251">
        <f t="shared" si="20"/>
        <v>245.76681865318727</v>
      </c>
      <c r="V121" s="251">
        <f t="shared" si="20"/>
        <v>245.02771677619307</v>
      </c>
      <c r="W121" s="251">
        <f t="shared" si="20"/>
        <v>214.16336893355498</v>
      </c>
      <c r="X121" s="251">
        <f t="shared" si="20"/>
        <v>198.90751125623535</v>
      </c>
      <c r="Y121" s="251">
        <f t="shared" si="20"/>
        <v>180.8020448122715</v>
      </c>
      <c r="Z121" s="251">
        <f t="shared" si="20"/>
        <v>158.11379317999976</v>
      </c>
      <c r="AA121" s="251">
        <f t="shared" si="20"/>
        <v>135.46408355471868</v>
      </c>
      <c r="AB121" s="251">
        <f t="shared" si="20"/>
        <v>113.65887909989375</v>
      </c>
      <c r="AC121" s="251">
        <f t="shared" si="20"/>
        <v>96.325705799416539</v>
      </c>
      <c r="AD121" s="251">
        <f t="shared" si="20"/>
        <v>80.343862667903792</v>
      </c>
      <c r="AE121" s="251">
        <f t="shared" si="20"/>
        <v>68.493425613532409</v>
      </c>
      <c r="AF121" s="251">
        <f t="shared" si="20"/>
        <v>58.426426488269264</v>
      </c>
      <c r="AG121" s="251">
        <f t="shared" si="20"/>
        <v>46.185428622180069</v>
      </c>
      <c r="AH121" s="251">
        <f t="shared" si="20"/>
        <v>35.335601675123229</v>
      </c>
      <c r="AI121" s="251">
        <f t="shared" si="20"/>
        <v>25.213566477444001</v>
      </c>
      <c r="AJ121" s="251">
        <f t="shared" si="20"/>
        <v>16.181315521861709</v>
      </c>
      <c r="AK121" s="251">
        <f t="shared" si="20"/>
        <v>10.648047358138623</v>
      </c>
      <c r="AL121" s="251">
        <f t="shared" si="20"/>
        <v>6.0287704804115085</v>
      </c>
      <c r="AM121" s="251">
        <f t="shared" si="20"/>
        <v>5.5442808820803489</v>
      </c>
      <c r="AN121" s="251">
        <f t="shared" si="20"/>
        <v>4.9528097767980697</v>
      </c>
      <c r="AO121" s="251">
        <f t="shared" si="20"/>
        <v>4.476909644305767</v>
      </c>
      <c r="AP121" s="251">
        <f t="shared" si="20"/>
        <v>3.8166570684892935</v>
      </c>
      <c r="AQ121" s="251">
        <f t="shared" si="20"/>
        <v>3.291169124762654</v>
      </c>
      <c r="AR121" s="251">
        <f t="shared" si="20"/>
        <v>2.826923164814894</v>
      </c>
      <c r="AS121" s="251">
        <f t="shared" si="20"/>
        <v>2.3633288115091275</v>
      </c>
      <c r="AT121" s="251">
        <f t="shared" si="20"/>
        <v>1.9000403338357452</v>
      </c>
      <c r="AU121" s="251">
        <f t="shared" si="20"/>
        <v>1.4373580023785251</v>
      </c>
      <c r="AV121" s="251">
        <f t="shared" si="20"/>
        <v>0.97560945890445716</v>
      </c>
      <c r="AW121" s="251"/>
      <c r="AX121" s="251"/>
      <c r="AY121" s="251"/>
      <c r="AZ121" s="251"/>
      <c r="BA121" s="251"/>
      <c r="BB121" s="251"/>
      <c r="BC121" s="251"/>
      <c r="BD121" s="251"/>
      <c r="BE121" s="251"/>
      <c r="BF121" s="251"/>
    </row>
    <row r="122" spans="1:58" s="250" customFormat="1" ht="15" hidden="1" customHeight="1" x14ac:dyDescent="0.15">
      <c r="A122" s="248" t="s">
        <v>371</v>
      </c>
      <c r="B122" s="249" t="s">
        <v>52</v>
      </c>
      <c r="C122" s="250" t="s">
        <v>233</v>
      </c>
      <c r="D122" s="248" t="s">
        <v>372</v>
      </c>
      <c r="E122" s="248" t="s">
        <v>262</v>
      </c>
      <c r="F122" s="193" t="s">
        <v>373</v>
      </c>
      <c r="G122" s="248" t="s">
        <v>234</v>
      </c>
      <c r="H122" s="190"/>
      <c r="I122" s="190"/>
      <c r="J122" s="190"/>
      <c r="K122" s="190"/>
      <c r="L122" s="190"/>
      <c r="M122" s="190"/>
      <c r="N122" s="190"/>
      <c r="O122" s="190"/>
      <c r="P122" s="190"/>
      <c r="Q122" s="190"/>
      <c r="R122" s="190"/>
      <c r="S122" s="190"/>
      <c r="T122" s="251">
        <f t="shared" ref="T122:AV122" si="21">+T17-T97</f>
        <v>278.28249511499985</v>
      </c>
      <c r="U122" s="251">
        <f t="shared" si="21"/>
        <v>275.07473547302908</v>
      </c>
      <c r="V122" s="251">
        <f t="shared" si="21"/>
        <v>270.01587449250172</v>
      </c>
      <c r="W122" s="251">
        <f t="shared" si="21"/>
        <v>226.28948632555887</v>
      </c>
      <c r="X122" s="251">
        <f t="shared" si="21"/>
        <v>200.6968391433445</v>
      </c>
      <c r="Y122" s="251">
        <f t="shared" si="21"/>
        <v>173.27037714633227</v>
      </c>
      <c r="Z122" s="251">
        <f t="shared" si="21"/>
        <v>139.77966662149669</v>
      </c>
      <c r="AA122" s="251">
        <f t="shared" si="21"/>
        <v>110.72683884514436</v>
      </c>
      <c r="AB122" s="251">
        <f t="shared" si="21"/>
        <v>85.833387289568861</v>
      </c>
      <c r="AC122" s="251">
        <f t="shared" si="21"/>
        <v>61.595202647253451</v>
      </c>
      <c r="AD122" s="251">
        <f t="shared" si="21"/>
        <v>38.927036903256003</v>
      </c>
      <c r="AE122" s="251">
        <f t="shared" si="21"/>
        <v>28.584171262341556</v>
      </c>
      <c r="AF122" s="251">
        <f t="shared" si="21"/>
        <v>18.54486904879176</v>
      </c>
      <c r="AG122" s="251">
        <f t="shared" si="21"/>
        <v>15.032681826107796</v>
      </c>
      <c r="AH122" s="251">
        <f t="shared" si="21"/>
        <v>12.494588688051126</v>
      </c>
      <c r="AI122" s="251">
        <f t="shared" si="21"/>
        <v>10.216037455013442</v>
      </c>
      <c r="AJ122" s="251">
        <f t="shared" si="21"/>
        <v>8.2143322426404879</v>
      </c>
      <c r="AK122" s="251">
        <f t="shared" si="21"/>
        <v>6.6638179439567091</v>
      </c>
      <c r="AL122" s="251">
        <f t="shared" si="21"/>
        <v>5.3518793792465482</v>
      </c>
      <c r="AM122" s="251">
        <f t="shared" si="21"/>
        <v>4.893047975568825</v>
      </c>
      <c r="AN122" s="251">
        <f t="shared" si="21"/>
        <v>4.4274565043657814</v>
      </c>
      <c r="AO122" s="251">
        <f t="shared" si="21"/>
        <v>3.9814456411661854</v>
      </c>
      <c r="AP122" s="251">
        <f t="shared" si="21"/>
        <v>3.5109075207833862</v>
      </c>
      <c r="AQ122" s="251">
        <f t="shared" si="21"/>
        <v>3.0604032325676949</v>
      </c>
      <c r="AR122" s="251">
        <f t="shared" si="21"/>
        <v>2.6192824124193899</v>
      </c>
      <c r="AS122" s="251">
        <f t="shared" si="21"/>
        <v>2.1797681600612568</v>
      </c>
      <c r="AT122" s="251">
        <f t="shared" si="21"/>
        <v>1.7417022362779795</v>
      </c>
      <c r="AU122" s="251">
        <f t="shared" si="21"/>
        <v>1.3048870740924863</v>
      </c>
      <c r="AV122" s="251">
        <f t="shared" si="21"/>
        <v>0.87054490514887684</v>
      </c>
      <c r="AW122" s="251"/>
      <c r="AX122" s="251"/>
      <c r="AY122" s="251"/>
      <c r="AZ122" s="251"/>
      <c r="BA122" s="251"/>
      <c r="BB122" s="251"/>
      <c r="BC122" s="251"/>
      <c r="BD122" s="251"/>
      <c r="BE122" s="251"/>
      <c r="BF122" s="251"/>
    </row>
    <row r="123" spans="1:58" x14ac:dyDescent="0.15">
      <c r="C123" s="5"/>
      <c r="F123" s="194"/>
    </row>
    <row r="125" spans="1:58" x14ac:dyDescent="0.15">
      <c r="V125" s="188"/>
    </row>
  </sheetData>
  <sheetProtection algorithmName="SHA-512" hashValue="THCYGWNCcQSGzaaHqSX/203UIhchXghoOpAgcjoBvuKSCgQlX7L2i1s0R9OqQ4dxpR2IWeoO/gkue4+RDEdIRg==" saltValue="Gp8VIlKvarmBL23kc8RiMg==" spinCount="100000" sheet="1" objects="1" scenarios="1"/>
  <phoneticPr fontId="45" type="noConversion"/>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ECC5C-EBDB-4BD0-A432-385C9A3045BC}">
  <sheetPr codeName="Sheet3">
    <tabColor theme="0" tint="-0.249977111117893"/>
  </sheetPr>
  <dimension ref="A1:BI52"/>
  <sheetViews>
    <sheetView workbookViewId="0">
      <selection activeCell="H22" sqref="H22"/>
    </sheetView>
  </sheetViews>
  <sheetFormatPr baseColWidth="10" defaultColWidth="8.83203125" defaultRowHeight="13" x14ac:dyDescent="0.15"/>
  <cols>
    <col min="1" max="1" width="13.6640625" style="63" customWidth="1"/>
    <col min="2" max="2" width="9.83203125" style="63" customWidth="1"/>
    <col min="3" max="3" width="14.6640625" style="63" customWidth="1"/>
    <col min="4" max="4" width="16.5" style="63" customWidth="1"/>
    <col min="5" max="5" width="15.5" style="63" bestFit="1" customWidth="1"/>
    <col min="6" max="6" width="14.6640625" style="63" customWidth="1"/>
    <col min="7" max="7" width="54.5" customWidth="1"/>
    <col min="8" max="8" width="18.1640625" style="92" bestFit="1" customWidth="1"/>
    <col min="9" max="19" width="0" hidden="1" customWidth="1"/>
    <col min="20" max="20" width="4.5" customWidth="1"/>
    <col min="21" max="21" width="8.6640625" bestFit="1" customWidth="1"/>
  </cols>
  <sheetData>
    <row r="1" spans="1:61" x14ac:dyDescent="0.15">
      <c r="A1" s="63" t="s">
        <v>14</v>
      </c>
      <c r="B1" t="s">
        <v>2</v>
      </c>
      <c r="C1" s="63" t="s">
        <v>255</v>
      </c>
      <c r="D1" t="s">
        <v>3</v>
      </c>
      <c r="E1" t="s">
        <v>248</v>
      </c>
      <c r="F1" t="s">
        <v>4</v>
      </c>
      <c r="G1" t="s">
        <v>22</v>
      </c>
      <c r="H1" s="92" t="s">
        <v>249</v>
      </c>
      <c r="I1" t="s">
        <v>253</v>
      </c>
      <c r="J1" t="s">
        <v>250</v>
      </c>
      <c r="K1" t="s">
        <v>251</v>
      </c>
      <c r="L1" t="s">
        <v>252</v>
      </c>
      <c r="M1" t="s">
        <v>53</v>
      </c>
      <c r="N1" t="s">
        <v>54</v>
      </c>
      <c r="O1" t="s">
        <v>55</v>
      </c>
      <c r="P1" t="s">
        <v>56</v>
      </c>
      <c r="Q1" t="s">
        <v>57</v>
      </c>
      <c r="R1" t="s">
        <v>58</v>
      </c>
      <c r="S1" t="s">
        <v>59</v>
      </c>
      <c r="T1" t="s">
        <v>60</v>
      </c>
      <c r="U1" t="s">
        <v>466</v>
      </c>
      <c r="V1" t="s">
        <v>61</v>
      </c>
      <c r="W1" t="s">
        <v>62</v>
      </c>
      <c r="X1" t="s">
        <v>63</v>
      </c>
      <c r="Y1" t="s">
        <v>64</v>
      </c>
      <c r="Z1" t="s">
        <v>65</v>
      </c>
      <c r="AA1" t="s">
        <v>66</v>
      </c>
      <c r="AB1" t="s">
        <v>67</v>
      </c>
      <c r="AC1" t="s">
        <v>68</v>
      </c>
      <c r="AD1" t="s">
        <v>69</v>
      </c>
      <c r="AE1" t="s">
        <v>70</v>
      </c>
      <c r="AF1" t="s">
        <v>71</v>
      </c>
      <c r="AG1" t="s">
        <v>72</v>
      </c>
      <c r="AH1" t="s">
        <v>73</v>
      </c>
      <c r="AI1" t="s">
        <v>74</v>
      </c>
      <c r="AJ1" t="s">
        <v>75</v>
      </c>
      <c r="AK1" t="s">
        <v>76</v>
      </c>
      <c r="AL1" t="s">
        <v>77</v>
      </c>
      <c r="AM1" t="s">
        <v>78</v>
      </c>
      <c r="AN1" t="s">
        <v>79</v>
      </c>
      <c r="AO1" t="s">
        <v>80</v>
      </c>
      <c r="AP1" t="s">
        <v>81</v>
      </c>
      <c r="AQ1" t="s">
        <v>82</v>
      </c>
      <c r="AR1" t="s">
        <v>83</v>
      </c>
      <c r="AS1" t="s">
        <v>84</v>
      </c>
      <c r="AT1" t="s">
        <v>85</v>
      </c>
      <c r="AU1" t="s">
        <v>86</v>
      </c>
      <c r="AV1" t="s">
        <v>87</v>
      </c>
      <c r="AW1" t="s">
        <v>88</v>
      </c>
      <c r="AX1" t="s">
        <v>89</v>
      </c>
      <c r="AY1" t="s">
        <v>354</v>
      </c>
      <c r="AZ1" t="s">
        <v>355</v>
      </c>
      <c r="BA1" t="s">
        <v>356</v>
      </c>
      <c r="BB1" t="s">
        <v>357</v>
      </c>
      <c r="BC1" t="s">
        <v>358</v>
      </c>
      <c r="BD1" t="s">
        <v>359</v>
      </c>
      <c r="BE1" t="s">
        <v>360</v>
      </c>
      <c r="BF1" t="s">
        <v>361</v>
      </c>
      <c r="BG1" t="s">
        <v>362</v>
      </c>
      <c r="BH1" t="s">
        <v>363</v>
      </c>
      <c r="BI1" t="s">
        <v>434</v>
      </c>
    </row>
    <row r="2" spans="1:61" ht="14" x14ac:dyDescent="0.15">
      <c r="A2" s="63" t="s">
        <v>353</v>
      </c>
      <c r="B2" s="63" t="s">
        <v>52</v>
      </c>
      <c r="C2" s="63" t="e">
        <v>#N/A</v>
      </c>
      <c r="D2" t="s">
        <v>326</v>
      </c>
      <c r="E2" s="63" t="s">
        <v>337</v>
      </c>
      <c r="F2" s="63" t="s">
        <v>431</v>
      </c>
      <c r="G2" s="67" t="s">
        <v>338</v>
      </c>
      <c r="H2" s="92" t="s">
        <v>331</v>
      </c>
      <c r="U2" s="252">
        <f>(Table22[[#This Row],[2022]]-Table22[[#This Row],[2050]])/Table22[[#This Row],[2022]]</f>
        <v>0.95175007310656756</v>
      </c>
      <c r="V2" s="66">
        <v>3.4643814348481432</v>
      </c>
      <c r="W2" s="66">
        <v>3.4517440895015921</v>
      </c>
      <c r="X2" s="66">
        <v>3.2641598698453564</v>
      </c>
      <c r="Y2" s="66">
        <v>3.2101076183558539</v>
      </c>
      <c r="Z2" s="66">
        <v>3.1187233065330178</v>
      </c>
      <c r="AA2" s="66">
        <v>2.9948923639256009</v>
      </c>
      <c r="AB2" s="66">
        <v>2.8621103648551829</v>
      </c>
      <c r="AC2" s="66">
        <v>2.7151545380199593</v>
      </c>
      <c r="AD2" s="66">
        <v>2.556442664960362</v>
      </c>
      <c r="AE2" s="66">
        <v>2.3698337040801594</v>
      </c>
      <c r="AF2" s="66">
        <v>2.1652448234274742</v>
      </c>
      <c r="AG2" s="66">
        <v>1.9884801119924762</v>
      </c>
      <c r="AH2" s="66">
        <v>1.8077838881556281</v>
      </c>
      <c r="AI2" s="66">
        <v>1.6468103565088341</v>
      </c>
      <c r="AJ2" s="66">
        <v>1.5174722826180358</v>
      </c>
      <c r="AK2" s="66">
        <v>1.3782778736970254</v>
      </c>
      <c r="AL2" s="66">
        <v>1.2464395688054541</v>
      </c>
      <c r="AM2" s="66">
        <v>1.1142962723282315</v>
      </c>
      <c r="AN2" s="66">
        <v>0.98420921912783021</v>
      </c>
      <c r="AO2" s="66">
        <v>0.89946181864880448</v>
      </c>
      <c r="AP2" s="66">
        <v>0.81606481000379905</v>
      </c>
      <c r="AQ2" s="66">
        <v>0.73350667062499231</v>
      </c>
      <c r="AR2" s="66">
        <v>0.65166330174554243</v>
      </c>
      <c r="AS2" s="66">
        <v>0.56993863802003242</v>
      </c>
      <c r="AT2" s="66">
        <v>0.48839300082060372</v>
      </c>
      <c r="AU2" s="66">
        <v>0.40735247756178261</v>
      </c>
      <c r="AV2" s="66">
        <v>0.32679750777944605</v>
      </c>
      <c r="AW2" s="66">
        <v>0.24657715600447427</v>
      </c>
      <c r="AX2" s="66">
        <v>0.16715615096238712</v>
      </c>
      <c r="BI2" t="s">
        <v>432</v>
      </c>
    </row>
    <row r="3" spans="1:61" ht="14" x14ac:dyDescent="0.15">
      <c r="A3" s="63" t="s">
        <v>353</v>
      </c>
      <c r="B3" s="63" t="s">
        <v>52</v>
      </c>
      <c r="C3" s="63" t="e">
        <v>#N/A</v>
      </c>
      <c r="D3" t="s">
        <v>231</v>
      </c>
      <c r="E3" s="63" t="s">
        <v>337</v>
      </c>
      <c r="F3" s="63" t="s">
        <v>431</v>
      </c>
      <c r="G3" s="67" t="s">
        <v>338</v>
      </c>
      <c r="H3" s="92" t="s">
        <v>331</v>
      </c>
      <c r="U3" s="252">
        <f>(Table22[[#This Row],[2022]]-Table22[[#This Row],[2050]])/Table22[[#This Row],[2022]]</f>
        <v>0.96455270185924924</v>
      </c>
      <c r="V3" s="66">
        <v>4.744738961031306</v>
      </c>
      <c r="W3" s="66">
        <v>4.5815628277829852</v>
      </c>
      <c r="X3" s="66">
        <v>4.4050614069867002</v>
      </c>
      <c r="Y3" s="66">
        <v>4.2685290281291683</v>
      </c>
      <c r="Z3" s="66">
        <v>4.0810282421947175</v>
      </c>
      <c r="AA3" s="66">
        <v>3.845917771417835</v>
      </c>
      <c r="AB3" s="66">
        <v>3.5864985740781923</v>
      </c>
      <c r="AC3" s="66">
        <v>3.296412697161045</v>
      </c>
      <c r="AD3" s="66">
        <v>3.0554226153026023</v>
      </c>
      <c r="AE3" s="66">
        <v>2.7693945262249104</v>
      </c>
      <c r="AF3" s="66">
        <v>2.4635176738858746</v>
      </c>
      <c r="AG3" s="66">
        <v>2.1950321248926454</v>
      </c>
      <c r="AH3" s="66">
        <v>1.9464192040160695</v>
      </c>
      <c r="AI3" s="66">
        <v>1.745462689555501</v>
      </c>
      <c r="AJ3" s="66">
        <v>1.5969035213113107</v>
      </c>
      <c r="AK3" s="66">
        <v>1.4428007839896499</v>
      </c>
      <c r="AL3" s="66">
        <v>1.2980154128784471</v>
      </c>
      <c r="AM3" s="66">
        <v>1.1484271287732406</v>
      </c>
      <c r="AN3" s="66">
        <v>1.0104967803275382</v>
      </c>
      <c r="AO3" s="66">
        <v>0.92310247020127989</v>
      </c>
      <c r="AP3" s="66">
        <v>0.83711685880525344</v>
      </c>
      <c r="AQ3" s="66">
        <v>0.75200319556843565</v>
      </c>
      <c r="AR3" s="66">
        <v>0.6676292682456485</v>
      </c>
      <c r="AS3" s="66">
        <v>0.58337775274903625</v>
      </c>
      <c r="AT3" s="66">
        <v>0.49931424020396675</v>
      </c>
      <c r="AU3" s="66">
        <v>0.41577486208048359</v>
      </c>
      <c r="AV3" s="66">
        <v>0.33273899925019496</v>
      </c>
      <c r="AW3" s="66">
        <v>0.25005585343279529</v>
      </c>
      <c r="AX3" s="66">
        <v>0.16818817655171286</v>
      </c>
      <c r="BI3" t="s">
        <v>432</v>
      </c>
    </row>
    <row r="4" spans="1:61" ht="14" x14ac:dyDescent="0.15">
      <c r="A4" s="63" t="s">
        <v>353</v>
      </c>
      <c r="B4" s="63" t="s">
        <v>52</v>
      </c>
      <c r="C4" s="63" t="e">
        <v>#N/A</v>
      </c>
      <c r="D4" t="s">
        <v>327</v>
      </c>
      <c r="E4" s="63" t="s">
        <v>337</v>
      </c>
      <c r="F4" s="63" t="s">
        <v>431</v>
      </c>
      <c r="G4" s="67" t="s">
        <v>338</v>
      </c>
      <c r="H4" s="92" t="s">
        <v>331</v>
      </c>
      <c r="U4" s="252">
        <f>(Table22[[#This Row],[2022]]-Table22[[#This Row],[2050]])/Table22[[#This Row],[2022]]</f>
        <v>0.94941691439555187</v>
      </c>
      <c r="V4" s="66">
        <v>4.0341691840488654</v>
      </c>
      <c r="W4" s="66">
        <v>4.0578335005843078</v>
      </c>
      <c r="X4" s="66">
        <v>3.8984653880340741</v>
      </c>
      <c r="Y4" s="66">
        <v>3.8528291314513039</v>
      </c>
      <c r="Z4" s="66">
        <v>3.7710599856545102</v>
      </c>
      <c r="AA4" s="66">
        <v>3.6518190469137961</v>
      </c>
      <c r="AB4" s="66">
        <v>3.4843741852094441</v>
      </c>
      <c r="AC4" s="66">
        <v>3.3123241511192258</v>
      </c>
      <c r="AD4" s="66">
        <v>3.1123389586610997</v>
      </c>
      <c r="AE4" s="66">
        <v>2.8560554059788927</v>
      </c>
      <c r="AF4" s="66">
        <v>2.6123239694763289</v>
      </c>
      <c r="AG4" s="66">
        <v>2.3685972807279803</v>
      </c>
      <c r="AH4" s="66">
        <v>2.1293537123957602</v>
      </c>
      <c r="AI4" s="66">
        <v>1.9058996134567014</v>
      </c>
      <c r="AJ4" s="66">
        <v>1.7372742357609878</v>
      </c>
      <c r="AK4" s="66">
        <v>1.5741528186681994</v>
      </c>
      <c r="AL4" s="66">
        <v>1.4218657648442137</v>
      </c>
      <c r="AM4" s="66">
        <v>1.2711564609047803</v>
      </c>
      <c r="AN4" s="66">
        <v>1.1212881041254801</v>
      </c>
      <c r="AO4" s="66">
        <v>1.0289937491580119</v>
      </c>
      <c r="AP4" s="66">
        <v>0.93676315707202118</v>
      </c>
      <c r="AQ4" s="66">
        <v>0.84474864348614676</v>
      </c>
      <c r="AR4" s="66">
        <v>0.75269590748021609</v>
      </c>
      <c r="AS4" s="66">
        <v>0.66072365472439509</v>
      </c>
      <c r="AT4" s="66">
        <v>0.56891097985289163</v>
      </c>
      <c r="AU4" s="66">
        <v>0.47736162626274403</v>
      </c>
      <c r="AV4" s="66">
        <v>0.38596602643270417</v>
      </c>
      <c r="AW4" s="66">
        <v>0.29483108071834097</v>
      </c>
      <c r="AX4" s="66">
        <v>0.20406072517957033</v>
      </c>
      <c r="BI4" t="s">
        <v>432</v>
      </c>
    </row>
    <row r="5" spans="1:61" ht="14" x14ac:dyDescent="0.15">
      <c r="A5" s="63" t="s">
        <v>353</v>
      </c>
      <c r="B5" s="63" t="s">
        <v>52</v>
      </c>
      <c r="C5" s="63" t="e">
        <v>#N/A</v>
      </c>
      <c r="D5" t="s">
        <v>233</v>
      </c>
      <c r="E5" s="63" t="s">
        <v>337</v>
      </c>
      <c r="F5" s="63" t="s">
        <v>431</v>
      </c>
      <c r="G5" s="67" t="s">
        <v>338</v>
      </c>
      <c r="H5" s="92" t="s">
        <v>331</v>
      </c>
      <c r="U5" s="252">
        <f>(Table22[[#This Row],[2022]]-Table22[[#This Row],[2050]])/Table22[[#This Row],[2022]]</f>
        <v>0.95504563787660945</v>
      </c>
      <c r="V5" s="66">
        <v>4.3793490368898453</v>
      </c>
      <c r="W5" s="66">
        <v>4.2915031987630528</v>
      </c>
      <c r="X5" s="66">
        <v>3.968098832191548</v>
      </c>
      <c r="Y5" s="66">
        <v>3.8990861819818914</v>
      </c>
      <c r="Z5" s="66">
        <v>3.829442284995499</v>
      </c>
      <c r="AA5" s="66">
        <v>3.6860803537618265</v>
      </c>
      <c r="AB5" s="66">
        <v>3.4988561986547797</v>
      </c>
      <c r="AC5" s="66">
        <v>3.2977072939208059</v>
      </c>
      <c r="AD5" s="66">
        <v>3.0868584002284725</v>
      </c>
      <c r="AE5" s="66">
        <v>2.8153371556984377</v>
      </c>
      <c r="AF5" s="66">
        <v>2.5549193646137791</v>
      </c>
      <c r="AG5" s="66">
        <v>2.3093120484797822</v>
      </c>
      <c r="AH5" s="66">
        <v>2.0742197452421025</v>
      </c>
      <c r="AI5" s="66">
        <v>1.861812417458566</v>
      </c>
      <c r="AJ5" s="66">
        <v>1.7031226742223458</v>
      </c>
      <c r="AK5" s="66">
        <v>1.5427342914245077</v>
      </c>
      <c r="AL5" s="66">
        <v>1.3920896352305197</v>
      </c>
      <c r="AM5" s="66">
        <v>1.2416371114237557</v>
      </c>
      <c r="AN5" s="66">
        <v>1.0946759996444122</v>
      </c>
      <c r="AO5" s="66">
        <v>1.0014533537640817</v>
      </c>
      <c r="AP5" s="66">
        <v>0.91190780084814094</v>
      </c>
      <c r="AQ5" s="66">
        <v>0.82289782637736264</v>
      </c>
      <c r="AR5" s="66">
        <v>0.73383436738590291</v>
      </c>
      <c r="AS5" s="66">
        <v>0.64438904389007412</v>
      </c>
      <c r="AT5" s="66">
        <v>0.55473015166684891</v>
      </c>
      <c r="AU5" s="66">
        <v>0.46486272512200782</v>
      </c>
      <c r="AV5" s="66">
        <v>0.37513986950162581</v>
      </c>
      <c r="AW5" s="66">
        <v>0.28572464609110837</v>
      </c>
      <c r="AX5" s="66">
        <v>0.19687084246906722</v>
      </c>
      <c r="BI5" t="s">
        <v>432</v>
      </c>
    </row>
    <row r="6" spans="1:61" ht="14" x14ac:dyDescent="0.15">
      <c r="A6" s="63" t="s">
        <v>353</v>
      </c>
      <c r="B6" s="63" t="s">
        <v>52</v>
      </c>
      <c r="C6" s="63" t="e">
        <v>#N/A</v>
      </c>
      <c r="D6" t="s">
        <v>326</v>
      </c>
      <c r="E6" s="63" t="s">
        <v>337</v>
      </c>
      <c r="F6" s="63" t="s">
        <v>431</v>
      </c>
      <c r="G6" s="67" t="s">
        <v>338</v>
      </c>
      <c r="H6" s="92" t="s">
        <v>365</v>
      </c>
      <c r="U6" s="252">
        <f>(Table22[[#This Row],[2022]]-Table22[[#This Row],[2050]])/Table22[[#This Row],[2022]]</f>
        <v>0.96793808361717626</v>
      </c>
      <c r="V6" s="66">
        <v>4.7969682963115314</v>
      </c>
      <c r="W6" s="66">
        <v>4.7967109142540592</v>
      </c>
      <c r="X6" s="66">
        <v>4.5615689222439997</v>
      </c>
      <c r="Y6" s="66">
        <v>4.3649440787297618</v>
      </c>
      <c r="Z6" s="66">
        <v>4.1259650972753503</v>
      </c>
      <c r="AA6" s="66">
        <v>3.8510588522029385</v>
      </c>
      <c r="AB6" s="66">
        <v>3.572968073912234</v>
      </c>
      <c r="AC6" s="66">
        <v>3.2879254521410743</v>
      </c>
      <c r="AD6" s="66">
        <v>3.0216403406989949</v>
      </c>
      <c r="AE6" s="66">
        <v>2.718822838898423</v>
      </c>
      <c r="AF6" s="66">
        <v>2.41465155354995</v>
      </c>
      <c r="AG6" s="66">
        <v>2.1545760010155046</v>
      </c>
      <c r="AH6" s="66">
        <v>1.9045165227913055</v>
      </c>
      <c r="AI6" s="66">
        <v>1.6883558863250931</v>
      </c>
      <c r="AJ6" s="66">
        <v>1.53901417795741</v>
      </c>
      <c r="AK6" s="66">
        <v>1.397917788312705</v>
      </c>
      <c r="AL6" s="66">
        <v>1.2617284445536909</v>
      </c>
      <c r="AM6" s="66">
        <v>1.1270336265283107</v>
      </c>
      <c r="AN6" s="66">
        <v>0.9923137835267748</v>
      </c>
      <c r="AO6" s="66">
        <v>0.90732822963749471</v>
      </c>
      <c r="AP6" s="66">
        <v>0.82272408963141663</v>
      </c>
      <c r="AQ6" s="66">
        <v>0.73840724642267186</v>
      </c>
      <c r="AR6" s="66">
        <v>0.6543632793834866</v>
      </c>
      <c r="AS6" s="66">
        <v>0.57046820553630895</v>
      </c>
      <c r="AT6" s="66">
        <v>0.48671296311143863</v>
      </c>
      <c r="AU6" s="66">
        <v>0.40317007132989979</v>
      </c>
      <c r="AV6" s="66">
        <v>0.31983580637726372</v>
      </c>
      <c r="AW6" s="66">
        <v>0.23664577001699535</v>
      </c>
      <c r="AX6" s="66">
        <v>0.15379999640739708</v>
      </c>
      <c r="BI6" t="s">
        <v>432</v>
      </c>
    </row>
    <row r="7" spans="1:61" ht="14" x14ac:dyDescent="0.15">
      <c r="A7" s="63" t="s">
        <v>353</v>
      </c>
      <c r="B7" s="63" t="s">
        <v>52</v>
      </c>
      <c r="C7" s="63" t="e">
        <v>#N/A</v>
      </c>
      <c r="D7" t="s">
        <v>231</v>
      </c>
      <c r="E7" s="63" t="s">
        <v>337</v>
      </c>
      <c r="F7" s="63" t="s">
        <v>431</v>
      </c>
      <c r="G7" s="67" t="s">
        <v>338</v>
      </c>
      <c r="H7" s="92" t="s">
        <v>365</v>
      </c>
      <c r="U7" s="252">
        <f>(Table22[[#This Row],[2022]]-Table22[[#This Row],[2050]])/Table22[[#This Row],[2022]]</f>
        <v>0.97508947007625357</v>
      </c>
      <c r="V7" s="66">
        <v>6.3402862850746295</v>
      </c>
      <c r="W7" s="66">
        <v>6.0686457155153963</v>
      </c>
      <c r="X7" s="66">
        <v>5.8534149327287448</v>
      </c>
      <c r="Y7" s="66">
        <v>5.9025169625164686</v>
      </c>
      <c r="Z7" s="66">
        <v>5.8186095836599776</v>
      </c>
      <c r="AA7" s="66">
        <v>5.5843497651518472</v>
      </c>
      <c r="AB7" s="66">
        <v>5.1017791715149006</v>
      </c>
      <c r="AC7" s="66">
        <v>4.5521395447593278</v>
      </c>
      <c r="AD7" s="66">
        <v>4.0734270313371166</v>
      </c>
      <c r="AE7" s="66">
        <v>3.5757202761889579</v>
      </c>
      <c r="AF7" s="66">
        <v>3.0883570512525642</v>
      </c>
      <c r="AG7" s="66">
        <v>2.6696777913558623</v>
      </c>
      <c r="AH7" s="66">
        <v>2.3611336868216335</v>
      </c>
      <c r="AI7" s="66">
        <v>2.0818322958441153</v>
      </c>
      <c r="AJ7" s="66">
        <v>1.8520653167192502</v>
      </c>
      <c r="AK7" s="66">
        <v>1.6529516246661928</v>
      </c>
      <c r="AL7" s="66">
        <v>1.4657642581572548</v>
      </c>
      <c r="AM7" s="66">
        <v>1.2620103349812537</v>
      </c>
      <c r="AN7" s="66">
        <v>1.0977644037644996</v>
      </c>
      <c r="AO7" s="66">
        <v>1.0021609663106916</v>
      </c>
      <c r="AP7" s="66">
        <v>0.90717283657005954</v>
      </c>
      <c r="AQ7" s="66">
        <v>0.81260469717555184</v>
      </c>
      <c r="AR7" s="66">
        <v>0.71840958087719997</v>
      </c>
      <c r="AS7" s="66">
        <v>0.62437822681417232</v>
      </c>
      <c r="AT7" s="66">
        <v>0.53052271244463656</v>
      </c>
      <c r="AU7" s="66">
        <v>0.43695584798032178</v>
      </c>
      <c r="AV7" s="66">
        <v>0.34366966285287237</v>
      </c>
      <c r="AW7" s="66">
        <v>0.25060030914860204</v>
      </c>
      <c r="AX7" s="66">
        <v>0.15793989122947033</v>
      </c>
      <c r="BI7" t="s">
        <v>432</v>
      </c>
    </row>
    <row r="8" spans="1:61" ht="14" x14ac:dyDescent="0.15">
      <c r="A8" s="63" t="s">
        <v>353</v>
      </c>
      <c r="B8" s="63" t="s">
        <v>52</v>
      </c>
      <c r="C8" s="63" t="e">
        <v>#N/A</v>
      </c>
      <c r="D8" t="s">
        <v>327</v>
      </c>
      <c r="E8" s="63" t="s">
        <v>337</v>
      </c>
      <c r="F8" s="63" t="s">
        <v>431</v>
      </c>
      <c r="G8" s="67" t="s">
        <v>338</v>
      </c>
      <c r="H8" s="92" t="s">
        <v>365</v>
      </c>
      <c r="U8" s="252">
        <f>(Table22[[#This Row],[2022]]-Table22[[#This Row],[2050]])/Table22[[#This Row],[2022]]</f>
        <v>0.96741232707974689</v>
      </c>
      <c r="V8" s="66">
        <v>5.3842854841032306</v>
      </c>
      <c r="W8" s="66">
        <v>5.3967683101478032</v>
      </c>
      <c r="X8" s="66">
        <v>5.1856439103800538</v>
      </c>
      <c r="Y8" s="66">
        <v>5.3579062304432732</v>
      </c>
      <c r="Z8" s="66">
        <v>5.3459367558178323</v>
      </c>
      <c r="AA8" s="66">
        <v>5.2123759536873671</v>
      </c>
      <c r="AB8" s="66">
        <v>4.8303555923503874</v>
      </c>
      <c r="AC8" s="66">
        <v>4.4650280888462719</v>
      </c>
      <c r="AD8" s="66">
        <v>4.0789954370126313</v>
      </c>
      <c r="AE8" s="66">
        <v>3.5801081029705912</v>
      </c>
      <c r="AF8" s="66">
        <v>3.1839173254550888</v>
      </c>
      <c r="AG8" s="66">
        <v>2.766088315854585</v>
      </c>
      <c r="AH8" s="66">
        <v>2.3849269118417564</v>
      </c>
      <c r="AI8" s="66">
        <v>2.0181039408447301</v>
      </c>
      <c r="AJ8" s="66">
        <v>1.7612776525518052</v>
      </c>
      <c r="AK8" s="66">
        <v>1.5504665343241923</v>
      </c>
      <c r="AL8" s="66">
        <v>1.3775601131673003</v>
      </c>
      <c r="AM8" s="66">
        <v>1.2068406513471819</v>
      </c>
      <c r="AN8" s="66">
        <v>1.0372398158679097</v>
      </c>
      <c r="AO8" s="66">
        <v>0.94994864575465943</v>
      </c>
      <c r="AP8" s="66">
        <v>0.86305779526536419</v>
      </c>
      <c r="AQ8" s="66">
        <v>0.77634017161821256</v>
      </c>
      <c r="AR8" s="66">
        <v>0.68992002451995149</v>
      </c>
      <c r="AS8" s="66">
        <v>0.60368726004624829</v>
      </c>
      <c r="AT8" s="66">
        <v>0.51855881468156828</v>
      </c>
      <c r="AU8" s="66">
        <v>0.43318115127076262</v>
      </c>
      <c r="AV8" s="66">
        <v>0.34757175799512652</v>
      </c>
      <c r="AW8" s="66">
        <v>0.26167079348071087</v>
      </c>
      <c r="AX8" s="66">
        <v>0.17546133426522306</v>
      </c>
      <c r="BI8" t="s">
        <v>432</v>
      </c>
    </row>
    <row r="9" spans="1:61" ht="14" x14ac:dyDescent="0.15">
      <c r="A9" s="63" t="s">
        <v>353</v>
      </c>
      <c r="B9" s="63" t="s">
        <v>52</v>
      </c>
      <c r="C9" s="63" t="e">
        <v>#N/A</v>
      </c>
      <c r="D9" t="s">
        <v>233</v>
      </c>
      <c r="E9" s="63" t="s">
        <v>337</v>
      </c>
      <c r="F9" s="63" t="s">
        <v>431</v>
      </c>
      <c r="G9" s="67" t="s">
        <v>338</v>
      </c>
      <c r="H9" s="92" t="s">
        <v>365</v>
      </c>
      <c r="U9" s="252">
        <f>(Table22[[#This Row],[2022]]-Table22[[#This Row],[2050]])/Table22[[#This Row],[2022]]</f>
        <v>0.96915864169186738</v>
      </c>
      <c r="V9" s="66">
        <v>5.3431080463667833</v>
      </c>
      <c r="W9" s="66">
        <v>5.303781294276197</v>
      </c>
      <c r="X9" s="66">
        <v>5.1838261015037155</v>
      </c>
      <c r="Y9" s="66">
        <v>5.2154483711240669</v>
      </c>
      <c r="Z9" s="66">
        <v>4.9924452977268325</v>
      </c>
      <c r="AA9" s="66">
        <v>4.7770476123302412</v>
      </c>
      <c r="AB9" s="66">
        <v>4.4080976615493812</v>
      </c>
      <c r="AC9" s="66">
        <v>4.0302542315014627</v>
      </c>
      <c r="AD9" s="66">
        <v>3.667126890661788</v>
      </c>
      <c r="AE9" s="66">
        <v>3.2255241909146131</v>
      </c>
      <c r="AF9" s="66">
        <v>2.8452098086442117</v>
      </c>
      <c r="AG9" s="66">
        <v>2.4886203969047216</v>
      </c>
      <c r="AH9" s="66">
        <v>2.1728886531626719</v>
      </c>
      <c r="AI9" s="66">
        <v>1.8847270869061896</v>
      </c>
      <c r="AJ9" s="66">
        <v>1.6746021839247283</v>
      </c>
      <c r="AK9" s="66">
        <v>1.4971293495517886</v>
      </c>
      <c r="AL9" s="66">
        <v>1.3385055200936358</v>
      </c>
      <c r="AM9" s="66">
        <v>1.1787648059462517</v>
      </c>
      <c r="AN9" s="66">
        <v>1.0256219461947376</v>
      </c>
      <c r="AO9" s="66">
        <v>0.94209314310159342</v>
      </c>
      <c r="AP9" s="66">
        <v>0.85410670793591703</v>
      </c>
      <c r="AQ9" s="66">
        <v>0.76661082933347835</v>
      </c>
      <c r="AR9" s="66">
        <v>0.67963899677707118</v>
      </c>
      <c r="AS9" s="66">
        <v>0.59308222695349866</v>
      </c>
      <c r="AT9" s="66">
        <v>0.50809906121898485</v>
      </c>
      <c r="AU9" s="66">
        <v>0.42230474311645838</v>
      </c>
      <c r="AV9" s="66">
        <v>0.33654745386471341</v>
      </c>
      <c r="AW9" s="66">
        <v>0.25068052266475499</v>
      </c>
      <c r="AX9" s="66">
        <v>0.16478870973706436</v>
      </c>
      <c r="BI9" t="s">
        <v>432</v>
      </c>
    </row>
    <row r="10" spans="1:61" ht="14" x14ac:dyDescent="0.15">
      <c r="A10" s="63" t="s">
        <v>353</v>
      </c>
      <c r="B10" s="63" t="s">
        <v>52</v>
      </c>
      <c r="C10" s="63" t="e">
        <v>#N/A</v>
      </c>
      <c r="D10" t="s">
        <v>326</v>
      </c>
      <c r="E10" s="63" t="s">
        <v>337</v>
      </c>
      <c r="F10" s="63" t="s">
        <v>431</v>
      </c>
      <c r="G10" s="67" t="s">
        <v>338</v>
      </c>
      <c r="H10" s="92" t="s">
        <v>329</v>
      </c>
      <c r="U10" s="252">
        <f>(Table22[[#This Row],[2022]]-Table22[[#This Row],[2050]])/Table22[[#This Row],[2022]]</f>
        <v>0.95135578634969609</v>
      </c>
      <c r="V10" s="66">
        <v>3.9384235531173548</v>
      </c>
      <c r="W10" s="66">
        <v>3.9494595348172612</v>
      </c>
      <c r="X10" s="66">
        <v>3.7552432111667851</v>
      </c>
      <c r="Y10" s="66">
        <v>3.6402132834110192</v>
      </c>
      <c r="Z10" s="66">
        <v>3.4978302580110396</v>
      </c>
      <c r="AA10" s="66">
        <v>3.3233776314566663</v>
      </c>
      <c r="AB10" s="66">
        <v>3.143444342034543</v>
      </c>
      <c r="AC10" s="66">
        <v>2.9541338266671886</v>
      </c>
      <c r="AD10" s="66">
        <v>2.7723682451761364</v>
      </c>
      <c r="AE10" s="66">
        <v>2.6220074930168247</v>
      </c>
      <c r="AF10" s="66">
        <v>2.4620688632852366</v>
      </c>
      <c r="AG10" s="66">
        <v>2.315386798698349</v>
      </c>
      <c r="AH10" s="66">
        <v>2.1684228668969294</v>
      </c>
      <c r="AI10" s="66">
        <v>2.0288048679509281</v>
      </c>
      <c r="AJ10" s="66">
        <v>1.851916021431685</v>
      </c>
      <c r="AK10" s="66">
        <v>1.6822591787323069</v>
      </c>
      <c r="AL10" s="66">
        <v>1.5191496188656868</v>
      </c>
      <c r="AM10" s="66">
        <v>1.3566913912671479</v>
      </c>
      <c r="AN10" s="66">
        <v>1.1957768427616162</v>
      </c>
      <c r="AO10" s="66">
        <v>1.0932795875078083</v>
      </c>
      <c r="AP10" s="66">
        <v>0.99170338548594594</v>
      </c>
      <c r="AQ10" s="66">
        <v>0.89069525004112415</v>
      </c>
      <c r="AR10" s="66">
        <v>0.79016942980686466</v>
      </c>
      <c r="AS10" s="66">
        <v>0.68973796564131684</v>
      </c>
      <c r="AT10" s="66">
        <v>0.58943654718516736</v>
      </c>
      <c r="AU10" s="66">
        <v>0.48947694661401292</v>
      </c>
      <c r="AV10" s="66">
        <v>0.38984652334435899</v>
      </c>
      <c r="AW10" s="66">
        <v>0.29044301191144212</v>
      </c>
      <c r="AX10" s="66">
        <v>0.19158151676322971</v>
      </c>
      <c r="BI10" t="s">
        <v>432</v>
      </c>
    </row>
    <row r="11" spans="1:61" ht="14" x14ac:dyDescent="0.15">
      <c r="A11" s="63" t="s">
        <v>353</v>
      </c>
      <c r="B11" s="63" t="s">
        <v>52</v>
      </c>
      <c r="C11" s="63" t="e">
        <v>#N/A</v>
      </c>
      <c r="D11" t="s">
        <v>231</v>
      </c>
      <c r="E11" s="63" t="s">
        <v>337</v>
      </c>
      <c r="F11" s="63" t="s">
        <v>431</v>
      </c>
      <c r="G11" s="67" t="s">
        <v>338</v>
      </c>
      <c r="H11" s="92" t="s">
        <v>329</v>
      </c>
      <c r="U11" s="252">
        <f>(Table22[[#This Row],[2022]]-Table22[[#This Row],[2050]])/Table22[[#This Row],[2022]]</f>
        <v>0.95807011824930055</v>
      </c>
      <c r="V11" s="66">
        <v>4.5977798440648519</v>
      </c>
      <c r="W11" s="66">
        <v>4.5591622429984815</v>
      </c>
      <c r="X11" s="66">
        <v>4.3877239681363642</v>
      </c>
      <c r="Y11" s="66">
        <v>4.2833912292736649</v>
      </c>
      <c r="Z11" s="66">
        <v>4.1296545342416495</v>
      </c>
      <c r="AA11" s="66">
        <v>3.9301405855046472</v>
      </c>
      <c r="AB11" s="66">
        <v>3.7026744989005449</v>
      </c>
      <c r="AC11" s="66">
        <v>3.4411986596879256</v>
      </c>
      <c r="AD11" s="66">
        <v>3.1932217762764594</v>
      </c>
      <c r="AE11" s="66">
        <v>2.9693166936815611</v>
      </c>
      <c r="AF11" s="66">
        <v>2.7304959208419208</v>
      </c>
      <c r="AG11" s="66">
        <v>2.5094002513067757</v>
      </c>
      <c r="AH11" s="66">
        <v>2.3143065093961726</v>
      </c>
      <c r="AI11" s="66">
        <v>2.1445454528761156</v>
      </c>
      <c r="AJ11" s="66">
        <v>1.9437338595571034</v>
      </c>
      <c r="AK11" s="66">
        <v>1.7569449191502082</v>
      </c>
      <c r="AL11" s="66">
        <v>1.5788735504156608</v>
      </c>
      <c r="AM11" s="66">
        <v>1.3962082692078397</v>
      </c>
      <c r="AN11" s="66">
        <v>1.226415534538589</v>
      </c>
      <c r="AO11" s="66">
        <v>1.120833274705942</v>
      </c>
      <c r="AP11" s="66">
        <v>1.0162400068367841</v>
      </c>
      <c r="AQ11" s="66">
        <v>0.91225335422469023</v>
      </c>
      <c r="AR11" s="66">
        <v>0.80877811314192716</v>
      </c>
      <c r="AS11" s="66">
        <v>0.7054015480079594</v>
      </c>
      <c r="AT11" s="66">
        <v>0.60216549073700676</v>
      </c>
      <c r="AU11" s="66">
        <v>0.49929342012616773</v>
      </c>
      <c r="AV11" s="66">
        <v>0.39677146170559913</v>
      </c>
      <c r="AW11" s="66">
        <v>0.29449750990865387</v>
      </c>
      <c r="AX11" s="66">
        <v>0.19278436517738848</v>
      </c>
      <c r="BI11" t="s">
        <v>432</v>
      </c>
    </row>
    <row r="12" spans="1:61" ht="14" x14ac:dyDescent="0.15">
      <c r="A12" s="63" t="s">
        <v>353</v>
      </c>
      <c r="B12" s="63" t="s">
        <v>52</v>
      </c>
      <c r="C12" s="63" t="e">
        <v>#N/A</v>
      </c>
      <c r="D12" t="s">
        <v>327</v>
      </c>
      <c r="E12" s="63" t="s">
        <v>337</v>
      </c>
      <c r="F12" s="63" t="s">
        <v>431</v>
      </c>
      <c r="G12" s="67" t="s">
        <v>338</v>
      </c>
      <c r="H12" s="92" t="s">
        <v>329</v>
      </c>
      <c r="U12" s="252">
        <f>(Table22[[#This Row],[2022]]-Table22[[#This Row],[2050]])/Table22[[#This Row],[2022]]</f>
        <v>0.95115531873201375</v>
      </c>
      <c r="V12" s="66">
        <v>4.4506514114275451</v>
      </c>
      <c r="W12" s="66">
        <v>4.4590463886082068</v>
      </c>
      <c r="X12" s="66">
        <v>4.2766351011377131</v>
      </c>
      <c r="Y12" s="66">
        <v>4.0725837680726116</v>
      </c>
      <c r="Z12" s="66">
        <v>3.846601559221106</v>
      </c>
      <c r="AA12" s="66">
        <v>3.6119913561184367</v>
      </c>
      <c r="AB12" s="66">
        <v>3.3588000427570757</v>
      </c>
      <c r="AC12" s="66">
        <v>3.1179325434437875</v>
      </c>
      <c r="AD12" s="66">
        <v>2.8851667744071441</v>
      </c>
      <c r="AE12" s="66">
        <v>2.6776683788684976</v>
      </c>
      <c r="AF12" s="66">
        <v>2.4867410514054233</v>
      </c>
      <c r="AG12" s="66">
        <v>2.2906765187103812</v>
      </c>
      <c r="AH12" s="66">
        <v>2.1009678404741741</v>
      </c>
      <c r="AI12" s="66">
        <v>1.9550133398827718</v>
      </c>
      <c r="AJ12" s="66">
        <v>1.8344671809249078</v>
      </c>
      <c r="AK12" s="66">
        <v>1.7157027725465628</v>
      </c>
      <c r="AL12" s="66">
        <v>1.5688898403577474</v>
      </c>
      <c r="AM12" s="66">
        <v>1.4180455887998995</v>
      </c>
      <c r="AN12" s="66">
        <v>1.2629513899391678</v>
      </c>
      <c r="AO12" s="66">
        <v>1.1618682670820861</v>
      </c>
      <c r="AP12" s="66">
        <v>1.0601483549979815</v>
      </c>
      <c r="AQ12" s="66">
        <v>0.9577542661657712</v>
      </c>
      <c r="AR12" s="66">
        <v>0.85451765560070525</v>
      </c>
      <c r="AS12" s="66">
        <v>0.75049644690762596</v>
      </c>
      <c r="AT12" s="66">
        <v>0.64364822449109227</v>
      </c>
      <c r="AU12" s="66">
        <v>0.53692920913360154</v>
      </c>
      <c r="AV12" s="66">
        <v>0.43027389339593963</v>
      </c>
      <c r="AW12" s="66">
        <v>0.32374034736399698</v>
      </c>
      <c r="AX12" s="66">
        <v>0.21739064962609181</v>
      </c>
      <c r="BI12" t="s">
        <v>432</v>
      </c>
    </row>
    <row r="13" spans="1:61" ht="14" x14ac:dyDescent="0.15">
      <c r="A13" s="63" t="s">
        <v>353</v>
      </c>
      <c r="B13" s="63" t="s">
        <v>52</v>
      </c>
      <c r="C13" s="63" t="e">
        <v>#N/A</v>
      </c>
      <c r="D13" t="s">
        <v>233</v>
      </c>
      <c r="E13" s="63" t="s">
        <v>337</v>
      </c>
      <c r="F13" s="63" t="s">
        <v>431</v>
      </c>
      <c r="G13" s="67" t="s">
        <v>338</v>
      </c>
      <c r="H13" s="92" t="s">
        <v>329</v>
      </c>
      <c r="U13" s="252">
        <f>(Table22[[#This Row],[2022]]-Table22[[#This Row],[2050]])/Table22[[#This Row],[2022]]</f>
        <v>0.95352528354609867</v>
      </c>
      <c r="V13" s="66">
        <v>4.3774817064944491</v>
      </c>
      <c r="W13" s="66">
        <v>4.3677475694860721</v>
      </c>
      <c r="X13" s="66">
        <v>4.1772533779293246</v>
      </c>
      <c r="Y13" s="66">
        <v>4.0368674868581413</v>
      </c>
      <c r="Z13" s="66">
        <v>3.8723599426054927</v>
      </c>
      <c r="AA13" s="66">
        <v>3.6642554106809353</v>
      </c>
      <c r="AB13" s="66">
        <v>3.4380288047343179</v>
      </c>
      <c r="AC13" s="66">
        <v>3.2011968267092166</v>
      </c>
      <c r="AD13" s="66">
        <v>2.9752145686532243</v>
      </c>
      <c r="AE13" s="66">
        <v>2.7626125226051776</v>
      </c>
      <c r="AF13" s="66">
        <v>2.5627248051569547</v>
      </c>
      <c r="AG13" s="66">
        <v>2.3697666054462077</v>
      </c>
      <c r="AH13" s="66">
        <v>2.1876433222049423</v>
      </c>
      <c r="AI13" s="66">
        <v>2.0346283674440184</v>
      </c>
      <c r="AJ13" s="66">
        <v>1.8734858170871764</v>
      </c>
      <c r="AK13" s="66">
        <v>1.7197820332084444</v>
      </c>
      <c r="AL13" s="66">
        <v>1.5588859779433681</v>
      </c>
      <c r="AM13" s="66">
        <v>1.3951915817926208</v>
      </c>
      <c r="AN13" s="66">
        <v>1.2341570416600198</v>
      </c>
      <c r="AO13" s="66">
        <v>1.1319588347260996</v>
      </c>
      <c r="AP13" s="66">
        <v>1.0294111966262907</v>
      </c>
      <c r="AQ13" s="66">
        <v>0.92689047621156939</v>
      </c>
      <c r="AR13" s="66">
        <v>0.82419577519289322</v>
      </c>
      <c r="AS13" s="66">
        <v>0.72119167082041269</v>
      </c>
      <c r="AT13" s="66">
        <v>0.61706812589992832</v>
      </c>
      <c r="AU13" s="66">
        <v>0.51328550248873606</v>
      </c>
      <c r="AV13" s="66">
        <v>0.40974478911009865</v>
      </c>
      <c r="AW13" s="66">
        <v>0.30640926885509645</v>
      </c>
      <c r="AX13" s="66">
        <v>0.20344222109146948</v>
      </c>
      <c r="BI13" t="s">
        <v>432</v>
      </c>
    </row>
    <row r="14" spans="1:61" ht="14" x14ac:dyDescent="0.15">
      <c r="A14" s="63" t="s">
        <v>353</v>
      </c>
      <c r="B14" s="63" t="s">
        <v>52</v>
      </c>
      <c r="C14" s="63" t="e">
        <v>#N/A</v>
      </c>
      <c r="D14" t="s">
        <v>326</v>
      </c>
      <c r="E14" s="63" t="s">
        <v>337</v>
      </c>
      <c r="F14" s="63" t="s">
        <v>431</v>
      </c>
      <c r="G14" s="67" t="s">
        <v>338</v>
      </c>
      <c r="H14" s="92" t="s">
        <v>330</v>
      </c>
      <c r="U14" s="252">
        <f>(Table22[[#This Row],[2022]]-Table22[[#This Row],[2050]])/Table22[[#This Row],[2022]]</f>
        <v>0.95598072112287336</v>
      </c>
      <c r="V14" s="66">
        <v>3.9238131330873367</v>
      </c>
      <c r="W14" s="66">
        <v>3.9220310028957361</v>
      </c>
      <c r="X14" s="66">
        <v>3.7150908543449712</v>
      </c>
      <c r="Y14" s="66">
        <v>3.564372953004074</v>
      </c>
      <c r="Z14" s="66">
        <v>3.3891130246649932</v>
      </c>
      <c r="AA14" s="66">
        <v>3.1865646646490187</v>
      </c>
      <c r="AB14" s="66">
        <v>2.9832101824671318</v>
      </c>
      <c r="AC14" s="66">
        <v>2.7744328064122672</v>
      </c>
      <c r="AD14" s="66">
        <v>2.5771830106308387</v>
      </c>
      <c r="AE14" s="66">
        <v>2.401500900227977</v>
      </c>
      <c r="AF14" s="66">
        <v>2.2211665256733788</v>
      </c>
      <c r="AG14" s="66">
        <v>2.0603917602889585</v>
      </c>
      <c r="AH14" s="66">
        <v>1.9037443186723384</v>
      </c>
      <c r="AI14" s="66">
        <v>1.7597359011859044</v>
      </c>
      <c r="AJ14" s="66">
        <v>1.6057102726839936</v>
      </c>
      <c r="AK14" s="66">
        <v>1.4580719182780033</v>
      </c>
      <c r="AL14" s="66">
        <v>1.3176964327459246</v>
      </c>
      <c r="AM14" s="66">
        <v>1.1772723705374126</v>
      </c>
      <c r="AN14" s="66">
        <v>1.0387487251982066</v>
      </c>
      <c r="AO14" s="66">
        <v>0.94929935941369092</v>
      </c>
      <c r="AP14" s="66">
        <v>0.86110634884852544</v>
      </c>
      <c r="AQ14" s="66">
        <v>0.77369628108839505</v>
      </c>
      <c r="AR14" s="66">
        <v>0.68695426166112072</v>
      </c>
      <c r="AS14" s="66">
        <v>0.60033166203776978</v>
      </c>
      <c r="AT14" s="66">
        <v>0.51388216967059197</v>
      </c>
      <c r="AU14" s="66">
        <v>0.4279062532313509</v>
      </c>
      <c r="AV14" s="66">
        <v>0.34238593610031087</v>
      </c>
      <c r="AW14" s="66">
        <v>0.25717963069798799</v>
      </c>
      <c r="AX14" s="66">
        <v>0.17272342456710343</v>
      </c>
      <c r="BI14" t="s">
        <v>432</v>
      </c>
    </row>
    <row r="15" spans="1:61" ht="14" x14ac:dyDescent="0.15">
      <c r="A15" s="63" t="s">
        <v>353</v>
      </c>
      <c r="B15" s="63" t="s">
        <v>52</v>
      </c>
      <c r="C15" s="63" t="e">
        <v>#N/A</v>
      </c>
      <c r="D15" t="s">
        <v>231</v>
      </c>
      <c r="E15" s="63" t="s">
        <v>337</v>
      </c>
      <c r="F15" s="63" t="s">
        <v>431</v>
      </c>
      <c r="G15" s="67" t="s">
        <v>338</v>
      </c>
      <c r="H15" s="92" t="s">
        <v>330</v>
      </c>
      <c r="U15" s="252">
        <f>(Table22[[#This Row],[2022]]-Table22[[#This Row],[2050]])/Table22[[#This Row],[2022]]</f>
        <v>0.96258192414522903</v>
      </c>
      <c r="V15" s="66">
        <v>4.6499406219716688</v>
      </c>
      <c r="W15" s="66">
        <v>4.6451685115232433</v>
      </c>
      <c r="X15" s="66">
        <v>4.4678771409932576</v>
      </c>
      <c r="Y15" s="66">
        <v>4.3101693971604789</v>
      </c>
      <c r="Z15" s="66">
        <v>4.1079542975799503</v>
      </c>
      <c r="AA15" s="66">
        <v>3.8643318953662273</v>
      </c>
      <c r="AB15" s="66">
        <v>3.5992224442308109</v>
      </c>
      <c r="AC15" s="66">
        <v>3.3076016511640161</v>
      </c>
      <c r="AD15" s="66">
        <v>3.0326175779235425</v>
      </c>
      <c r="AE15" s="66">
        <v>2.7837386019574719</v>
      </c>
      <c r="AF15" s="66">
        <v>2.519297570533535</v>
      </c>
      <c r="AG15" s="66">
        <v>2.2759465516940942</v>
      </c>
      <c r="AH15" s="66">
        <v>2.0606848883079882</v>
      </c>
      <c r="AI15" s="66">
        <v>1.8823634224084596</v>
      </c>
      <c r="AJ15" s="66">
        <v>1.7028828794522486</v>
      </c>
      <c r="AK15" s="66">
        <v>1.5370663400798725</v>
      </c>
      <c r="AL15" s="66">
        <v>1.3808543558989672</v>
      </c>
      <c r="AM15" s="66">
        <v>1.2190638711525574</v>
      </c>
      <c r="AN15" s="66">
        <v>1.0710576202172992</v>
      </c>
      <c r="AO15" s="66">
        <v>0.97835506635799407</v>
      </c>
      <c r="AP15" s="66">
        <v>0.88698051918417975</v>
      </c>
      <c r="AQ15" s="66">
        <v>0.79642935075267651</v>
      </c>
      <c r="AR15" s="66">
        <v>0.70657716000631265</v>
      </c>
      <c r="AS15" s="66">
        <v>0.6168489447324853</v>
      </c>
      <c r="AT15" s="66">
        <v>0.52730486914962538</v>
      </c>
      <c r="AU15" s="66">
        <v>0.43825774653014299</v>
      </c>
      <c r="AV15" s="66">
        <v>0.34968829910780902</v>
      </c>
      <c r="AW15" s="66">
        <v>0.26145510791442655</v>
      </c>
      <c r="AX15" s="66">
        <v>0.17399183091311707</v>
      </c>
      <c r="BI15" t="s">
        <v>432</v>
      </c>
    </row>
    <row r="16" spans="1:61" ht="14" x14ac:dyDescent="0.15">
      <c r="A16" s="63" t="s">
        <v>353</v>
      </c>
      <c r="B16" s="63" t="s">
        <v>52</v>
      </c>
      <c r="C16" s="63" t="e">
        <v>#N/A</v>
      </c>
      <c r="D16" t="s">
        <v>327</v>
      </c>
      <c r="E16" s="63" t="s">
        <v>337</v>
      </c>
      <c r="F16" s="63" t="s">
        <v>431</v>
      </c>
      <c r="G16" s="67" t="s">
        <v>338</v>
      </c>
      <c r="H16" s="92" t="s">
        <v>330</v>
      </c>
      <c r="U16" s="252">
        <f>(Table22[[#This Row],[2022]]-Table22[[#This Row],[2050]])/Table22[[#This Row],[2022]]</f>
        <v>0.95353206014836678</v>
      </c>
      <c r="V16" s="66">
        <v>4.4723837702000573</v>
      </c>
      <c r="W16" s="66">
        <v>4.4821460604642596</v>
      </c>
      <c r="X16" s="66">
        <v>4.2963817241095681</v>
      </c>
      <c r="Y16" s="66">
        <v>4.086330297008554</v>
      </c>
      <c r="Z16" s="66">
        <v>3.8543427587307693</v>
      </c>
      <c r="AA16" s="66">
        <v>3.6138069649808369</v>
      </c>
      <c r="AB16" s="66">
        <v>3.3551042765437846</v>
      </c>
      <c r="AC16" s="66">
        <v>3.1097098780441885</v>
      </c>
      <c r="AD16" s="66">
        <v>2.8731387292958597</v>
      </c>
      <c r="AE16" s="66">
        <v>2.6382167141372004</v>
      </c>
      <c r="AF16" s="66">
        <v>2.4229250256606254</v>
      </c>
      <c r="AG16" s="66">
        <v>2.2086552091464533</v>
      </c>
      <c r="AH16" s="66">
        <v>2.0059916672190075</v>
      </c>
      <c r="AI16" s="66">
        <v>1.8120846596833307</v>
      </c>
      <c r="AJ16" s="66">
        <v>1.6577692154533761</v>
      </c>
      <c r="AK16" s="66">
        <v>1.5148164893704705</v>
      </c>
      <c r="AL16" s="66">
        <v>1.3849048831475124</v>
      </c>
      <c r="AM16" s="66">
        <v>1.2521671313497889</v>
      </c>
      <c r="AN16" s="66">
        <v>1.1159452504288609</v>
      </c>
      <c r="AO16" s="66">
        <v>1.0330275371495463</v>
      </c>
      <c r="AP16" s="66">
        <v>0.94863035444739985</v>
      </c>
      <c r="AQ16" s="66">
        <v>0.86256975751545117</v>
      </c>
      <c r="AR16" s="66">
        <v>0.77465565008602078</v>
      </c>
      <c r="AS16" s="66">
        <v>0.68504613681350979</v>
      </c>
      <c r="AT16" s="66">
        <v>0.58920961568856689</v>
      </c>
      <c r="AU16" s="66">
        <v>0.49359076113412642</v>
      </c>
      <c r="AV16" s="66">
        <v>0.39809200314677451</v>
      </c>
      <c r="AW16" s="66">
        <v>0.30280506099993759</v>
      </c>
      <c r="AX16" s="66">
        <v>0.20782246002707683</v>
      </c>
      <c r="BI16" t="s">
        <v>432</v>
      </c>
    </row>
    <row r="17" spans="1:61" ht="14" x14ac:dyDescent="0.15">
      <c r="A17" s="63" t="s">
        <v>353</v>
      </c>
      <c r="B17" s="63" t="s">
        <v>52</v>
      </c>
      <c r="C17" s="63" t="e">
        <v>#N/A</v>
      </c>
      <c r="D17" t="s">
        <v>233</v>
      </c>
      <c r="E17" s="63" t="s">
        <v>337</v>
      </c>
      <c r="F17" s="63" t="s">
        <v>431</v>
      </c>
      <c r="G17" s="67" t="s">
        <v>338</v>
      </c>
      <c r="H17" s="92" t="s">
        <v>330</v>
      </c>
      <c r="U17" s="252">
        <f>(Table22[[#This Row],[2022]]-Table22[[#This Row],[2050]])/Table22[[#This Row],[2022]]</f>
        <v>0.95710775082369348</v>
      </c>
      <c r="V17" s="66">
        <v>4.3398964662347179</v>
      </c>
      <c r="W17" s="66">
        <v>4.3481571879122685</v>
      </c>
      <c r="X17" s="66">
        <v>4.1947418044266191</v>
      </c>
      <c r="Y17" s="66">
        <v>4.0255470015029902</v>
      </c>
      <c r="Z17" s="66">
        <v>3.8079512615054405</v>
      </c>
      <c r="AA17" s="66">
        <v>3.5805652268189108</v>
      </c>
      <c r="AB17" s="66">
        <v>3.3395640878303525</v>
      </c>
      <c r="AC17" s="66">
        <v>3.0911690900587661</v>
      </c>
      <c r="AD17" s="66">
        <v>2.8548000754834613</v>
      </c>
      <c r="AE17" s="66">
        <v>2.6409742374076304</v>
      </c>
      <c r="AF17" s="66">
        <v>2.4159325243171055</v>
      </c>
      <c r="AG17" s="66">
        <v>2.2032228059153831</v>
      </c>
      <c r="AH17" s="66">
        <v>2.0060168328956181</v>
      </c>
      <c r="AI17" s="66">
        <v>1.8303199522206155</v>
      </c>
      <c r="AJ17" s="66">
        <v>1.6646686626959135</v>
      </c>
      <c r="AK17" s="66">
        <v>1.5102983306798099</v>
      </c>
      <c r="AL17" s="66">
        <v>1.3663053668097607</v>
      </c>
      <c r="AM17" s="66">
        <v>1.2193221457503709</v>
      </c>
      <c r="AN17" s="66">
        <v>1.0777024426870845</v>
      </c>
      <c r="AO17" s="66">
        <v>0.98995567101965098</v>
      </c>
      <c r="AP17" s="66">
        <v>0.90210151873210975</v>
      </c>
      <c r="AQ17" s="66">
        <v>0.81419111341493944</v>
      </c>
      <c r="AR17" s="66">
        <v>0.7260091024392602</v>
      </c>
      <c r="AS17" s="66">
        <v>0.63722986041490171</v>
      </c>
      <c r="AT17" s="66">
        <v>0.54628463480911771</v>
      </c>
      <c r="AU17" s="66">
        <v>0.4557269194281412</v>
      </c>
      <c r="AV17" s="66">
        <v>0.36549589477113198</v>
      </c>
      <c r="AW17" s="66">
        <v>0.27553800301238246</v>
      </c>
      <c r="AX17" s="66">
        <v>0.18614792062911209</v>
      </c>
      <c r="BI17" t="s">
        <v>432</v>
      </c>
    </row>
    <row r="18" spans="1:61" ht="14" x14ac:dyDescent="0.15">
      <c r="A18" s="63" t="s">
        <v>353</v>
      </c>
      <c r="B18" s="63" t="s">
        <v>52</v>
      </c>
      <c r="C18" s="63" t="e">
        <v>#N/A</v>
      </c>
      <c r="D18" t="s">
        <v>326</v>
      </c>
      <c r="E18" s="63" t="s">
        <v>337</v>
      </c>
      <c r="F18" s="63" t="s">
        <v>431</v>
      </c>
      <c r="G18" s="67" t="s">
        <v>338</v>
      </c>
      <c r="H18" s="92" t="s">
        <v>364</v>
      </c>
      <c r="U18" s="252">
        <f>(Table22[[#This Row],[2022]]-Table22[[#This Row],[2050]])/Table22[[#This Row],[2022]]</f>
        <v>0.9568168534394168</v>
      </c>
      <c r="V18" s="66">
        <v>3.9984029510523005</v>
      </c>
      <c r="W18" s="66">
        <v>4.0140023659217103</v>
      </c>
      <c r="X18" s="66">
        <v>3.8025210180069653</v>
      </c>
      <c r="Y18" s="66">
        <v>3.8422347435819821</v>
      </c>
      <c r="Z18" s="66">
        <v>3.726589523822037</v>
      </c>
      <c r="AA18" s="66">
        <v>3.5653776726876893</v>
      </c>
      <c r="AB18" s="66">
        <v>3.3930664644283919</v>
      </c>
      <c r="AC18" s="66">
        <v>3.2014253922053664</v>
      </c>
      <c r="AD18" s="66">
        <v>3.0150920119941733</v>
      </c>
      <c r="AE18" s="66">
        <v>2.7211623807848935</v>
      </c>
      <c r="AF18" s="66">
        <v>2.4411290406815045</v>
      </c>
      <c r="AG18" s="66">
        <v>2.2038266406794964</v>
      </c>
      <c r="AH18" s="66">
        <v>1.9836063468261367</v>
      </c>
      <c r="AI18" s="66">
        <v>1.789626179624749</v>
      </c>
      <c r="AJ18" s="66">
        <v>1.6332736869560649</v>
      </c>
      <c r="AK18" s="66">
        <v>1.4836140363449599</v>
      </c>
      <c r="AL18" s="66">
        <v>1.3405076541492229</v>
      </c>
      <c r="AM18" s="66">
        <v>1.1977409545468882</v>
      </c>
      <c r="AN18" s="66">
        <v>1.0564384329206993</v>
      </c>
      <c r="AO18" s="66">
        <v>0.96571429596304004</v>
      </c>
      <c r="AP18" s="66">
        <v>0.87600654141530565</v>
      </c>
      <c r="AQ18" s="66">
        <v>0.78693928737112162</v>
      </c>
      <c r="AR18" s="66">
        <v>0.69842302899859199</v>
      </c>
      <c r="AS18" s="66">
        <v>0.61002352981858299</v>
      </c>
      <c r="AT18" s="66">
        <v>0.5217792946396157</v>
      </c>
      <c r="AU18" s="66">
        <v>0.43392870484557955</v>
      </c>
      <c r="AV18" s="66">
        <v>0.34645760699270944</v>
      </c>
      <c r="AW18" s="66">
        <v>0.25924814508331911</v>
      </c>
      <c r="AX18" s="66">
        <v>0.17266362064355983</v>
      </c>
      <c r="BI18" t="s">
        <v>432</v>
      </c>
    </row>
    <row r="19" spans="1:61" ht="14" x14ac:dyDescent="0.15">
      <c r="A19" s="63" t="s">
        <v>353</v>
      </c>
      <c r="B19" s="63" t="s">
        <v>52</v>
      </c>
      <c r="C19" s="63" t="e">
        <v>#N/A</v>
      </c>
      <c r="D19" t="s">
        <v>231</v>
      </c>
      <c r="E19" s="63" t="s">
        <v>337</v>
      </c>
      <c r="F19" s="63" t="s">
        <v>431</v>
      </c>
      <c r="G19" s="67" t="s">
        <v>338</v>
      </c>
      <c r="H19" s="92" t="s">
        <v>364</v>
      </c>
      <c r="U19" s="252">
        <f>(Table22[[#This Row],[2022]]-Table22[[#This Row],[2050]])/Table22[[#This Row],[2022]]</f>
        <v>0.96501069003952944</v>
      </c>
      <c r="V19" s="66">
        <v>5.0303668354082811</v>
      </c>
      <c r="W19" s="66">
        <v>5.0912318655944038</v>
      </c>
      <c r="X19" s="66">
        <v>4.896194037979547</v>
      </c>
      <c r="Y19" s="66">
        <v>5.1342789167821152</v>
      </c>
      <c r="Z19" s="66">
        <v>4.9795754192847967</v>
      </c>
      <c r="AA19" s="66">
        <v>4.7439218398022174</v>
      </c>
      <c r="AB19" s="66">
        <v>4.4565407877878878</v>
      </c>
      <c r="AC19" s="66">
        <v>4.1053812365542459</v>
      </c>
      <c r="AD19" s="66">
        <v>3.7793253129111983</v>
      </c>
      <c r="AE19" s="66">
        <v>3.3109071249501572</v>
      </c>
      <c r="AF19" s="66">
        <v>2.8808009883119414</v>
      </c>
      <c r="AG19" s="66">
        <v>2.5177064508345302</v>
      </c>
      <c r="AH19" s="66">
        <v>2.2232385562796053</v>
      </c>
      <c r="AI19" s="66">
        <v>1.9736179779068215</v>
      </c>
      <c r="AJ19" s="66">
        <v>1.7819966704255747</v>
      </c>
      <c r="AK19" s="66">
        <v>1.6065269749436175</v>
      </c>
      <c r="AL19" s="66">
        <v>1.4406150968462477</v>
      </c>
      <c r="AM19" s="66">
        <v>1.2677168147651174</v>
      </c>
      <c r="AN19" s="66">
        <v>1.1121970845647779</v>
      </c>
      <c r="AO19" s="66">
        <v>1.0160454745228051</v>
      </c>
      <c r="AP19" s="66">
        <v>0.92100126800430782</v>
      </c>
      <c r="AQ19" s="66">
        <v>0.82664833348260924</v>
      </c>
      <c r="AR19" s="66">
        <v>0.73288406274902795</v>
      </c>
      <c r="AS19" s="66">
        <v>0.6392416050079982</v>
      </c>
      <c r="AT19" s="66">
        <v>0.54576793279944769</v>
      </c>
      <c r="AU19" s="66">
        <v>0.45271661875268188</v>
      </c>
      <c r="AV19" s="66">
        <v>0.3600718500452314</v>
      </c>
      <c r="AW19" s="66">
        <v>0.2677166931411164</v>
      </c>
      <c r="AX19" s="66">
        <v>0.17600906441897218</v>
      </c>
      <c r="BI19" t="s">
        <v>432</v>
      </c>
    </row>
    <row r="20" spans="1:61" ht="14" x14ac:dyDescent="0.15">
      <c r="A20" s="63" t="s">
        <v>353</v>
      </c>
      <c r="B20" s="63" t="s">
        <v>52</v>
      </c>
      <c r="C20" s="63" t="e">
        <v>#N/A</v>
      </c>
      <c r="D20" t="s">
        <v>327</v>
      </c>
      <c r="E20" s="63" t="s">
        <v>337</v>
      </c>
      <c r="F20" s="63" t="s">
        <v>431</v>
      </c>
      <c r="G20" s="67" t="s">
        <v>338</v>
      </c>
      <c r="H20" s="92" t="s">
        <v>364</v>
      </c>
      <c r="U20" s="252">
        <f>(Table22[[#This Row],[2022]]-Table22[[#This Row],[2050]])/Table22[[#This Row],[2022]]</f>
        <v>0.95404905754098068</v>
      </c>
      <c r="V20" s="66">
        <v>4.4536066985938625</v>
      </c>
      <c r="W20" s="66">
        <v>4.4939180970482457</v>
      </c>
      <c r="X20" s="66">
        <v>4.3107023290283122</v>
      </c>
      <c r="Y20" s="66">
        <v>4.1883494905409666</v>
      </c>
      <c r="Z20" s="66">
        <v>4.3678360512293368</v>
      </c>
      <c r="AA20" s="66">
        <v>4.4599612220727414</v>
      </c>
      <c r="AB20" s="66">
        <v>4.1594813244025062</v>
      </c>
      <c r="AC20" s="66">
        <v>3.8746500023125163</v>
      </c>
      <c r="AD20" s="66">
        <v>3.5840719493446915</v>
      </c>
      <c r="AE20" s="66">
        <v>3.2115218875888267</v>
      </c>
      <c r="AF20" s="66">
        <v>2.9011495259209745</v>
      </c>
      <c r="AG20" s="66">
        <v>2.5885262625104533</v>
      </c>
      <c r="AH20" s="66">
        <v>2.3029766077418996</v>
      </c>
      <c r="AI20" s="66">
        <v>2.0343333005938322</v>
      </c>
      <c r="AJ20" s="66">
        <v>1.8341816740169423</v>
      </c>
      <c r="AK20" s="66">
        <v>1.6574603598658877</v>
      </c>
      <c r="AL20" s="66">
        <v>1.4950852296925634</v>
      </c>
      <c r="AM20" s="66">
        <v>1.3336590613085995</v>
      </c>
      <c r="AN20" s="66">
        <v>1.1723538110360903</v>
      </c>
      <c r="AO20" s="66">
        <v>1.0753173983917219</v>
      </c>
      <c r="AP20" s="66">
        <v>0.97834549439697871</v>
      </c>
      <c r="AQ20" s="66">
        <v>0.88148316738045451</v>
      </c>
      <c r="AR20" s="66">
        <v>0.78458845566636104</v>
      </c>
      <c r="AS20" s="66">
        <v>0.68771469983149602</v>
      </c>
      <c r="AT20" s="66">
        <v>0.59090057410065133</v>
      </c>
      <c r="AU20" s="66">
        <v>0.49420465004423975</v>
      </c>
      <c r="AV20" s="66">
        <v>0.39755724173309298</v>
      </c>
      <c r="AW20" s="66">
        <v>0.3010161603013205</v>
      </c>
      <c r="AX20" s="66">
        <v>0.20464742514218956</v>
      </c>
      <c r="BI20" t="s">
        <v>432</v>
      </c>
    </row>
    <row r="21" spans="1:61" ht="14" x14ac:dyDescent="0.15">
      <c r="A21" s="63" t="s">
        <v>353</v>
      </c>
      <c r="B21" s="63" t="s">
        <v>52</v>
      </c>
      <c r="C21" s="63" t="e">
        <v>#N/A</v>
      </c>
      <c r="D21" t="s">
        <v>233</v>
      </c>
      <c r="E21" s="63" t="s">
        <v>337</v>
      </c>
      <c r="F21" s="63" t="s">
        <v>431</v>
      </c>
      <c r="G21" s="67" t="s">
        <v>338</v>
      </c>
      <c r="H21" s="92" t="s">
        <v>364</v>
      </c>
      <c r="U21" s="252">
        <f>(Table22[[#This Row],[2022]]-Table22[[#This Row],[2050]])/Table22[[#This Row],[2022]]</f>
        <v>0.9586481840507538</v>
      </c>
      <c r="V21" s="66">
        <v>4.45199070027435</v>
      </c>
      <c r="W21" s="66">
        <v>4.4990093525055928</v>
      </c>
      <c r="X21" s="66">
        <v>4.2639272763770579</v>
      </c>
      <c r="Y21" s="66">
        <v>4.3505069033399337</v>
      </c>
      <c r="Z21" s="66">
        <v>4.2543568837617167</v>
      </c>
      <c r="AA21" s="66">
        <v>4.1442832985746527</v>
      </c>
      <c r="AB21" s="66">
        <v>3.9191656471730689</v>
      </c>
      <c r="AC21" s="66">
        <v>3.6633510094282062</v>
      </c>
      <c r="AD21" s="66">
        <v>3.4131453002803935</v>
      </c>
      <c r="AE21" s="66">
        <v>3.0223713648311521</v>
      </c>
      <c r="AF21" s="66">
        <v>2.6888388635215081</v>
      </c>
      <c r="AG21" s="66">
        <v>2.3948149675942734</v>
      </c>
      <c r="AH21" s="66">
        <v>2.1365839935207993</v>
      </c>
      <c r="AI21" s="66">
        <v>1.9080119843234744</v>
      </c>
      <c r="AJ21" s="66">
        <v>1.7255944724463828</v>
      </c>
      <c r="AK21" s="66">
        <v>1.5623834784999424</v>
      </c>
      <c r="AL21" s="66">
        <v>1.4083151110062535</v>
      </c>
      <c r="AM21" s="66">
        <v>1.2523460292738622</v>
      </c>
      <c r="AN21" s="66">
        <v>1.1021528083784329</v>
      </c>
      <c r="AO21" s="66">
        <v>1.0116849728911657</v>
      </c>
      <c r="AP21" s="66">
        <v>0.91877281398422039</v>
      </c>
      <c r="AQ21" s="66">
        <v>0.82615550089302547</v>
      </c>
      <c r="AR21" s="66">
        <v>0.73384102053556366</v>
      </c>
      <c r="AS21" s="66">
        <v>0.64145187452334329</v>
      </c>
      <c r="AT21" s="66">
        <v>0.55059413344600228</v>
      </c>
      <c r="AU21" s="66">
        <v>0.45860450823293569</v>
      </c>
      <c r="AV21" s="66">
        <v>0.3668227987459835</v>
      </c>
      <c r="AW21" s="66">
        <v>0.27522183197828209</v>
      </c>
      <c r="AX21" s="66">
        <v>0.18409790004550111</v>
      </c>
      <c r="BI21" t="s">
        <v>432</v>
      </c>
    </row>
    <row r="22" spans="1:61" ht="14" x14ac:dyDescent="0.15">
      <c r="A22" s="63" t="s">
        <v>353</v>
      </c>
      <c r="B22" s="63" t="s">
        <v>52</v>
      </c>
      <c r="C22" s="63" t="e">
        <v>#N/A</v>
      </c>
      <c r="D22" t="s">
        <v>326</v>
      </c>
      <c r="E22" s="63" t="s">
        <v>337</v>
      </c>
      <c r="F22" s="63" t="s">
        <v>431</v>
      </c>
      <c r="G22" s="67" t="s">
        <v>338</v>
      </c>
      <c r="H22" s="92" t="s">
        <v>234</v>
      </c>
      <c r="U22" s="252">
        <f>(Table22[[#This Row],[2022]]-Table22[[#This Row],[2050]])/Table22[[#This Row],[2022]]</f>
        <v>0.95400231577202899</v>
      </c>
      <c r="V22" s="66">
        <v>3.8845732735917666</v>
      </c>
      <c r="W22" s="66">
        <v>3.8894154693511069</v>
      </c>
      <c r="X22" s="66">
        <v>3.6916674742410573</v>
      </c>
      <c r="Y22" s="66">
        <v>3.7281525592177736</v>
      </c>
      <c r="Z22" s="66">
        <v>3.580127328717289</v>
      </c>
      <c r="AA22" s="66">
        <v>3.406346218106703</v>
      </c>
      <c r="AB22" s="66">
        <v>3.2633004895789499</v>
      </c>
      <c r="AC22" s="66">
        <v>3.0879777701645561</v>
      </c>
      <c r="AD22" s="66">
        <v>2.9053001969944918</v>
      </c>
      <c r="AE22" s="66">
        <v>2.6945149048304557</v>
      </c>
      <c r="AF22" s="66">
        <v>2.4825284766957938</v>
      </c>
      <c r="AG22" s="66">
        <v>2.266007560188227</v>
      </c>
      <c r="AH22" s="66">
        <v>2.0618617365146652</v>
      </c>
      <c r="AI22" s="66">
        <v>1.8612542203247155</v>
      </c>
      <c r="AJ22" s="66">
        <v>1.6989176769298093</v>
      </c>
      <c r="AK22" s="66">
        <v>1.5432272560781042</v>
      </c>
      <c r="AL22" s="66">
        <v>1.3941519486407419</v>
      </c>
      <c r="AM22" s="66">
        <v>1.245391190474483</v>
      </c>
      <c r="AN22" s="66">
        <v>1.0981826318612709</v>
      </c>
      <c r="AO22" s="66">
        <v>1.0038642323668021</v>
      </c>
      <c r="AP22" s="66">
        <v>0.91058062900280423</v>
      </c>
      <c r="AQ22" s="66">
        <v>0.81794481653676676</v>
      </c>
      <c r="AR22" s="66">
        <v>0.72586396156205468</v>
      </c>
      <c r="AS22" s="66">
        <v>0.63389449962911903</v>
      </c>
      <c r="AT22" s="66">
        <v>0.54207707028050289</v>
      </c>
      <c r="AU22" s="66">
        <v>0.45065476193738163</v>
      </c>
      <c r="AV22" s="66">
        <v>0.35961309977307399</v>
      </c>
      <c r="AW22" s="66">
        <v>0.26883384232843899</v>
      </c>
      <c r="AX22" s="66">
        <v>0.17868137479908958</v>
      </c>
      <c r="BI22" t="s">
        <v>432</v>
      </c>
    </row>
    <row r="23" spans="1:61" ht="14" x14ac:dyDescent="0.15">
      <c r="A23" s="63" t="s">
        <v>353</v>
      </c>
      <c r="B23" s="63" t="s">
        <v>52</v>
      </c>
      <c r="C23" s="63" t="e">
        <v>#N/A</v>
      </c>
      <c r="D23" t="s">
        <v>231</v>
      </c>
      <c r="E23" s="63" t="s">
        <v>337</v>
      </c>
      <c r="F23" s="63" t="s">
        <v>431</v>
      </c>
      <c r="G23" s="67" t="s">
        <v>338</v>
      </c>
      <c r="H23" s="92" t="s">
        <v>234</v>
      </c>
      <c r="U23" s="252">
        <f>(Table22[[#This Row],[2022]]-Table22[[#This Row],[2050]])/Table22[[#This Row],[2022]]</f>
        <v>0.9617661333770896</v>
      </c>
      <c r="V23" s="66">
        <v>4.712430992051222</v>
      </c>
      <c r="W23" s="66">
        <v>4.736130766874771</v>
      </c>
      <c r="X23" s="66">
        <v>4.5557919638044879</v>
      </c>
      <c r="Y23" s="66">
        <v>4.5441045594688969</v>
      </c>
      <c r="Z23" s="66">
        <v>4.3914279069508328</v>
      </c>
      <c r="AA23" s="66">
        <v>4.1941510149510339</v>
      </c>
      <c r="AB23" s="66">
        <v>4.0155435533558856</v>
      </c>
      <c r="AC23" s="66">
        <v>3.7531131517189258</v>
      </c>
      <c r="AD23" s="66">
        <v>3.4817673046793138</v>
      </c>
      <c r="AE23" s="66">
        <v>3.1610638435114313</v>
      </c>
      <c r="AF23" s="66">
        <v>2.8411578739508636</v>
      </c>
      <c r="AG23" s="66">
        <v>2.521134546143355</v>
      </c>
      <c r="AH23" s="66">
        <v>2.2544199700357463</v>
      </c>
      <c r="AI23" s="66">
        <v>2.0047796960049422</v>
      </c>
      <c r="AJ23" s="66">
        <v>1.8128026212388277</v>
      </c>
      <c r="AK23" s="66">
        <v>1.6358738136533841</v>
      </c>
      <c r="AL23" s="66">
        <v>1.4682408126151061</v>
      </c>
      <c r="AM23" s="66">
        <v>1.294411682510177</v>
      </c>
      <c r="AN23" s="66">
        <v>1.1362141661037166</v>
      </c>
      <c r="AO23" s="66">
        <v>1.0380663495659317</v>
      </c>
      <c r="AP23" s="66">
        <v>0.94103768467197202</v>
      </c>
      <c r="AQ23" s="66">
        <v>0.84470466757082319</v>
      </c>
      <c r="AR23" s="66">
        <v>0.74896272667950048</v>
      </c>
      <c r="AS23" s="66">
        <v>0.65333754145872569</v>
      </c>
      <c r="AT23" s="66">
        <v>0.5578773754675409</v>
      </c>
      <c r="AU23" s="66">
        <v>0.46283984836638004</v>
      </c>
      <c r="AV23" s="66">
        <v>0.36820895370582668</v>
      </c>
      <c r="AW23" s="66">
        <v>0.27386664850468367</v>
      </c>
      <c r="AX23" s="66">
        <v>0.1801744580197559</v>
      </c>
      <c r="BI23" t="s">
        <v>432</v>
      </c>
    </row>
    <row r="24" spans="1:61" ht="14" x14ac:dyDescent="0.15">
      <c r="A24" s="63" t="s">
        <v>353</v>
      </c>
      <c r="B24" s="63" t="s">
        <v>52</v>
      </c>
      <c r="C24" s="63" t="e">
        <v>#N/A</v>
      </c>
      <c r="D24" t="s">
        <v>327</v>
      </c>
      <c r="E24" s="63" t="s">
        <v>337</v>
      </c>
      <c r="F24" s="63" t="s">
        <v>431</v>
      </c>
      <c r="G24" s="67" t="s">
        <v>338</v>
      </c>
      <c r="H24" s="92" t="s">
        <v>234</v>
      </c>
      <c r="U24" s="252">
        <f>(Table22[[#This Row],[2022]]-Table22[[#This Row],[2050]])/Table22[[#This Row],[2022]]</f>
        <v>0.95250429764403355</v>
      </c>
      <c r="V24" s="66">
        <v>4.3937978579543078</v>
      </c>
      <c r="W24" s="66">
        <v>4.4034200561769694</v>
      </c>
      <c r="X24" s="66">
        <v>4.2227207391297163</v>
      </c>
      <c r="Y24" s="66">
        <v>4.1146477038896059</v>
      </c>
      <c r="Z24" s="66">
        <v>3.9319607314719089</v>
      </c>
      <c r="AA24" s="66">
        <v>3.7390899155184414</v>
      </c>
      <c r="AB24" s="66">
        <v>3.5441403782213352</v>
      </c>
      <c r="AC24" s="66">
        <v>3.3448313618473215</v>
      </c>
      <c r="AD24" s="66">
        <v>3.1364125522057624</v>
      </c>
      <c r="AE24" s="66">
        <v>2.8685960384987403</v>
      </c>
      <c r="AF24" s="66">
        <v>2.6351037699062623</v>
      </c>
      <c r="AG24" s="66">
        <v>2.393166750403922</v>
      </c>
      <c r="AH24" s="66">
        <v>2.1656987032765707</v>
      </c>
      <c r="AI24" s="66">
        <v>1.9584850569316405</v>
      </c>
      <c r="AJ24" s="66">
        <v>1.7996045071216522</v>
      </c>
      <c r="AK24" s="66">
        <v>1.6530381549252657</v>
      </c>
      <c r="AL24" s="66">
        <v>1.512110232966648</v>
      </c>
      <c r="AM24" s="66">
        <v>1.3578762640586532</v>
      </c>
      <c r="AN24" s="66">
        <v>1.2012343273607504</v>
      </c>
      <c r="AO24" s="66">
        <v>1.1016643598032831</v>
      </c>
      <c r="AP24" s="66">
        <v>1.0021606650134851</v>
      </c>
      <c r="AQ24" s="66">
        <v>0.90278244670883556</v>
      </c>
      <c r="AR24" s="66">
        <v>0.80337248553226615</v>
      </c>
      <c r="AS24" s="66">
        <v>0.70399339567115593</v>
      </c>
      <c r="AT24" s="66">
        <v>0.60468944701922878</v>
      </c>
      <c r="AU24" s="66">
        <v>0.50552487946719293</v>
      </c>
      <c r="AV24" s="66">
        <v>0.40642573985791336</v>
      </c>
      <c r="AW24" s="66">
        <v>0.30745625719326736</v>
      </c>
      <c r="AX24" s="66">
        <v>0.20868651527368068</v>
      </c>
      <c r="BI24" t="s">
        <v>432</v>
      </c>
    </row>
    <row r="25" spans="1:61" ht="14" x14ac:dyDescent="0.15">
      <c r="A25" s="63" t="s">
        <v>353</v>
      </c>
      <c r="B25" s="63" t="s">
        <v>52</v>
      </c>
      <c r="C25" s="63" t="e">
        <v>#N/A</v>
      </c>
      <c r="D25" t="s">
        <v>233</v>
      </c>
      <c r="E25" s="63" t="s">
        <v>337</v>
      </c>
      <c r="F25" s="63" t="s">
        <v>431</v>
      </c>
      <c r="G25" s="67" t="s">
        <v>338</v>
      </c>
      <c r="H25" s="92" t="s">
        <v>234</v>
      </c>
      <c r="U25" s="252">
        <f>(Table22[[#This Row],[2022]]-Table22[[#This Row],[2050]])/Table22[[#This Row],[2022]]</f>
        <v>0.95447588257193483</v>
      </c>
      <c r="V25" s="66">
        <v>4.0904211757610049</v>
      </c>
      <c r="W25" s="66">
        <v>4.1020739491409435</v>
      </c>
      <c r="X25" s="66">
        <v>3.9265882158763623</v>
      </c>
      <c r="Y25" s="66">
        <v>3.930887584245629</v>
      </c>
      <c r="Z25" s="66">
        <v>3.8029126864201244</v>
      </c>
      <c r="AA25" s="66">
        <v>3.6297181179981584</v>
      </c>
      <c r="AB25" s="66">
        <v>3.481735472854731</v>
      </c>
      <c r="AC25" s="66">
        <v>3.2849011462507347</v>
      </c>
      <c r="AD25" s="66">
        <v>3.073380534041152</v>
      </c>
      <c r="AE25" s="66">
        <v>2.8213015699926922</v>
      </c>
      <c r="AF25" s="66">
        <v>2.5849613892504371</v>
      </c>
      <c r="AG25" s="66">
        <v>2.3438808654237788</v>
      </c>
      <c r="AH25" s="66">
        <v>2.1228518877219957</v>
      </c>
      <c r="AI25" s="66">
        <v>1.9118191837991054</v>
      </c>
      <c r="AJ25" s="66">
        <v>1.7451561996012046</v>
      </c>
      <c r="AK25" s="66">
        <v>1.5880504607433665</v>
      </c>
      <c r="AL25" s="66">
        <v>1.437613461584941</v>
      </c>
      <c r="AM25" s="66">
        <v>1.2826522679268313</v>
      </c>
      <c r="AN25" s="66">
        <v>1.1309887827119292</v>
      </c>
      <c r="AO25" s="66">
        <v>1.0343221391604565</v>
      </c>
      <c r="AP25" s="66">
        <v>0.93875451280208766</v>
      </c>
      <c r="AQ25" s="66">
        <v>0.84373223913495343</v>
      </c>
      <c r="AR25" s="66">
        <v>0.74912526995895268</v>
      </c>
      <c r="AS25" s="66">
        <v>0.65463170750111133</v>
      </c>
      <c r="AT25" s="66">
        <v>0.56027431281698192</v>
      </c>
      <c r="AU25" s="66">
        <v>0.46626056899706025</v>
      </c>
      <c r="AV25" s="66">
        <v>0.37255662808085116</v>
      </c>
      <c r="AW25" s="66">
        <v>0.27912022975240347</v>
      </c>
      <c r="AX25" s="66">
        <v>0.18621281393558867</v>
      </c>
      <c r="BI25" t="s">
        <v>432</v>
      </c>
    </row>
    <row r="26" spans="1:61" x14ac:dyDescent="0.15">
      <c r="D26"/>
      <c r="G26" s="67"/>
    </row>
    <row r="27" spans="1:61" x14ac:dyDescent="0.15">
      <c r="A27" s="149" t="s">
        <v>403</v>
      </c>
      <c r="D27"/>
      <c r="G27" s="67"/>
    </row>
    <row r="28" spans="1:61" x14ac:dyDescent="0.15">
      <c r="D28"/>
      <c r="G28" s="67"/>
    </row>
    <row r="29" spans="1:61" ht="14" x14ac:dyDescent="0.15">
      <c r="A29" s="139" t="s">
        <v>353</v>
      </c>
      <c r="B29" s="140" t="s">
        <v>52</v>
      </c>
      <c r="C29" s="140" t="e">
        <v>#N/A</v>
      </c>
      <c r="D29" s="141" t="s">
        <v>326</v>
      </c>
      <c r="E29" s="140" t="s">
        <v>337</v>
      </c>
      <c r="F29" s="145" t="s">
        <v>431</v>
      </c>
      <c r="G29" s="142" t="s">
        <v>338</v>
      </c>
      <c r="H29" s="143" t="s">
        <v>331</v>
      </c>
      <c r="U29" s="253"/>
      <c r="V29" s="141">
        <f t="shared" ref="V29:V52" si="0">+IF(V2&gt;MAX($W29:$Z29),V2,MAX($W29:$Z29))</f>
        <v>3.4643814348481432</v>
      </c>
      <c r="W29" s="141">
        <f t="shared" ref="W29:W52" si="1">+IF(W2&gt;MAX($X29:$Z29),W2,MAX($X29:$Z29))</f>
        <v>3.4517440895015921</v>
      </c>
      <c r="X29" s="141">
        <f t="shared" ref="X29:X52" si="2">+IF(X2&gt;MAX($Y29:$Z29),X2,MAX($Y29:$Z29))</f>
        <v>3.2641598698453564</v>
      </c>
      <c r="Y29" s="141">
        <f t="shared" ref="Y29:Y52" si="3">+IF(Y2&gt;$Z29,Y2,$Z29)</f>
        <v>3.2101076183558539</v>
      </c>
      <c r="Z29" s="141">
        <f>+IF(Z2&gt;AA2,Z2,AA2)</f>
        <v>3.1187233065330178</v>
      </c>
      <c r="AA29" s="141">
        <f t="shared" ref="AA29:AX29" si="4">+IF(AA2&gt;AB2,AA2,AB2)</f>
        <v>2.9948923639256009</v>
      </c>
      <c r="AB29" s="141">
        <f t="shared" si="4"/>
        <v>2.8621103648551829</v>
      </c>
      <c r="AC29" s="141">
        <f t="shared" si="4"/>
        <v>2.7151545380199593</v>
      </c>
      <c r="AD29" s="141">
        <f t="shared" si="4"/>
        <v>2.556442664960362</v>
      </c>
      <c r="AE29" s="141">
        <f t="shared" si="4"/>
        <v>2.3698337040801594</v>
      </c>
      <c r="AF29" s="141">
        <f t="shared" si="4"/>
        <v>2.1652448234274742</v>
      </c>
      <c r="AG29" s="141">
        <f t="shared" si="4"/>
        <v>1.9884801119924762</v>
      </c>
      <c r="AH29" s="141">
        <f t="shared" si="4"/>
        <v>1.8077838881556281</v>
      </c>
      <c r="AI29" s="141">
        <f t="shared" si="4"/>
        <v>1.6468103565088341</v>
      </c>
      <c r="AJ29" s="141">
        <f t="shared" si="4"/>
        <v>1.5174722826180358</v>
      </c>
      <c r="AK29" s="141">
        <f t="shared" si="4"/>
        <v>1.3782778736970254</v>
      </c>
      <c r="AL29" s="141">
        <f t="shared" si="4"/>
        <v>1.2464395688054541</v>
      </c>
      <c r="AM29" s="141">
        <f t="shared" si="4"/>
        <v>1.1142962723282315</v>
      </c>
      <c r="AN29" s="141">
        <f t="shared" si="4"/>
        <v>0.98420921912783021</v>
      </c>
      <c r="AO29" s="141">
        <f t="shared" si="4"/>
        <v>0.89946181864880448</v>
      </c>
      <c r="AP29" s="141">
        <f t="shared" si="4"/>
        <v>0.81606481000379905</v>
      </c>
      <c r="AQ29" s="141">
        <f t="shared" si="4"/>
        <v>0.73350667062499231</v>
      </c>
      <c r="AR29" s="141">
        <f t="shared" si="4"/>
        <v>0.65166330174554243</v>
      </c>
      <c r="AS29" s="141">
        <f t="shared" si="4"/>
        <v>0.56993863802003242</v>
      </c>
      <c r="AT29" s="141">
        <f t="shared" si="4"/>
        <v>0.48839300082060372</v>
      </c>
      <c r="AU29" s="141">
        <f t="shared" si="4"/>
        <v>0.40735247756178261</v>
      </c>
      <c r="AV29" s="141">
        <f t="shared" si="4"/>
        <v>0.32679750777944605</v>
      </c>
      <c r="AW29" s="141">
        <f t="shared" si="4"/>
        <v>0.24657715600447427</v>
      </c>
      <c r="AX29" s="141">
        <f t="shared" si="4"/>
        <v>0.16715615096238712</v>
      </c>
      <c r="BI29" s="141" t="str">
        <f t="shared" ref="BI29:BI52" si="5">+IF(AX2&gt;BI2,AX2,BI2)</f>
        <v>Updated 28/10: JET and MD</v>
      </c>
    </row>
    <row r="30" spans="1:61" ht="14" x14ac:dyDescent="0.15">
      <c r="A30" s="144" t="s">
        <v>353</v>
      </c>
      <c r="B30" s="145" t="s">
        <v>52</v>
      </c>
      <c r="C30" s="145" t="e">
        <v>#N/A</v>
      </c>
      <c r="D30" s="146" t="s">
        <v>231</v>
      </c>
      <c r="E30" s="145" t="s">
        <v>337</v>
      </c>
      <c r="F30" s="145" t="s">
        <v>431</v>
      </c>
      <c r="G30" s="147" t="s">
        <v>338</v>
      </c>
      <c r="H30" s="143" t="s">
        <v>331</v>
      </c>
      <c r="V30" s="141">
        <f t="shared" si="0"/>
        <v>4.744738961031306</v>
      </c>
      <c r="W30" s="141">
        <f t="shared" si="1"/>
        <v>4.5815628277829852</v>
      </c>
      <c r="X30" s="141">
        <f t="shared" si="2"/>
        <v>4.4050614069867002</v>
      </c>
      <c r="Y30" s="141">
        <f t="shared" si="3"/>
        <v>4.2685290281291683</v>
      </c>
      <c r="Z30" s="141">
        <f t="shared" ref="Z30:AX40" si="6">+IF(Z3&gt;AA3,Z3,AA3)</f>
        <v>4.0810282421947175</v>
      </c>
      <c r="AA30" s="141">
        <f t="shared" si="6"/>
        <v>3.845917771417835</v>
      </c>
      <c r="AB30" s="141">
        <f t="shared" si="6"/>
        <v>3.5864985740781923</v>
      </c>
      <c r="AC30" s="141">
        <f t="shared" si="6"/>
        <v>3.296412697161045</v>
      </c>
      <c r="AD30" s="141">
        <f t="shared" si="6"/>
        <v>3.0554226153026023</v>
      </c>
      <c r="AE30" s="141">
        <f t="shared" si="6"/>
        <v>2.7693945262249104</v>
      </c>
      <c r="AF30" s="141">
        <f t="shared" si="6"/>
        <v>2.4635176738858746</v>
      </c>
      <c r="AG30" s="141">
        <f t="shared" si="6"/>
        <v>2.1950321248926454</v>
      </c>
      <c r="AH30" s="141">
        <f t="shared" si="6"/>
        <v>1.9464192040160695</v>
      </c>
      <c r="AI30" s="141">
        <f t="shared" si="6"/>
        <v>1.745462689555501</v>
      </c>
      <c r="AJ30" s="141">
        <f t="shared" si="6"/>
        <v>1.5969035213113107</v>
      </c>
      <c r="AK30" s="141">
        <f t="shared" si="6"/>
        <v>1.4428007839896499</v>
      </c>
      <c r="AL30" s="141">
        <f t="shared" si="6"/>
        <v>1.2980154128784471</v>
      </c>
      <c r="AM30" s="141">
        <f t="shared" si="6"/>
        <v>1.1484271287732406</v>
      </c>
      <c r="AN30" s="141">
        <f t="shared" si="6"/>
        <v>1.0104967803275382</v>
      </c>
      <c r="AO30" s="141">
        <f t="shared" si="6"/>
        <v>0.92310247020127989</v>
      </c>
      <c r="AP30" s="141">
        <f t="shared" si="6"/>
        <v>0.83711685880525344</v>
      </c>
      <c r="AQ30" s="141">
        <f t="shared" si="6"/>
        <v>0.75200319556843565</v>
      </c>
      <c r="AR30" s="141">
        <f t="shared" si="6"/>
        <v>0.6676292682456485</v>
      </c>
      <c r="AS30" s="141">
        <f t="shared" si="6"/>
        <v>0.58337775274903625</v>
      </c>
      <c r="AT30" s="141">
        <f t="shared" si="6"/>
        <v>0.49931424020396675</v>
      </c>
      <c r="AU30" s="141">
        <f t="shared" si="6"/>
        <v>0.41577486208048359</v>
      </c>
      <c r="AV30" s="141">
        <f t="shared" si="6"/>
        <v>0.33273899925019496</v>
      </c>
      <c r="AW30" s="141">
        <f t="shared" si="6"/>
        <v>0.25005585343279529</v>
      </c>
      <c r="AX30" s="141">
        <f t="shared" si="6"/>
        <v>0.16818817655171286</v>
      </c>
      <c r="BI30" s="141" t="str">
        <f t="shared" si="5"/>
        <v>Updated 28/10: JET and MD</v>
      </c>
    </row>
    <row r="31" spans="1:61" ht="14" x14ac:dyDescent="0.15">
      <c r="A31" s="139" t="s">
        <v>353</v>
      </c>
      <c r="B31" s="140" t="s">
        <v>52</v>
      </c>
      <c r="C31" s="140" t="e">
        <v>#N/A</v>
      </c>
      <c r="D31" s="141" t="s">
        <v>327</v>
      </c>
      <c r="E31" s="140" t="s">
        <v>337</v>
      </c>
      <c r="F31" s="145" t="s">
        <v>431</v>
      </c>
      <c r="G31" s="142" t="s">
        <v>338</v>
      </c>
      <c r="H31" s="143" t="s">
        <v>331</v>
      </c>
      <c r="V31" s="141">
        <f t="shared" si="0"/>
        <v>4.0578335005843078</v>
      </c>
      <c r="W31" s="141">
        <f t="shared" si="1"/>
        <v>4.0578335005843078</v>
      </c>
      <c r="X31" s="141">
        <f t="shared" si="2"/>
        <v>3.8984653880340741</v>
      </c>
      <c r="Y31" s="141">
        <f t="shared" si="3"/>
        <v>3.8528291314513039</v>
      </c>
      <c r="Z31" s="141">
        <f t="shared" si="6"/>
        <v>3.7710599856545102</v>
      </c>
      <c r="AA31" s="141">
        <f t="shared" si="6"/>
        <v>3.6518190469137961</v>
      </c>
      <c r="AB31" s="141">
        <f t="shared" si="6"/>
        <v>3.4843741852094441</v>
      </c>
      <c r="AC31" s="141">
        <f t="shared" si="6"/>
        <v>3.3123241511192258</v>
      </c>
      <c r="AD31" s="141">
        <f t="shared" si="6"/>
        <v>3.1123389586610997</v>
      </c>
      <c r="AE31" s="141">
        <f t="shared" si="6"/>
        <v>2.8560554059788927</v>
      </c>
      <c r="AF31" s="141">
        <f t="shared" si="6"/>
        <v>2.6123239694763289</v>
      </c>
      <c r="AG31" s="141">
        <f t="shared" si="6"/>
        <v>2.3685972807279803</v>
      </c>
      <c r="AH31" s="141">
        <f t="shared" si="6"/>
        <v>2.1293537123957602</v>
      </c>
      <c r="AI31" s="141">
        <f t="shared" si="6"/>
        <v>1.9058996134567014</v>
      </c>
      <c r="AJ31" s="141">
        <f t="shared" si="6"/>
        <v>1.7372742357609878</v>
      </c>
      <c r="AK31" s="141">
        <f t="shared" si="6"/>
        <v>1.5741528186681994</v>
      </c>
      <c r="AL31" s="141">
        <f t="shared" si="6"/>
        <v>1.4218657648442137</v>
      </c>
      <c r="AM31" s="141">
        <f t="shared" si="6"/>
        <v>1.2711564609047803</v>
      </c>
      <c r="AN31" s="141">
        <f t="shared" si="6"/>
        <v>1.1212881041254801</v>
      </c>
      <c r="AO31" s="141">
        <f t="shared" si="6"/>
        <v>1.0289937491580119</v>
      </c>
      <c r="AP31" s="141">
        <f t="shared" si="6"/>
        <v>0.93676315707202118</v>
      </c>
      <c r="AQ31" s="141">
        <f t="shared" si="6"/>
        <v>0.84474864348614676</v>
      </c>
      <c r="AR31" s="141">
        <f t="shared" si="6"/>
        <v>0.75269590748021609</v>
      </c>
      <c r="AS31" s="141">
        <f t="shared" si="6"/>
        <v>0.66072365472439509</v>
      </c>
      <c r="AT31" s="141">
        <f t="shared" si="6"/>
        <v>0.56891097985289163</v>
      </c>
      <c r="AU31" s="141">
        <f t="shared" si="6"/>
        <v>0.47736162626274403</v>
      </c>
      <c r="AV31" s="141">
        <f t="shared" si="6"/>
        <v>0.38596602643270417</v>
      </c>
      <c r="AW31" s="141">
        <f t="shared" si="6"/>
        <v>0.29483108071834097</v>
      </c>
      <c r="AX31" s="141">
        <f t="shared" si="6"/>
        <v>0.20406072517957033</v>
      </c>
      <c r="BI31" s="141" t="str">
        <f t="shared" si="5"/>
        <v>Updated 28/10: JET and MD</v>
      </c>
    </row>
    <row r="32" spans="1:61" ht="14" x14ac:dyDescent="0.15">
      <c r="A32" s="144" t="s">
        <v>353</v>
      </c>
      <c r="B32" s="145" t="s">
        <v>52</v>
      </c>
      <c r="C32" s="145" t="e">
        <v>#N/A</v>
      </c>
      <c r="D32" s="146" t="s">
        <v>233</v>
      </c>
      <c r="E32" s="145" t="s">
        <v>337</v>
      </c>
      <c r="F32" s="145" t="s">
        <v>431</v>
      </c>
      <c r="G32" s="147" t="s">
        <v>338</v>
      </c>
      <c r="H32" s="143" t="s">
        <v>331</v>
      </c>
      <c r="V32" s="141">
        <f t="shared" si="0"/>
        <v>4.3793490368898453</v>
      </c>
      <c r="W32" s="141">
        <f t="shared" si="1"/>
        <v>4.2915031987630528</v>
      </c>
      <c r="X32" s="141">
        <f t="shared" si="2"/>
        <v>3.968098832191548</v>
      </c>
      <c r="Y32" s="141">
        <f t="shared" si="3"/>
        <v>3.8990861819818914</v>
      </c>
      <c r="Z32" s="141">
        <f t="shared" si="6"/>
        <v>3.829442284995499</v>
      </c>
      <c r="AA32" s="141">
        <f t="shared" si="6"/>
        <v>3.6860803537618265</v>
      </c>
      <c r="AB32" s="141">
        <f t="shared" si="6"/>
        <v>3.4988561986547797</v>
      </c>
      <c r="AC32" s="141">
        <f t="shared" si="6"/>
        <v>3.2977072939208059</v>
      </c>
      <c r="AD32" s="141">
        <f t="shared" si="6"/>
        <v>3.0868584002284725</v>
      </c>
      <c r="AE32" s="141">
        <f t="shared" si="6"/>
        <v>2.8153371556984377</v>
      </c>
      <c r="AF32" s="141">
        <f t="shared" si="6"/>
        <v>2.5549193646137791</v>
      </c>
      <c r="AG32" s="141">
        <f t="shared" si="6"/>
        <v>2.3093120484797822</v>
      </c>
      <c r="AH32" s="141">
        <f t="shared" si="6"/>
        <v>2.0742197452421025</v>
      </c>
      <c r="AI32" s="141">
        <f t="shared" si="6"/>
        <v>1.861812417458566</v>
      </c>
      <c r="AJ32" s="141">
        <f t="shared" si="6"/>
        <v>1.7031226742223458</v>
      </c>
      <c r="AK32" s="141">
        <f t="shared" si="6"/>
        <v>1.5427342914245077</v>
      </c>
      <c r="AL32" s="141">
        <f t="shared" si="6"/>
        <v>1.3920896352305197</v>
      </c>
      <c r="AM32" s="141">
        <f t="shared" si="6"/>
        <v>1.2416371114237557</v>
      </c>
      <c r="AN32" s="141">
        <f t="shared" si="6"/>
        <v>1.0946759996444122</v>
      </c>
      <c r="AO32" s="141">
        <f t="shared" si="6"/>
        <v>1.0014533537640817</v>
      </c>
      <c r="AP32" s="141">
        <f t="shared" si="6"/>
        <v>0.91190780084814094</v>
      </c>
      <c r="AQ32" s="141">
        <f t="shared" si="6"/>
        <v>0.82289782637736264</v>
      </c>
      <c r="AR32" s="141">
        <f t="shared" si="6"/>
        <v>0.73383436738590291</v>
      </c>
      <c r="AS32" s="141">
        <f t="shared" si="6"/>
        <v>0.64438904389007412</v>
      </c>
      <c r="AT32" s="141">
        <f t="shared" si="6"/>
        <v>0.55473015166684891</v>
      </c>
      <c r="AU32" s="141">
        <f t="shared" si="6"/>
        <v>0.46486272512200782</v>
      </c>
      <c r="AV32" s="141">
        <f t="shared" si="6"/>
        <v>0.37513986950162581</v>
      </c>
      <c r="AW32" s="141">
        <f t="shared" si="6"/>
        <v>0.28572464609110837</v>
      </c>
      <c r="AX32" s="141">
        <f t="shared" si="6"/>
        <v>0.19687084246906722</v>
      </c>
      <c r="BI32" s="141" t="str">
        <f t="shared" si="5"/>
        <v>Updated 28/10: JET and MD</v>
      </c>
    </row>
    <row r="33" spans="1:61" ht="14" x14ac:dyDescent="0.15">
      <c r="A33" s="139" t="s">
        <v>353</v>
      </c>
      <c r="B33" s="140" t="s">
        <v>52</v>
      </c>
      <c r="C33" s="140" t="e">
        <v>#N/A</v>
      </c>
      <c r="D33" s="141" t="s">
        <v>326</v>
      </c>
      <c r="E33" s="140" t="s">
        <v>337</v>
      </c>
      <c r="F33" s="145" t="s">
        <v>431</v>
      </c>
      <c r="G33" s="142" t="s">
        <v>338</v>
      </c>
      <c r="H33" s="143" t="s">
        <v>365</v>
      </c>
      <c r="V33" s="141">
        <f t="shared" si="0"/>
        <v>4.7969682963115314</v>
      </c>
      <c r="W33" s="141">
        <f t="shared" si="1"/>
        <v>4.7967109142540592</v>
      </c>
      <c r="X33" s="141">
        <f t="shared" si="2"/>
        <v>4.5615689222439997</v>
      </c>
      <c r="Y33" s="141">
        <f t="shared" si="3"/>
        <v>4.3649440787297618</v>
      </c>
      <c r="Z33" s="141">
        <f t="shared" si="6"/>
        <v>4.1259650972753503</v>
      </c>
      <c r="AA33" s="141">
        <f t="shared" si="6"/>
        <v>3.8510588522029385</v>
      </c>
      <c r="AB33" s="141">
        <f t="shared" si="6"/>
        <v>3.572968073912234</v>
      </c>
      <c r="AC33" s="141">
        <f t="shared" si="6"/>
        <v>3.2879254521410743</v>
      </c>
      <c r="AD33" s="141">
        <f t="shared" si="6"/>
        <v>3.0216403406989949</v>
      </c>
      <c r="AE33" s="141">
        <f t="shared" si="6"/>
        <v>2.718822838898423</v>
      </c>
      <c r="AF33" s="141">
        <f t="shared" si="6"/>
        <v>2.41465155354995</v>
      </c>
      <c r="AG33" s="141">
        <f t="shared" si="6"/>
        <v>2.1545760010155046</v>
      </c>
      <c r="AH33" s="141">
        <f t="shared" si="6"/>
        <v>1.9045165227913055</v>
      </c>
      <c r="AI33" s="141">
        <f t="shared" si="6"/>
        <v>1.6883558863250931</v>
      </c>
      <c r="AJ33" s="141">
        <f t="shared" si="6"/>
        <v>1.53901417795741</v>
      </c>
      <c r="AK33" s="141">
        <f t="shared" si="6"/>
        <v>1.397917788312705</v>
      </c>
      <c r="AL33" s="141">
        <f t="shared" si="6"/>
        <v>1.2617284445536909</v>
      </c>
      <c r="AM33" s="141">
        <f t="shared" si="6"/>
        <v>1.1270336265283107</v>
      </c>
      <c r="AN33" s="141">
        <f t="shared" si="6"/>
        <v>0.9923137835267748</v>
      </c>
      <c r="AO33" s="141">
        <f t="shared" si="6"/>
        <v>0.90732822963749471</v>
      </c>
      <c r="AP33" s="141">
        <f t="shared" si="6"/>
        <v>0.82272408963141663</v>
      </c>
      <c r="AQ33" s="141">
        <f t="shared" si="6"/>
        <v>0.73840724642267186</v>
      </c>
      <c r="AR33" s="141">
        <f t="shared" si="6"/>
        <v>0.6543632793834866</v>
      </c>
      <c r="AS33" s="141">
        <f t="shared" si="6"/>
        <v>0.57046820553630895</v>
      </c>
      <c r="AT33" s="141">
        <f t="shared" si="6"/>
        <v>0.48671296311143863</v>
      </c>
      <c r="AU33" s="141">
        <f t="shared" si="6"/>
        <v>0.40317007132989979</v>
      </c>
      <c r="AV33" s="141">
        <f t="shared" si="6"/>
        <v>0.31983580637726372</v>
      </c>
      <c r="AW33" s="141">
        <f t="shared" si="6"/>
        <v>0.23664577001699535</v>
      </c>
      <c r="AX33" s="141">
        <f t="shared" si="6"/>
        <v>0.15379999640739708</v>
      </c>
      <c r="BI33" s="141" t="str">
        <f t="shared" si="5"/>
        <v>Updated 28/10: JET and MD</v>
      </c>
    </row>
    <row r="34" spans="1:61" ht="14" x14ac:dyDescent="0.15">
      <c r="A34" s="144" t="s">
        <v>353</v>
      </c>
      <c r="B34" s="145" t="s">
        <v>52</v>
      </c>
      <c r="C34" s="145" t="e">
        <v>#N/A</v>
      </c>
      <c r="D34" s="146" t="s">
        <v>231</v>
      </c>
      <c r="E34" s="145" t="s">
        <v>337</v>
      </c>
      <c r="F34" s="145" t="s">
        <v>431</v>
      </c>
      <c r="G34" s="147" t="s">
        <v>338</v>
      </c>
      <c r="H34" s="148" t="s">
        <v>365</v>
      </c>
      <c r="V34" s="141">
        <f>+IF(V7&gt;MAX($W34:$Z34),V7,MAX($W34:$Z34))</f>
        <v>6.3402862850746295</v>
      </c>
      <c r="W34" s="141">
        <f t="shared" si="1"/>
        <v>6.0686457155153963</v>
      </c>
      <c r="X34" s="141">
        <f t="shared" si="2"/>
        <v>5.9025169625164686</v>
      </c>
      <c r="Y34" s="141">
        <f t="shared" si="3"/>
        <v>5.9025169625164686</v>
      </c>
      <c r="Z34" s="141">
        <f t="shared" si="6"/>
        <v>5.8186095836599776</v>
      </c>
      <c r="AA34" s="141">
        <f t="shared" si="6"/>
        <v>5.5843497651518472</v>
      </c>
      <c r="AB34" s="141">
        <f t="shared" si="6"/>
        <v>5.1017791715149006</v>
      </c>
      <c r="AC34" s="141">
        <f t="shared" si="6"/>
        <v>4.5521395447593278</v>
      </c>
      <c r="AD34" s="141">
        <f t="shared" si="6"/>
        <v>4.0734270313371166</v>
      </c>
      <c r="AE34" s="141">
        <f t="shared" si="6"/>
        <v>3.5757202761889579</v>
      </c>
      <c r="AF34" s="141">
        <f t="shared" si="6"/>
        <v>3.0883570512525642</v>
      </c>
      <c r="AG34" s="141">
        <f t="shared" si="6"/>
        <v>2.6696777913558623</v>
      </c>
      <c r="AH34" s="141">
        <f t="shared" si="6"/>
        <v>2.3611336868216335</v>
      </c>
      <c r="AI34" s="141">
        <f t="shared" si="6"/>
        <v>2.0818322958441153</v>
      </c>
      <c r="AJ34" s="141">
        <f t="shared" si="6"/>
        <v>1.8520653167192502</v>
      </c>
      <c r="AK34" s="141">
        <f t="shared" si="6"/>
        <v>1.6529516246661928</v>
      </c>
      <c r="AL34" s="141">
        <f t="shared" si="6"/>
        <v>1.4657642581572548</v>
      </c>
      <c r="AM34" s="141">
        <f t="shared" si="6"/>
        <v>1.2620103349812537</v>
      </c>
      <c r="AN34" s="141">
        <f t="shared" si="6"/>
        <v>1.0977644037644996</v>
      </c>
      <c r="AO34" s="141">
        <f t="shared" si="6"/>
        <v>1.0021609663106916</v>
      </c>
      <c r="AP34" s="141">
        <f t="shared" si="6"/>
        <v>0.90717283657005954</v>
      </c>
      <c r="AQ34" s="141">
        <f t="shared" si="6"/>
        <v>0.81260469717555184</v>
      </c>
      <c r="AR34" s="141">
        <f t="shared" si="6"/>
        <v>0.71840958087719997</v>
      </c>
      <c r="AS34" s="141">
        <f t="shared" si="6"/>
        <v>0.62437822681417232</v>
      </c>
      <c r="AT34" s="141">
        <f t="shared" si="6"/>
        <v>0.53052271244463656</v>
      </c>
      <c r="AU34" s="141">
        <f t="shared" si="6"/>
        <v>0.43695584798032178</v>
      </c>
      <c r="AV34" s="141">
        <f t="shared" si="6"/>
        <v>0.34366966285287237</v>
      </c>
      <c r="AW34" s="141">
        <f t="shared" si="6"/>
        <v>0.25060030914860204</v>
      </c>
      <c r="AX34" s="141">
        <f t="shared" si="6"/>
        <v>0.15793989122947033</v>
      </c>
      <c r="BI34" s="141" t="str">
        <f t="shared" si="5"/>
        <v>Updated 28/10: JET and MD</v>
      </c>
    </row>
    <row r="35" spans="1:61" ht="14" x14ac:dyDescent="0.15">
      <c r="A35" s="139" t="s">
        <v>353</v>
      </c>
      <c r="B35" s="140" t="s">
        <v>52</v>
      </c>
      <c r="C35" s="140" t="e">
        <v>#N/A</v>
      </c>
      <c r="D35" s="141" t="s">
        <v>327</v>
      </c>
      <c r="E35" s="140" t="s">
        <v>337</v>
      </c>
      <c r="F35" s="145" t="s">
        <v>431</v>
      </c>
      <c r="G35" s="142" t="s">
        <v>338</v>
      </c>
      <c r="H35" s="143" t="s">
        <v>365</v>
      </c>
      <c r="V35" s="141">
        <f t="shared" si="0"/>
        <v>5.3967683101478032</v>
      </c>
      <c r="W35" s="141">
        <f t="shared" si="1"/>
        <v>5.3967683101478032</v>
      </c>
      <c r="X35" s="141">
        <f t="shared" si="2"/>
        <v>5.3579062304432732</v>
      </c>
      <c r="Y35" s="141">
        <f t="shared" si="3"/>
        <v>5.3579062304432732</v>
      </c>
      <c r="Z35" s="141">
        <f t="shared" si="6"/>
        <v>5.3459367558178323</v>
      </c>
      <c r="AA35" s="141">
        <f t="shared" si="6"/>
        <v>5.2123759536873671</v>
      </c>
      <c r="AB35" s="141">
        <f t="shared" si="6"/>
        <v>4.8303555923503874</v>
      </c>
      <c r="AC35" s="141">
        <f t="shared" si="6"/>
        <v>4.4650280888462719</v>
      </c>
      <c r="AD35" s="141">
        <f t="shared" si="6"/>
        <v>4.0789954370126313</v>
      </c>
      <c r="AE35" s="141">
        <f t="shared" si="6"/>
        <v>3.5801081029705912</v>
      </c>
      <c r="AF35" s="141">
        <f t="shared" si="6"/>
        <v>3.1839173254550888</v>
      </c>
      <c r="AG35" s="141">
        <f t="shared" si="6"/>
        <v>2.766088315854585</v>
      </c>
      <c r="AH35" s="141">
        <f t="shared" si="6"/>
        <v>2.3849269118417564</v>
      </c>
      <c r="AI35" s="141">
        <f t="shared" si="6"/>
        <v>2.0181039408447301</v>
      </c>
      <c r="AJ35" s="141">
        <f t="shared" si="6"/>
        <v>1.7612776525518052</v>
      </c>
      <c r="AK35" s="141">
        <f t="shared" si="6"/>
        <v>1.5504665343241923</v>
      </c>
      <c r="AL35" s="141">
        <f t="shared" si="6"/>
        <v>1.3775601131673003</v>
      </c>
      <c r="AM35" s="141">
        <f t="shared" si="6"/>
        <v>1.2068406513471819</v>
      </c>
      <c r="AN35" s="141">
        <f t="shared" si="6"/>
        <v>1.0372398158679097</v>
      </c>
      <c r="AO35" s="141">
        <f t="shared" si="6"/>
        <v>0.94994864575465943</v>
      </c>
      <c r="AP35" s="141">
        <f t="shared" si="6"/>
        <v>0.86305779526536419</v>
      </c>
      <c r="AQ35" s="141">
        <f t="shared" si="6"/>
        <v>0.77634017161821256</v>
      </c>
      <c r="AR35" s="141">
        <f t="shared" si="6"/>
        <v>0.68992002451995149</v>
      </c>
      <c r="AS35" s="141">
        <f t="shared" si="6"/>
        <v>0.60368726004624829</v>
      </c>
      <c r="AT35" s="141">
        <f t="shared" si="6"/>
        <v>0.51855881468156828</v>
      </c>
      <c r="AU35" s="141">
        <f t="shared" si="6"/>
        <v>0.43318115127076262</v>
      </c>
      <c r="AV35" s="141">
        <f t="shared" si="6"/>
        <v>0.34757175799512652</v>
      </c>
      <c r="AW35" s="141">
        <f t="shared" si="6"/>
        <v>0.26167079348071087</v>
      </c>
      <c r="AX35" s="141">
        <f t="shared" si="6"/>
        <v>0.17546133426522306</v>
      </c>
      <c r="BI35" s="141" t="str">
        <f t="shared" si="5"/>
        <v>Updated 28/10: JET and MD</v>
      </c>
    </row>
    <row r="36" spans="1:61" ht="14" x14ac:dyDescent="0.15">
      <c r="A36" s="144" t="s">
        <v>353</v>
      </c>
      <c r="B36" s="145" t="s">
        <v>52</v>
      </c>
      <c r="C36" s="145" t="e">
        <v>#N/A</v>
      </c>
      <c r="D36" s="146" t="s">
        <v>233</v>
      </c>
      <c r="E36" s="145" t="s">
        <v>337</v>
      </c>
      <c r="F36" s="145" t="s">
        <v>431</v>
      </c>
      <c r="G36" s="147" t="s">
        <v>338</v>
      </c>
      <c r="H36" s="148" t="s">
        <v>365</v>
      </c>
      <c r="V36" s="141">
        <f t="shared" si="0"/>
        <v>5.3431080463667833</v>
      </c>
      <c r="W36" s="141">
        <f t="shared" si="1"/>
        <v>5.303781294276197</v>
      </c>
      <c r="X36" s="141">
        <f t="shared" si="2"/>
        <v>5.2154483711240669</v>
      </c>
      <c r="Y36" s="141">
        <f t="shared" si="3"/>
        <v>5.2154483711240669</v>
      </c>
      <c r="Z36" s="141">
        <f t="shared" si="6"/>
        <v>4.9924452977268325</v>
      </c>
      <c r="AA36" s="141">
        <f t="shared" si="6"/>
        <v>4.7770476123302412</v>
      </c>
      <c r="AB36" s="141">
        <f t="shared" si="6"/>
        <v>4.4080976615493812</v>
      </c>
      <c r="AC36" s="141">
        <f t="shared" si="6"/>
        <v>4.0302542315014627</v>
      </c>
      <c r="AD36" s="141">
        <f t="shared" si="6"/>
        <v>3.667126890661788</v>
      </c>
      <c r="AE36" s="141">
        <f t="shared" si="6"/>
        <v>3.2255241909146131</v>
      </c>
      <c r="AF36" s="141">
        <f t="shared" si="6"/>
        <v>2.8452098086442117</v>
      </c>
      <c r="AG36" s="141">
        <f t="shared" si="6"/>
        <v>2.4886203969047216</v>
      </c>
      <c r="AH36" s="141">
        <f t="shared" si="6"/>
        <v>2.1728886531626719</v>
      </c>
      <c r="AI36" s="141">
        <f t="shared" si="6"/>
        <v>1.8847270869061896</v>
      </c>
      <c r="AJ36" s="141">
        <f t="shared" si="6"/>
        <v>1.6746021839247283</v>
      </c>
      <c r="AK36" s="141">
        <f t="shared" si="6"/>
        <v>1.4971293495517886</v>
      </c>
      <c r="AL36" s="141">
        <f t="shared" si="6"/>
        <v>1.3385055200936358</v>
      </c>
      <c r="AM36" s="141">
        <f t="shared" si="6"/>
        <v>1.1787648059462517</v>
      </c>
      <c r="AN36" s="141">
        <f t="shared" si="6"/>
        <v>1.0256219461947376</v>
      </c>
      <c r="AO36" s="141">
        <f t="shared" si="6"/>
        <v>0.94209314310159342</v>
      </c>
      <c r="AP36" s="141">
        <f t="shared" si="6"/>
        <v>0.85410670793591703</v>
      </c>
      <c r="AQ36" s="141">
        <f t="shared" si="6"/>
        <v>0.76661082933347835</v>
      </c>
      <c r="AR36" s="141">
        <f t="shared" si="6"/>
        <v>0.67963899677707118</v>
      </c>
      <c r="AS36" s="141">
        <f t="shared" si="6"/>
        <v>0.59308222695349866</v>
      </c>
      <c r="AT36" s="141">
        <f t="shared" si="6"/>
        <v>0.50809906121898485</v>
      </c>
      <c r="AU36" s="141">
        <f t="shared" si="6"/>
        <v>0.42230474311645838</v>
      </c>
      <c r="AV36" s="141">
        <f t="shared" si="6"/>
        <v>0.33654745386471341</v>
      </c>
      <c r="AW36" s="141">
        <f t="shared" si="6"/>
        <v>0.25068052266475499</v>
      </c>
      <c r="AX36" s="141">
        <f t="shared" si="6"/>
        <v>0.16478870973706436</v>
      </c>
      <c r="BI36" s="141" t="str">
        <f t="shared" si="5"/>
        <v>Updated 28/10: JET and MD</v>
      </c>
    </row>
    <row r="37" spans="1:61" ht="14" x14ac:dyDescent="0.15">
      <c r="A37" s="139" t="s">
        <v>353</v>
      </c>
      <c r="B37" s="140" t="s">
        <v>52</v>
      </c>
      <c r="C37" s="140" t="e">
        <v>#N/A</v>
      </c>
      <c r="D37" s="141" t="s">
        <v>326</v>
      </c>
      <c r="E37" s="140" t="s">
        <v>337</v>
      </c>
      <c r="F37" s="145" t="s">
        <v>431</v>
      </c>
      <c r="G37" s="142" t="s">
        <v>338</v>
      </c>
      <c r="H37" s="143" t="s">
        <v>329</v>
      </c>
      <c r="V37" s="141">
        <f t="shared" si="0"/>
        <v>3.9494595348172612</v>
      </c>
      <c r="W37" s="141">
        <f t="shared" si="1"/>
        <v>3.9494595348172612</v>
      </c>
      <c r="X37" s="141">
        <f t="shared" si="2"/>
        <v>3.7552432111667851</v>
      </c>
      <c r="Y37" s="141">
        <f t="shared" si="3"/>
        <v>3.6402132834110192</v>
      </c>
      <c r="Z37" s="141">
        <f t="shared" si="6"/>
        <v>3.4978302580110396</v>
      </c>
      <c r="AA37" s="141">
        <f t="shared" si="6"/>
        <v>3.3233776314566663</v>
      </c>
      <c r="AB37" s="141">
        <f t="shared" si="6"/>
        <v>3.143444342034543</v>
      </c>
      <c r="AC37" s="141">
        <f t="shared" si="6"/>
        <v>2.9541338266671886</v>
      </c>
      <c r="AD37" s="141">
        <f t="shared" si="6"/>
        <v>2.7723682451761364</v>
      </c>
      <c r="AE37" s="141">
        <f t="shared" si="6"/>
        <v>2.6220074930168247</v>
      </c>
      <c r="AF37" s="141">
        <f t="shared" si="6"/>
        <v>2.4620688632852366</v>
      </c>
      <c r="AG37" s="141">
        <f t="shared" si="6"/>
        <v>2.315386798698349</v>
      </c>
      <c r="AH37" s="141">
        <f t="shared" si="6"/>
        <v>2.1684228668969294</v>
      </c>
      <c r="AI37" s="141">
        <f t="shared" si="6"/>
        <v>2.0288048679509281</v>
      </c>
      <c r="AJ37" s="141">
        <f t="shared" si="6"/>
        <v>1.851916021431685</v>
      </c>
      <c r="AK37" s="141">
        <f t="shared" si="6"/>
        <v>1.6822591787323069</v>
      </c>
      <c r="AL37" s="141">
        <f t="shared" si="6"/>
        <v>1.5191496188656868</v>
      </c>
      <c r="AM37" s="141">
        <f t="shared" si="6"/>
        <v>1.3566913912671479</v>
      </c>
      <c r="AN37" s="141">
        <f t="shared" si="6"/>
        <v>1.1957768427616162</v>
      </c>
      <c r="AO37" s="141">
        <f t="shared" si="6"/>
        <v>1.0932795875078083</v>
      </c>
      <c r="AP37" s="141">
        <f t="shared" si="6"/>
        <v>0.99170338548594594</v>
      </c>
      <c r="AQ37" s="141">
        <f t="shared" si="6"/>
        <v>0.89069525004112415</v>
      </c>
      <c r="AR37" s="141">
        <f t="shared" si="6"/>
        <v>0.79016942980686466</v>
      </c>
      <c r="AS37" s="141">
        <f t="shared" si="6"/>
        <v>0.68973796564131684</v>
      </c>
      <c r="AT37" s="141">
        <f t="shared" si="6"/>
        <v>0.58943654718516736</v>
      </c>
      <c r="AU37" s="141">
        <f t="shared" si="6"/>
        <v>0.48947694661401292</v>
      </c>
      <c r="AV37" s="141">
        <f t="shared" si="6"/>
        <v>0.38984652334435899</v>
      </c>
      <c r="AW37" s="141">
        <f t="shared" si="6"/>
        <v>0.29044301191144212</v>
      </c>
      <c r="AX37" s="141">
        <f t="shared" si="6"/>
        <v>0.19158151676322971</v>
      </c>
      <c r="BI37" s="141" t="str">
        <f t="shared" si="5"/>
        <v>Updated 28/10: JET and MD</v>
      </c>
    </row>
    <row r="38" spans="1:61" ht="14" x14ac:dyDescent="0.15">
      <c r="A38" s="144" t="s">
        <v>353</v>
      </c>
      <c r="B38" s="145" t="s">
        <v>52</v>
      </c>
      <c r="C38" s="145" t="e">
        <v>#N/A</v>
      </c>
      <c r="D38" s="146" t="s">
        <v>231</v>
      </c>
      <c r="E38" s="145" t="s">
        <v>337</v>
      </c>
      <c r="F38" s="145" t="s">
        <v>431</v>
      </c>
      <c r="G38" s="147" t="s">
        <v>338</v>
      </c>
      <c r="H38" s="148" t="s">
        <v>329</v>
      </c>
      <c r="V38" s="141">
        <f t="shared" si="0"/>
        <v>4.5977798440648519</v>
      </c>
      <c r="W38" s="141">
        <f t="shared" si="1"/>
        <v>4.5591622429984815</v>
      </c>
      <c r="X38" s="141">
        <f t="shared" si="2"/>
        <v>4.3877239681363642</v>
      </c>
      <c r="Y38" s="141">
        <f t="shared" si="3"/>
        <v>4.2833912292736649</v>
      </c>
      <c r="Z38" s="141">
        <f t="shared" si="6"/>
        <v>4.1296545342416495</v>
      </c>
      <c r="AA38" s="141">
        <f t="shared" si="6"/>
        <v>3.9301405855046472</v>
      </c>
      <c r="AB38" s="141">
        <f t="shared" si="6"/>
        <v>3.7026744989005449</v>
      </c>
      <c r="AC38" s="141">
        <f t="shared" si="6"/>
        <v>3.4411986596879256</v>
      </c>
      <c r="AD38" s="141">
        <f t="shared" si="6"/>
        <v>3.1932217762764594</v>
      </c>
      <c r="AE38" s="141">
        <f t="shared" si="6"/>
        <v>2.9693166936815611</v>
      </c>
      <c r="AF38" s="141">
        <f t="shared" si="6"/>
        <v>2.7304959208419208</v>
      </c>
      <c r="AG38" s="141">
        <f t="shared" si="6"/>
        <v>2.5094002513067757</v>
      </c>
      <c r="AH38" s="141">
        <f t="shared" si="6"/>
        <v>2.3143065093961726</v>
      </c>
      <c r="AI38" s="141">
        <f t="shared" si="6"/>
        <v>2.1445454528761156</v>
      </c>
      <c r="AJ38" s="141">
        <f t="shared" si="6"/>
        <v>1.9437338595571034</v>
      </c>
      <c r="AK38" s="141">
        <f t="shared" si="6"/>
        <v>1.7569449191502082</v>
      </c>
      <c r="AL38" s="141">
        <f t="shared" si="6"/>
        <v>1.5788735504156608</v>
      </c>
      <c r="AM38" s="141">
        <f t="shared" si="6"/>
        <v>1.3962082692078397</v>
      </c>
      <c r="AN38" s="141">
        <f t="shared" si="6"/>
        <v>1.226415534538589</v>
      </c>
      <c r="AO38" s="141">
        <f t="shared" si="6"/>
        <v>1.120833274705942</v>
      </c>
      <c r="AP38" s="141">
        <f t="shared" si="6"/>
        <v>1.0162400068367841</v>
      </c>
      <c r="AQ38" s="141">
        <f t="shared" si="6"/>
        <v>0.91225335422469023</v>
      </c>
      <c r="AR38" s="141">
        <f t="shared" si="6"/>
        <v>0.80877811314192716</v>
      </c>
      <c r="AS38" s="141">
        <f t="shared" si="6"/>
        <v>0.7054015480079594</v>
      </c>
      <c r="AT38" s="141">
        <f t="shared" si="6"/>
        <v>0.60216549073700676</v>
      </c>
      <c r="AU38" s="141">
        <f t="shared" si="6"/>
        <v>0.49929342012616773</v>
      </c>
      <c r="AV38" s="141">
        <f t="shared" si="6"/>
        <v>0.39677146170559913</v>
      </c>
      <c r="AW38" s="141">
        <f t="shared" si="6"/>
        <v>0.29449750990865387</v>
      </c>
      <c r="AX38" s="141">
        <f t="shared" si="6"/>
        <v>0.19278436517738848</v>
      </c>
      <c r="BI38" s="141" t="str">
        <f t="shared" si="5"/>
        <v>Updated 28/10: JET and MD</v>
      </c>
    </row>
    <row r="39" spans="1:61" ht="14" x14ac:dyDescent="0.15">
      <c r="A39" s="139" t="s">
        <v>353</v>
      </c>
      <c r="B39" s="140" t="s">
        <v>52</v>
      </c>
      <c r="C39" s="140" t="e">
        <v>#N/A</v>
      </c>
      <c r="D39" s="141" t="s">
        <v>327</v>
      </c>
      <c r="E39" s="140" t="s">
        <v>337</v>
      </c>
      <c r="F39" s="145" t="s">
        <v>431</v>
      </c>
      <c r="G39" s="142" t="s">
        <v>338</v>
      </c>
      <c r="H39" s="143" t="s">
        <v>329</v>
      </c>
      <c r="V39" s="141">
        <f t="shared" si="0"/>
        <v>4.4590463886082068</v>
      </c>
      <c r="W39" s="141">
        <f t="shared" si="1"/>
        <v>4.4590463886082068</v>
      </c>
      <c r="X39" s="141">
        <f t="shared" si="2"/>
        <v>4.2766351011377131</v>
      </c>
      <c r="Y39" s="141">
        <f t="shared" si="3"/>
        <v>4.0725837680726116</v>
      </c>
      <c r="Z39" s="141">
        <f t="shared" si="6"/>
        <v>3.846601559221106</v>
      </c>
      <c r="AA39" s="141">
        <f t="shared" si="6"/>
        <v>3.6119913561184367</v>
      </c>
      <c r="AB39" s="141">
        <f t="shared" si="6"/>
        <v>3.3588000427570757</v>
      </c>
      <c r="AC39" s="141">
        <f t="shared" si="6"/>
        <v>3.1179325434437875</v>
      </c>
      <c r="AD39" s="141">
        <f t="shared" si="6"/>
        <v>2.8851667744071441</v>
      </c>
      <c r="AE39" s="141">
        <f t="shared" si="6"/>
        <v>2.6776683788684976</v>
      </c>
      <c r="AF39" s="141">
        <f t="shared" si="6"/>
        <v>2.4867410514054233</v>
      </c>
      <c r="AG39" s="141">
        <f t="shared" si="6"/>
        <v>2.2906765187103812</v>
      </c>
      <c r="AH39" s="141">
        <f t="shared" si="6"/>
        <v>2.1009678404741741</v>
      </c>
      <c r="AI39" s="141">
        <f t="shared" si="6"/>
        <v>1.9550133398827718</v>
      </c>
      <c r="AJ39" s="141">
        <f t="shared" si="6"/>
        <v>1.8344671809249078</v>
      </c>
      <c r="AK39" s="141">
        <f t="shared" si="6"/>
        <v>1.7157027725465628</v>
      </c>
      <c r="AL39" s="141">
        <f t="shared" si="6"/>
        <v>1.5688898403577474</v>
      </c>
      <c r="AM39" s="141">
        <f t="shared" si="6"/>
        <v>1.4180455887998995</v>
      </c>
      <c r="AN39" s="141">
        <f t="shared" si="6"/>
        <v>1.2629513899391678</v>
      </c>
      <c r="AO39" s="141">
        <f t="shared" si="6"/>
        <v>1.1618682670820861</v>
      </c>
      <c r="AP39" s="141">
        <f t="shared" si="6"/>
        <v>1.0601483549979815</v>
      </c>
      <c r="AQ39" s="141">
        <f t="shared" si="6"/>
        <v>0.9577542661657712</v>
      </c>
      <c r="AR39" s="141">
        <f t="shared" si="6"/>
        <v>0.85451765560070525</v>
      </c>
      <c r="AS39" s="141">
        <f t="shared" si="6"/>
        <v>0.75049644690762596</v>
      </c>
      <c r="AT39" s="141">
        <f t="shared" si="6"/>
        <v>0.64364822449109227</v>
      </c>
      <c r="AU39" s="141">
        <f t="shared" si="6"/>
        <v>0.53692920913360154</v>
      </c>
      <c r="AV39" s="141">
        <f t="shared" si="6"/>
        <v>0.43027389339593963</v>
      </c>
      <c r="AW39" s="141">
        <f t="shared" si="6"/>
        <v>0.32374034736399698</v>
      </c>
      <c r="AX39" s="141">
        <f t="shared" si="6"/>
        <v>0.21739064962609181</v>
      </c>
      <c r="BI39" s="141" t="str">
        <f t="shared" si="5"/>
        <v>Updated 28/10: JET and MD</v>
      </c>
    </row>
    <row r="40" spans="1:61" ht="14" x14ac:dyDescent="0.15">
      <c r="A40" s="144" t="s">
        <v>353</v>
      </c>
      <c r="B40" s="145" t="s">
        <v>52</v>
      </c>
      <c r="C40" s="145" t="e">
        <v>#N/A</v>
      </c>
      <c r="D40" s="146" t="s">
        <v>233</v>
      </c>
      <c r="E40" s="145" t="s">
        <v>337</v>
      </c>
      <c r="F40" s="145" t="s">
        <v>431</v>
      </c>
      <c r="G40" s="147" t="s">
        <v>338</v>
      </c>
      <c r="H40" s="148" t="s">
        <v>329</v>
      </c>
      <c r="V40" s="141">
        <f t="shared" si="0"/>
        <v>4.3774817064944491</v>
      </c>
      <c r="W40" s="141">
        <f t="shared" si="1"/>
        <v>4.3677475694860721</v>
      </c>
      <c r="X40" s="141">
        <f t="shared" si="2"/>
        <v>4.1772533779293246</v>
      </c>
      <c r="Y40" s="141">
        <f t="shared" si="3"/>
        <v>4.0368674868581413</v>
      </c>
      <c r="Z40" s="141">
        <f t="shared" si="6"/>
        <v>3.8723599426054927</v>
      </c>
      <c r="AA40" s="141">
        <f t="shared" si="6"/>
        <v>3.6642554106809353</v>
      </c>
      <c r="AB40" s="141">
        <f t="shared" si="6"/>
        <v>3.4380288047343179</v>
      </c>
      <c r="AC40" s="141">
        <f t="shared" si="6"/>
        <v>3.2011968267092166</v>
      </c>
      <c r="AD40" s="141">
        <f t="shared" si="6"/>
        <v>2.9752145686532243</v>
      </c>
      <c r="AE40" s="141">
        <f t="shared" ref="AE40:AX40" si="7">+IF(AE13&gt;AF13,AE13,AF13)</f>
        <v>2.7626125226051776</v>
      </c>
      <c r="AF40" s="141">
        <f t="shared" si="7"/>
        <v>2.5627248051569547</v>
      </c>
      <c r="AG40" s="141">
        <f t="shared" si="7"/>
        <v>2.3697666054462077</v>
      </c>
      <c r="AH40" s="141">
        <f t="shared" si="7"/>
        <v>2.1876433222049423</v>
      </c>
      <c r="AI40" s="141">
        <f t="shared" si="7"/>
        <v>2.0346283674440184</v>
      </c>
      <c r="AJ40" s="141">
        <f t="shared" si="7"/>
        <v>1.8734858170871764</v>
      </c>
      <c r="AK40" s="141">
        <f t="shared" si="7"/>
        <v>1.7197820332084444</v>
      </c>
      <c r="AL40" s="141">
        <f t="shared" si="7"/>
        <v>1.5588859779433681</v>
      </c>
      <c r="AM40" s="141">
        <f t="shared" si="7"/>
        <v>1.3951915817926208</v>
      </c>
      <c r="AN40" s="141">
        <f t="shared" si="7"/>
        <v>1.2341570416600198</v>
      </c>
      <c r="AO40" s="141">
        <f t="shared" si="7"/>
        <v>1.1319588347260996</v>
      </c>
      <c r="AP40" s="141">
        <f t="shared" si="7"/>
        <v>1.0294111966262907</v>
      </c>
      <c r="AQ40" s="141">
        <f t="shared" si="7"/>
        <v>0.92689047621156939</v>
      </c>
      <c r="AR40" s="141">
        <f t="shared" si="7"/>
        <v>0.82419577519289322</v>
      </c>
      <c r="AS40" s="141">
        <f t="shared" si="7"/>
        <v>0.72119167082041269</v>
      </c>
      <c r="AT40" s="141">
        <f t="shared" si="7"/>
        <v>0.61706812589992832</v>
      </c>
      <c r="AU40" s="141">
        <f t="shared" si="7"/>
        <v>0.51328550248873606</v>
      </c>
      <c r="AV40" s="141">
        <f t="shared" si="7"/>
        <v>0.40974478911009865</v>
      </c>
      <c r="AW40" s="141">
        <f t="shared" si="7"/>
        <v>0.30640926885509645</v>
      </c>
      <c r="AX40" s="141">
        <f t="shared" si="7"/>
        <v>0.20344222109146948</v>
      </c>
      <c r="BI40" s="141" t="str">
        <f t="shared" si="5"/>
        <v>Updated 28/10: JET and MD</v>
      </c>
    </row>
    <row r="41" spans="1:61" ht="14" x14ac:dyDescent="0.15">
      <c r="A41" s="139" t="s">
        <v>353</v>
      </c>
      <c r="B41" s="140" t="s">
        <v>52</v>
      </c>
      <c r="C41" s="140" t="e">
        <v>#N/A</v>
      </c>
      <c r="D41" s="141" t="s">
        <v>326</v>
      </c>
      <c r="E41" s="140" t="s">
        <v>337</v>
      </c>
      <c r="F41" s="145" t="s">
        <v>431</v>
      </c>
      <c r="G41" s="142" t="s">
        <v>338</v>
      </c>
      <c r="H41" s="143" t="s">
        <v>330</v>
      </c>
      <c r="V41" s="141">
        <f t="shared" si="0"/>
        <v>3.9238131330873367</v>
      </c>
      <c r="W41" s="141">
        <f t="shared" si="1"/>
        <v>3.9220310028957361</v>
      </c>
      <c r="X41" s="141">
        <f t="shared" si="2"/>
        <v>3.7150908543449712</v>
      </c>
      <c r="Y41" s="141">
        <f t="shared" si="3"/>
        <v>3.564372953004074</v>
      </c>
      <c r="Z41" s="141">
        <f t="shared" ref="Z41:AX51" si="8">+IF(Z14&gt;AA14,Z14,AA14)</f>
        <v>3.3891130246649932</v>
      </c>
      <c r="AA41" s="141">
        <f t="shared" si="8"/>
        <v>3.1865646646490187</v>
      </c>
      <c r="AB41" s="141">
        <f t="shared" si="8"/>
        <v>2.9832101824671318</v>
      </c>
      <c r="AC41" s="141">
        <f t="shared" si="8"/>
        <v>2.7744328064122672</v>
      </c>
      <c r="AD41" s="141">
        <f t="shared" si="8"/>
        <v>2.5771830106308387</v>
      </c>
      <c r="AE41" s="141">
        <f t="shared" si="8"/>
        <v>2.401500900227977</v>
      </c>
      <c r="AF41" s="141">
        <f t="shared" si="8"/>
        <v>2.2211665256733788</v>
      </c>
      <c r="AG41" s="141">
        <f t="shared" si="8"/>
        <v>2.0603917602889585</v>
      </c>
      <c r="AH41" s="141">
        <f t="shared" si="8"/>
        <v>1.9037443186723384</v>
      </c>
      <c r="AI41" s="141">
        <f t="shared" si="8"/>
        <v>1.7597359011859044</v>
      </c>
      <c r="AJ41" s="141">
        <f t="shared" si="8"/>
        <v>1.6057102726839936</v>
      </c>
      <c r="AK41" s="141">
        <f t="shared" si="8"/>
        <v>1.4580719182780033</v>
      </c>
      <c r="AL41" s="141">
        <f t="shared" si="8"/>
        <v>1.3176964327459246</v>
      </c>
      <c r="AM41" s="141">
        <f t="shared" si="8"/>
        <v>1.1772723705374126</v>
      </c>
      <c r="AN41" s="141">
        <f t="shared" si="8"/>
        <v>1.0387487251982066</v>
      </c>
      <c r="AO41" s="141">
        <f t="shared" si="8"/>
        <v>0.94929935941369092</v>
      </c>
      <c r="AP41" s="141">
        <f t="shared" si="8"/>
        <v>0.86110634884852544</v>
      </c>
      <c r="AQ41" s="141">
        <f t="shared" si="8"/>
        <v>0.77369628108839505</v>
      </c>
      <c r="AR41" s="141">
        <f t="shared" si="8"/>
        <v>0.68695426166112072</v>
      </c>
      <c r="AS41" s="141">
        <f t="shared" si="8"/>
        <v>0.60033166203776978</v>
      </c>
      <c r="AT41" s="141">
        <f t="shared" si="8"/>
        <v>0.51388216967059197</v>
      </c>
      <c r="AU41" s="141">
        <f t="shared" si="8"/>
        <v>0.4279062532313509</v>
      </c>
      <c r="AV41" s="141">
        <f t="shared" si="8"/>
        <v>0.34238593610031087</v>
      </c>
      <c r="AW41" s="141">
        <f t="shared" si="8"/>
        <v>0.25717963069798799</v>
      </c>
      <c r="AX41" s="141">
        <f t="shared" si="8"/>
        <v>0.17272342456710343</v>
      </c>
      <c r="BI41" s="141" t="str">
        <f t="shared" si="5"/>
        <v>Updated 28/10: JET and MD</v>
      </c>
    </row>
    <row r="42" spans="1:61" ht="14" x14ac:dyDescent="0.15">
      <c r="A42" s="144" t="s">
        <v>353</v>
      </c>
      <c r="B42" s="145" t="s">
        <v>52</v>
      </c>
      <c r="C42" s="145" t="e">
        <v>#N/A</v>
      </c>
      <c r="D42" s="146" t="s">
        <v>231</v>
      </c>
      <c r="E42" s="145" t="s">
        <v>337</v>
      </c>
      <c r="F42" s="145" t="s">
        <v>431</v>
      </c>
      <c r="G42" s="147" t="s">
        <v>338</v>
      </c>
      <c r="H42" s="148" t="s">
        <v>330</v>
      </c>
      <c r="V42" s="141">
        <f t="shared" si="0"/>
        <v>4.6499406219716688</v>
      </c>
      <c r="W42" s="141">
        <f t="shared" si="1"/>
        <v>4.6451685115232433</v>
      </c>
      <c r="X42" s="141">
        <f t="shared" si="2"/>
        <v>4.4678771409932576</v>
      </c>
      <c r="Y42" s="141">
        <f t="shared" si="3"/>
        <v>4.3101693971604789</v>
      </c>
      <c r="Z42" s="141">
        <f t="shared" si="8"/>
        <v>4.1079542975799503</v>
      </c>
      <c r="AA42" s="141">
        <f t="shared" si="8"/>
        <v>3.8643318953662273</v>
      </c>
      <c r="AB42" s="141">
        <f t="shared" si="8"/>
        <v>3.5992224442308109</v>
      </c>
      <c r="AC42" s="141">
        <f t="shared" si="8"/>
        <v>3.3076016511640161</v>
      </c>
      <c r="AD42" s="141">
        <f t="shared" si="8"/>
        <v>3.0326175779235425</v>
      </c>
      <c r="AE42" s="141">
        <f t="shared" si="8"/>
        <v>2.7837386019574719</v>
      </c>
      <c r="AF42" s="141">
        <f t="shared" si="8"/>
        <v>2.519297570533535</v>
      </c>
      <c r="AG42" s="141">
        <f t="shared" si="8"/>
        <v>2.2759465516940942</v>
      </c>
      <c r="AH42" s="141">
        <f t="shared" si="8"/>
        <v>2.0606848883079882</v>
      </c>
      <c r="AI42" s="141">
        <f t="shared" si="8"/>
        <v>1.8823634224084596</v>
      </c>
      <c r="AJ42" s="141">
        <f t="shared" si="8"/>
        <v>1.7028828794522486</v>
      </c>
      <c r="AK42" s="141">
        <f t="shared" si="8"/>
        <v>1.5370663400798725</v>
      </c>
      <c r="AL42" s="141">
        <f t="shared" si="8"/>
        <v>1.3808543558989672</v>
      </c>
      <c r="AM42" s="141">
        <f t="shared" si="8"/>
        <v>1.2190638711525574</v>
      </c>
      <c r="AN42" s="141">
        <f t="shared" si="8"/>
        <v>1.0710576202172992</v>
      </c>
      <c r="AO42" s="141">
        <f t="shared" si="8"/>
        <v>0.97835506635799407</v>
      </c>
      <c r="AP42" s="141">
        <f t="shared" si="8"/>
        <v>0.88698051918417975</v>
      </c>
      <c r="AQ42" s="141">
        <f t="shared" si="8"/>
        <v>0.79642935075267651</v>
      </c>
      <c r="AR42" s="141">
        <f t="shared" si="8"/>
        <v>0.70657716000631265</v>
      </c>
      <c r="AS42" s="141">
        <f t="shared" si="8"/>
        <v>0.6168489447324853</v>
      </c>
      <c r="AT42" s="141">
        <f t="shared" si="8"/>
        <v>0.52730486914962538</v>
      </c>
      <c r="AU42" s="141">
        <f t="shared" si="8"/>
        <v>0.43825774653014299</v>
      </c>
      <c r="AV42" s="141">
        <f t="shared" si="8"/>
        <v>0.34968829910780902</v>
      </c>
      <c r="AW42" s="141">
        <f t="shared" si="8"/>
        <v>0.26145510791442655</v>
      </c>
      <c r="AX42" s="141">
        <f t="shared" si="8"/>
        <v>0.17399183091311707</v>
      </c>
      <c r="BI42" s="141" t="str">
        <f t="shared" si="5"/>
        <v>Updated 28/10: JET and MD</v>
      </c>
    </row>
    <row r="43" spans="1:61" ht="14" x14ac:dyDescent="0.15">
      <c r="A43" s="139" t="s">
        <v>353</v>
      </c>
      <c r="B43" s="140" t="s">
        <v>52</v>
      </c>
      <c r="C43" s="140" t="e">
        <v>#N/A</v>
      </c>
      <c r="D43" s="141" t="s">
        <v>327</v>
      </c>
      <c r="E43" s="140" t="s">
        <v>337</v>
      </c>
      <c r="F43" s="145" t="s">
        <v>431</v>
      </c>
      <c r="G43" s="142" t="s">
        <v>338</v>
      </c>
      <c r="H43" s="143" t="s">
        <v>330</v>
      </c>
      <c r="V43" s="141">
        <f t="shared" si="0"/>
        <v>4.4821460604642596</v>
      </c>
      <c r="W43" s="141">
        <f t="shared" si="1"/>
        <v>4.4821460604642596</v>
      </c>
      <c r="X43" s="141">
        <f t="shared" si="2"/>
        <v>4.2963817241095681</v>
      </c>
      <c r="Y43" s="141">
        <f t="shared" si="3"/>
        <v>4.086330297008554</v>
      </c>
      <c r="Z43" s="141">
        <f t="shared" si="8"/>
        <v>3.8543427587307693</v>
      </c>
      <c r="AA43" s="141">
        <f t="shared" si="8"/>
        <v>3.6138069649808369</v>
      </c>
      <c r="AB43" s="141">
        <f t="shared" si="8"/>
        <v>3.3551042765437846</v>
      </c>
      <c r="AC43" s="141">
        <f t="shared" si="8"/>
        <v>3.1097098780441885</v>
      </c>
      <c r="AD43" s="141">
        <f t="shared" si="8"/>
        <v>2.8731387292958597</v>
      </c>
      <c r="AE43" s="141">
        <f t="shared" si="8"/>
        <v>2.6382167141372004</v>
      </c>
      <c r="AF43" s="141">
        <f t="shared" si="8"/>
        <v>2.4229250256606254</v>
      </c>
      <c r="AG43" s="141">
        <f t="shared" si="8"/>
        <v>2.2086552091464533</v>
      </c>
      <c r="AH43" s="141">
        <f t="shared" si="8"/>
        <v>2.0059916672190075</v>
      </c>
      <c r="AI43" s="141">
        <f t="shared" si="8"/>
        <v>1.8120846596833307</v>
      </c>
      <c r="AJ43" s="141">
        <f t="shared" si="8"/>
        <v>1.6577692154533761</v>
      </c>
      <c r="AK43" s="141">
        <f t="shared" si="8"/>
        <v>1.5148164893704705</v>
      </c>
      <c r="AL43" s="141">
        <f t="shared" si="8"/>
        <v>1.3849048831475124</v>
      </c>
      <c r="AM43" s="141">
        <f t="shared" si="8"/>
        <v>1.2521671313497889</v>
      </c>
      <c r="AN43" s="141">
        <f t="shared" si="8"/>
        <v>1.1159452504288609</v>
      </c>
      <c r="AO43" s="141">
        <f t="shared" si="8"/>
        <v>1.0330275371495463</v>
      </c>
      <c r="AP43" s="141">
        <f t="shared" si="8"/>
        <v>0.94863035444739985</v>
      </c>
      <c r="AQ43" s="141">
        <f t="shared" si="8"/>
        <v>0.86256975751545117</v>
      </c>
      <c r="AR43" s="141">
        <f t="shared" si="8"/>
        <v>0.77465565008602078</v>
      </c>
      <c r="AS43" s="141">
        <f t="shared" si="8"/>
        <v>0.68504613681350979</v>
      </c>
      <c r="AT43" s="141">
        <f t="shared" si="8"/>
        <v>0.58920961568856689</v>
      </c>
      <c r="AU43" s="141">
        <f t="shared" si="8"/>
        <v>0.49359076113412642</v>
      </c>
      <c r="AV43" s="141">
        <f t="shared" si="8"/>
        <v>0.39809200314677451</v>
      </c>
      <c r="AW43" s="141">
        <f t="shared" si="8"/>
        <v>0.30280506099993759</v>
      </c>
      <c r="AX43" s="141">
        <f t="shared" si="8"/>
        <v>0.20782246002707683</v>
      </c>
      <c r="BI43" s="141" t="str">
        <f t="shared" si="5"/>
        <v>Updated 28/10: JET and MD</v>
      </c>
    </row>
    <row r="44" spans="1:61" ht="14" x14ac:dyDescent="0.15">
      <c r="A44" s="144" t="s">
        <v>353</v>
      </c>
      <c r="B44" s="145" t="s">
        <v>52</v>
      </c>
      <c r="C44" s="145" t="e">
        <v>#N/A</v>
      </c>
      <c r="D44" s="146" t="s">
        <v>233</v>
      </c>
      <c r="E44" s="145" t="s">
        <v>337</v>
      </c>
      <c r="F44" s="145" t="s">
        <v>431</v>
      </c>
      <c r="G44" s="147" t="s">
        <v>338</v>
      </c>
      <c r="H44" s="148" t="s">
        <v>330</v>
      </c>
      <c r="V44" s="141">
        <f t="shared" si="0"/>
        <v>4.3481571879122685</v>
      </c>
      <c r="W44" s="141">
        <f t="shared" si="1"/>
        <v>4.3481571879122685</v>
      </c>
      <c r="X44" s="141">
        <f t="shared" si="2"/>
        <v>4.1947418044266191</v>
      </c>
      <c r="Y44" s="141">
        <f t="shared" si="3"/>
        <v>4.0255470015029902</v>
      </c>
      <c r="Z44" s="141">
        <f t="shared" si="8"/>
        <v>3.8079512615054405</v>
      </c>
      <c r="AA44" s="141">
        <f t="shared" si="8"/>
        <v>3.5805652268189108</v>
      </c>
      <c r="AB44" s="141">
        <f t="shared" si="8"/>
        <v>3.3395640878303525</v>
      </c>
      <c r="AC44" s="141">
        <f t="shared" si="8"/>
        <v>3.0911690900587661</v>
      </c>
      <c r="AD44" s="141">
        <f t="shared" si="8"/>
        <v>2.8548000754834613</v>
      </c>
      <c r="AE44" s="141">
        <f t="shared" si="8"/>
        <v>2.6409742374076304</v>
      </c>
      <c r="AF44" s="141">
        <f t="shared" si="8"/>
        <v>2.4159325243171055</v>
      </c>
      <c r="AG44" s="141">
        <f t="shared" si="8"/>
        <v>2.2032228059153831</v>
      </c>
      <c r="AH44" s="141">
        <f t="shared" si="8"/>
        <v>2.0060168328956181</v>
      </c>
      <c r="AI44" s="141">
        <f t="shared" si="8"/>
        <v>1.8303199522206155</v>
      </c>
      <c r="AJ44" s="141">
        <f t="shared" si="8"/>
        <v>1.6646686626959135</v>
      </c>
      <c r="AK44" s="141">
        <f t="shared" si="8"/>
        <v>1.5102983306798099</v>
      </c>
      <c r="AL44" s="141">
        <f t="shared" si="8"/>
        <v>1.3663053668097607</v>
      </c>
      <c r="AM44" s="141">
        <f t="shared" si="8"/>
        <v>1.2193221457503709</v>
      </c>
      <c r="AN44" s="141">
        <f t="shared" si="8"/>
        <v>1.0777024426870845</v>
      </c>
      <c r="AO44" s="141">
        <f t="shared" si="8"/>
        <v>0.98995567101965098</v>
      </c>
      <c r="AP44" s="141">
        <f t="shared" si="8"/>
        <v>0.90210151873210975</v>
      </c>
      <c r="AQ44" s="141">
        <f t="shared" si="8"/>
        <v>0.81419111341493944</v>
      </c>
      <c r="AR44" s="141">
        <f t="shared" si="8"/>
        <v>0.7260091024392602</v>
      </c>
      <c r="AS44" s="141">
        <f t="shared" si="8"/>
        <v>0.63722986041490171</v>
      </c>
      <c r="AT44" s="141">
        <f t="shared" si="8"/>
        <v>0.54628463480911771</v>
      </c>
      <c r="AU44" s="141">
        <f t="shared" si="8"/>
        <v>0.4557269194281412</v>
      </c>
      <c r="AV44" s="141">
        <f t="shared" si="8"/>
        <v>0.36549589477113198</v>
      </c>
      <c r="AW44" s="141">
        <f t="shared" si="8"/>
        <v>0.27553800301238246</v>
      </c>
      <c r="AX44" s="141">
        <f t="shared" si="8"/>
        <v>0.18614792062911209</v>
      </c>
      <c r="BI44" s="141" t="str">
        <f t="shared" si="5"/>
        <v>Updated 28/10: JET and MD</v>
      </c>
    </row>
    <row r="45" spans="1:61" ht="14" x14ac:dyDescent="0.15">
      <c r="A45" s="139" t="s">
        <v>353</v>
      </c>
      <c r="B45" s="140" t="s">
        <v>52</v>
      </c>
      <c r="C45" s="140" t="e">
        <v>#N/A</v>
      </c>
      <c r="D45" s="141" t="s">
        <v>326</v>
      </c>
      <c r="E45" s="140" t="s">
        <v>337</v>
      </c>
      <c r="F45" s="145" t="s">
        <v>431</v>
      </c>
      <c r="G45" s="142" t="s">
        <v>338</v>
      </c>
      <c r="H45" s="143" t="s">
        <v>364</v>
      </c>
      <c r="V45" s="141">
        <f t="shared" si="0"/>
        <v>4.0140023659217103</v>
      </c>
      <c r="W45" s="141">
        <f t="shared" si="1"/>
        <v>4.0140023659217103</v>
      </c>
      <c r="X45" s="141">
        <f t="shared" si="2"/>
        <v>3.8422347435819821</v>
      </c>
      <c r="Y45" s="141">
        <f t="shared" si="3"/>
        <v>3.8422347435819821</v>
      </c>
      <c r="Z45" s="141">
        <f t="shared" si="8"/>
        <v>3.726589523822037</v>
      </c>
      <c r="AA45" s="141">
        <f t="shared" si="8"/>
        <v>3.5653776726876893</v>
      </c>
      <c r="AB45" s="141">
        <f t="shared" si="8"/>
        <v>3.3930664644283919</v>
      </c>
      <c r="AC45" s="141">
        <f t="shared" si="8"/>
        <v>3.2014253922053664</v>
      </c>
      <c r="AD45" s="141">
        <f t="shared" si="8"/>
        <v>3.0150920119941733</v>
      </c>
      <c r="AE45" s="141">
        <f t="shared" si="8"/>
        <v>2.7211623807848935</v>
      </c>
      <c r="AF45" s="141">
        <f t="shared" si="8"/>
        <v>2.4411290406815045</v>
      </c>
      <c r="AG45" s="141">
        <f t="shared" si="8"/>
        <v>2.2038266406794964</v>
      </c>
      <c r="AH45" s="141">
        <f t="shared" si="8"/>
        <v>1.9836063468261367</v>
      </c>
      <c r="AI45" s="141">
        <f t="shared" si="8"/>
        <v>1.789626179624749</v>
      </c>
      <c r="AJ45" s="141">
        <f t="shared" si="8"/>
        <v>1.6332736869560649</v>
      </c>
      <c r="AK45" s="141">
        <f t="shared" si="8"/>
        <v>1.4836140363449599</v>
      </c>
      <c r="AL45" s="141">
        <f t="shared" si="8"/>
        <v>1.3405076541492229</v>
      </c>
      <c r="AM45" s="141">
        <f t="shared" si="8"/>
        <v>1.1977409545468882</v>
      </c>
      <c r="AN45" s="141">
        <f t="shared" si="8"/>
        <v>1.0564384329206993</v>
      </c>
      <c r="AO45" s="141">
        <f t="shared" si="8"/>
        <v>0.96571429596304004</v>
      </c>
      <c r="AP45" s="141">
        <f t="shared" si="8"/>
        <v>0.87600654141530565</v>
      </c>
      <c r="AQ45" s="141">
        <f t="shared" si="8"/>
        <v>0.78693928737112162</v>
      </c>
      <c r="AR45" s="141">
        <f t="shared" si="8"/>
        <v>0.69842302899859199</v>
      </c>
      <c r="AS45" s="141">
        <f t="shared" si="8"/>
        <v>0.61002352981858299</v>
      </c>
      <c r="AT45" s="141">
        <f t="shared" si="8"/>
        <v>0.5217792946396157</v>
      </c>
      <c r="AU45" s="141">
        <f t="shared" si="8"/>
        <v>0.43392870484557955</v>
      </c>
      <c r="AV45" s="141">
        <f t="shared" si="8"/>
        <v>0.34645760699270944</v>
      </c>
      <c r="AW45" s="141">
        <f t="shared" si="8"/>
        <v>0.25924814508331911</v>
      </c>
      <c r="AX45" s="141">
        <f t="shared" si="8"/>
        <v>0.17266362064355983</v>
      </c>
      <c r="BI45" s="141" t="str">
        <f t="shared" si="5"/>
        <v>Updated 28/10: JET and MD</v>
      </c>
    </row>
    <row r="46" spans="1:61" ht="14" x14ac:dyDescent="0.15">
      <c r="A46" s="144" t="s">
        <v>353</v>
      </c>
      <c r="B46" s="145" t="s">
        <v>52</v>
      </c>
      <c r="C46" s="145" t="e">
        <v>#N/A</v>
      </c>
      <c r="D46" s="146" t="s">
        <v>231</v>
      </c>
      <c r="E46" s="145" t="s">
        <v>337</v>
      </c>
      <c r="F46" s="145" t="s">
        <v>431</v>
      </c>
      <c r="G46" s="147" t="s">
        <v>338</v>
      </c>
      <c r="H46" s="148" t="s">
        <v>364</v>
      </c>
      <c r="V46" s="141">
        <f t="shared" si="0"/>
        <v>5.1342789167821152</v>
      </c>
      <c r="W46" s="141">
        <f t="shared" si="1"/>
        <v>5.1342789167821152</v>
      </c>
      <c r="X46" s="141">
        <f t="shared" si="2"/>
        <v>5.1342789167821152</v>
      </c>
      <c r="Y46" s="141">
        <f t="shared" si="3"/>
        <v>5.1342789167821152</v>
      </c>
      <c r="Z46" s="141">
        <f t="shared" si="8"/>
        <v>4.9795754192847967</v>
      </c>
      <c r="AA46" s="141">
        <f t="shared" si="8"/>
        <v>4.7439218398022174</v>
      </c>
      <c r="AB46" s="141">
        <f t="shared" si="8"/>
        <v>4.4565407877878878</v>
      </c>
      <c r="AC46" s="141">
        <f t="shared" si="8"/>
        <v>4.1053812365542459</v>
      </c>
      <c r="AD46" s="141">
        <f t="shared" si="8"/>
        <v>3.7793253129111983</v>
      </c>
      <c r="AE46" s="141">
        <f t="shared" si="8"/>
        <v>3.3109071249501572</v>
      </c>
      <c r="AF46" s="141">
        <f t="shared" si="8"/>
        <v>2.8808009883119414</v>
      </c>
      <c r="AG46" s="141">
        <f t="shared" si="8"/>
        <v>2.5177064508345302</v>
      </c>
      <c r="AH46" s="141">
        <f t="shared" si="8"/>
        <v>2.2232385562796053</v>
      </c>
      <c r="AI46" s="141">
        <f t="shared" si="8"/>
        <v>1.9736179779068215</v>
      </c>
      <c r="AJ46" s="141">
        <f t="shared" si="8"/>
        <v>1.7819966704255747</v>
      </c>
      <c r="AK46" s="141">
        <f t="shared" si="8"/>
        <v>1.6065269749436175</v>
      </c>
      <c r="AL46" s="141">
        <f t="shared" si="8"/>
        <v>1.4406150968462477</v>
      </c>
      <c r="AM46" s="141">
        <f t="shared" si="8"/>
        <v>1.2677168147651174</v>
      </c>
      <c r="AN46" s="141">
        <f t="shared" si="8"/>
        <v>1.1121970845647779</v>
      </c>
      <c r="AO46" s="141">
        <f t="shared" si="8"/>
        <v>1.0160454745228051</v>
      </c>
      <c r="AP46" s="141">
        <f t="shared" si="8"/>
        <v>0.92100126800430782</v>
      </c>
      <c r="AQ46" s="141">
        <f t="shared" si="8"/>
        <v>0.82664833348260924</v>
      </c>
      <c r="AR46" s="141">
        <f t="shared" si="8"/>
        <v>0.73288406274902795</v>
      </c>
      <c r="AS46" s="141">
        <f t="shared" si="8"/>
        <v>0.6392416050079982</v>
      </c>
      <c r="AT46" s="141">
        <f t="shared" si="8"/>
        <v>0.54576793279944769</v>
      </c>
      <c r="AU46" s="141">
        <f t="shared" si="8"/>
        <v>0.45271661875268188</v>
      </c>
      <c r="AV46" s="141">
        <f t="shared" si="8"/>
        <v>0.3600718500452314</v>
      </c>
      <c r="AW46" s="141">
        <f t="shared" si="8"/>
        <v>0.2677166931411164</v>
      </c>
      <c r="AX46" s="141">
        <f t="shared" si="8"/>
        <v>0.17600906441897218</v>
      </c>
      <c r="BI46" s="141" t="str">
        <f t="shared" si="5"/>
        <v>Updated 28/10: JET and MD</v>
      </c>
    </row>
    <row r="47" spans="1:61" ht="14" x14ac:dyDescent="0.15">
      <c r="A47" s="139" t="s">
        <v>353</v>
      </c>
      <c r="B47" s="140" t="s">
        <v>52</v>
      </c>
      <c r="C47" s="140" t="e">
        <v>#N/A</v>
      </c>
      <c r="D47" s="141" t="s">
        <v>327</v>
      </c>
      <c r="E47" s="140" t="s">
        <v>337</v>
      </c>
      <c r="F47" s="145" t="s">
        <v>431</v>
      </c>
      <c r="G47" s="142" t="s">
        <v>338</v>
      </c>
      <c r="H47" s="143" t="s">
        <v>364</v>
      </c>
      <c r="V47" s="141">
        <f t="shared" si="0"/>
        <v>4.4939180970482457</v>
      </c>
      <c r="W47" s="141">
        <f t="shared" si="1"/>
        <v>4.4939180970482457</v>
      </c>
      <c r="X47" s="141">
        <f t="shared" si="2"/>
        <v>4.4599612220727414</v>
      </c>
      <c r="Y47" s="141">
        <f t="shared" si="3"/>
        <v>4.4599612220727414</v>
      </c>
      <c r="Z47" s="141">
        <f t="shared" si="8"/>
        <v>4.4599612220727414</v>
      </c>
      <c r="AA47" s="141">
        <f t="shared" si="8"/>
        <v>4.4599612220727414</v>
      </c>
      <c r="AB47" s="141">
        <f t="shared" si="8"/>
        <v>4.1594813244025062</v>
      </c>
      <c r="AC47" s="141">
        <f t="shared" si="8"/>
        <v>3.8746500023125163</v>
      </c>
      <c r="AD47" s="141">
        <f t="shared" si="8"/>
        <v>3.5840719493446915</v>
      </c>
      <c r="AE47" s="141">
        <f t="shared" si="8"/>
        <v>3.2115218875888267</v>
      </c>
      <c r="AF47" s="141">
        <f t="shared" si="8"/>
        <v>2.9011495259209745</v>
      </c>
      <c r="AG47" s="141">
        <f t="shared" si="8"/>
        <v>2.5885262625104533</v>
      </c>
      <c r="AH47" s="141">
        <f t="shared" si="8"/>
        <v>2.3029766077418996</v>
      </c>
      <c r="AI47" s="141">
        <f t="shared" si="8"/>
        <v>2.0343333005938322</v>
      </c>
      <c r="AJ47" s="141">
        <f t="shared" si="8"/>
        <v>1.8341816740169423</v>
      </c>
      <c r="AK47" s="141">
        <f t="shared" si="8"/>
        <v>1.6574603598658877</v>
      </c>
      <c r="AL47" s="141">
        <f t="shared" si="8"/>
        <v>1.4950852296925634</v>
      </c>
      <c r="AM47" s="141">
        <f t="shared" si="8"/>
        <v>1.3336590613085995</v>
      </c>
      <c r="AN47" s="141">
        <f t="shared" si="8"/>
        <v>1.1723538110360903</v>
      </c>
      <c r="AO47" s="141">
        <f t="shared" si="8"/>
        <v>1.0753173983917219</v>
      </c>
      <c r="AP47" s="141">
        <f t="shared" si="8"/>
        <v>0.97834549439697871</v>
      </c>
      <c r="AQ47" s="141">
        <f t="shared" si="8"/>
        <v>0.88148316738045451</v>
      </c>
      <c r="AR47" s="141">
        <f t="shared" si="8"/>
        <v>0.78458845566636104</v>
      </c>
      <c r="AS47" s="141">
        <f t="shared" si="8"/>
        <v>0.68771469983149602</v>
      </c>
      <c r="AT47" s="141">
        <f t="shared" si="8"/>
        <v>0.59090057410065133</v>
      </c>
      <c r="AU47" s="141">
        <f t="shared" si="8"/>
        <v>0.49420465004423975</v>
      </c>
      <c r="AV47" s="141">
        <f t="shared" si="8"/>
        <v>0.39755724173309298</v>
      </c>
      <c r="AW47" s="141">
        <f t="shared" si="8"/>
        <v>0.3010161603013205</v>
      </c>
      <c r="AX47" s="141">
        <f t="shared" si="8"/>
        <v>0.20464742514218956</v>
      </c>
      <c r="BI47" s="141" t="str">
        <f t="shared" si="5"/>
        <v>Updated 28/10: JET and MD</v>
      </c>
    </row>
    <row r="48" spans="1:61" ht="14" x14ac:dyDescent="0.15">
      <c r="A48" s="144" t="s">
        <v>353</v>
      </c>
      <c r="B48" s="145" t="s">
        <v>52</v>
      </c>
      <c r="C48" s="145" t="e">
        <v>#N/A</v>
      </c>
      <c r="D48" s="146" t="s">
        <v>233</v>
      </c>
      <c r="E48" s="145" t="s">
        <v>337</v>
      </c>
      <c r="F48" s="145" t="s">
        <v>431</v>
      </c>
      <c r="G48" s="147" t="s">
        <v>338</v>
      </c>
      <c r="H48" s="148" t="s">
        <v>364</v>
      </c>
      <c r="V48" s="141">
        <f t="shared" si="0"/>
        <v>4.4990093525055928</v>
      </c>
      <c r="W48" s="141">
        <f t="shared" si="1"/>
        <v>4.4990093525055928</v>
      </c>
      <c r="X48" s="141">
        <f t="shared" si="2"/>
        <v>4.3505069033399337</v>
      </c>
      <c r="Y48" s="141">
        <f t="shared" si="3"/>
        <v>4.3505069033399337</v>
      </c>
      <c r="Z48" s="141">
        <f t="shared" si="8"/>
        <v>4.2543568837617167</v>
      </c>
      <c r="AA48" s="141">
        <f t="shared" si="8"/>
        <v>4.1442832985746527</v>
      </c>
      <c r="AB48" s="141">
        <f t="shared" si="8"/>
        <v>3.9191656471730689</v>
      </c>
      <c r="AC48" s="141">
        <f t="shared" si="8"/>
        <v>3.6633510094282062</v>
      </c>
      <c r="AD48" s="141">
        <f t="shared" si="8"/>
        <v>3.4131453002803935</v>
      </c>
      <c r="AE48" s="141">
        <f t="shared" si="8"/>
        <v>3.0223713648311521</v>
      </c>
      <c r="AF48" s="141">
        <f t="shared" si="8"/>
        <v>2.6888388635215081</v>
      </c>
      <c r="AG48" s="141">
        <f t="shared" si="8"/>
        <v>2.3948149675942734</v>
      </c>
      <c r="AH48" s="141">
        <f t="shared" si="8"/>
        <v>2.1365839935207993</v>
      </c>
      <c r="AI48" s="141">
        <f t="shared" si="8"/>
        <v>1.9080119843234744</v>
      </c>
      <c r="AJ48" s="141">
        <f t="shared" si="8"/>
        <v>1.7255944724463828</v>
      </c>
      <c r="AK48" s="141">
        <f t="shared" si="8"/>
        <v>1.5623834784999424</v>
      </c>
      <c r="AL48" s="141">
        <f t="shared" si="8"/>
        <v>1.4083151110062535</v>
      </c>
      <c r="AM48" s="141">
        <f t="shared" si="8"/>
        <v>1.2523460292738622</v>
      </c>
      <c r="AN48" s="141">
        <f t="shared" si="8"/>
        <v>1.1021528083784329</v>
      </c>
      <c r="AO48" s="141">
        <f t="shared" si="8"/>
        <v>1.0116849728911657</v>
      </c>
      <c r="AP48" s="141">
        <f t="shared" si="8"/>
        <v>0.91877281398422039</v>
      </c>
      <c r="AQ48" s="141">
        <f t="shared" si="8"/>
        <v>0.82615550089302547</v>
      </c>
      <c r="AR48" s="141">
        <f t="shared" si="8"/>
        <v>0.73384102053556366</v>
      </c>
      <c r="AS48" s="141">
        <f t="shared" si="8"/>
        <v>0.64145187452334329</v>
      </c>
      <c r="AT48" s="141">
        <f t="shared" si="8"/>
        <v>0.55059413344600228</v>
      </c>
      <c r="AU48" s="141">
        <f t="shared" si="8"/>
        <v>0.45860450823293569</v>
      </c>
      <c r="AV48" s="141">
        <f t="shared" si="8"/>
        <v>0.3668227987459835</v>
      </c>
      <c r="AW48" s="141">
        <f t="shared" si="8"/>
        <v>0.27522183197828209</v>
      </c>
      <c r="AX48" s="141">
        <f t="shared" si="8"/>
        <v>0.18409790004550111</v>
      </c>
      <c r="BI48" s="141" t="str">
        <f t="shared" si="5"/>
        <v>Updated 28/10: JET and MD</v>
      </c>
    </row>
    <row r="49" spans="1:61" ht="14" x14ac:dyDescent="0.15">
      <c r="A49" s="139" t="s">
        <v>353</v>
      </c>
      <c r="B49" s="140" t="s">
        <v>52</v>
      </c>
      <c r="C49" s="140" t="e">
        <v>#N/A</v>
      </c>
      <c r="D49" s="141" t="s">
        <v>326</v>
      </c>
      <c r="E49" s="140" t="s">
        <v>337</v>
      </c>
      <c r="F49" s="145" t="s">
        <v>431</v>
      </c>
      <c r="G49" s="142" t="s">
        <v>338</v>
      </c>
      <c r="H49" s="143" t="s">
        <v>234</v>
      </c>
      <c r="V49" s="141">
        <f t="shared" si="0"/>
        <v>3.8894154693511069</v>
      </c>
      <c r="W49" s="141">
        <f t="shared" si="1"/>
        <v>3.8894154693511069</v>
      </c>
      <c r="X49" s="141">
        <f t="shared" si="2"/>
        <v>3.7281525592177736</v>
      </c>
      <c r="Y49" s="141">
        <f t="shared" si="3"/>
        <v>3.7281525592177736</v>
      </c>
      <c r="Z49" s="141">
        <f t="shared" si="8"/>
        <v>3.580127328717289</v>
      </c>
      <c r="AA49" s="141">
        <f t="shared" si="8"/>
        <v>3.406346218106703</v>
      </c>
      <c r="AB49" s="141">
        <f t="shared" si="8"/>
        <v>3.2633004895789499</v>
      </c>
      <c r="AC49" s="141">
        <f t="shared" si="8"/>
        <v>3.0879777701645561</v>
      </c>
      <c r="AD49" s="141">
        <f t="shared" si="8"/>
        <v>2.9053001969944918</v>
      </c>
      <c r="AE49" s="141">
        <f t="shared" si="8"/>
        <v>2.6945149048304557</v>
      </c>
      <c r="AF49" s="141">
        <f t="shared" si="8"/>
        <v>2.4825284766957938</v>
      </c>
      <c r="AG49" s="141">
        <f t="shared" si="8"/>
        <v>2.266007560188227</v>
      </c>
      <c r="AH49" s="141">
        <f t="shared" si="8"/>
        <v>2.0618617365146652</v>
      </c>
      <c r="AI49" s="141">
        <f t="shared" si="8"/>
        <v>1.8612542203247155</v>
      </c>
      <c r="AJ49" s="141">
        <f t="shared" si="8"/>
        <v>1.6989176769298093</v>
      </c>
      <c r="AK49" s="141">
        <f t="shared" si="8"/>
        <v>1.5432272560781042</v>
      </c>
      <c r="AL49" s="141">
        <f t="shared" si="8"/>
        <v>1.3941519486407419</v>
      </c>
      <c r="AM49" s="141">
        <f t="shared" si="8"/>
        <v>1.245391190474483</v>
      </c>
      <c r="AN49" s="141">
        <f t="shared" si="8"/>
        <v>1.0981826318612709</v>
      </c>
      <c r="AO49" s="141">
        <f t="shared" si="8"/>
        <v>1.0038642323668021</v>
      </c>
      <c r="AP49" s="141">
        <f t="shared" si="8"/>
        <v>0.91058062900280423</v>
      </c>
      <c r="AQ49" s="141">
        <f t="shared" si="8"/>
        <v>0.81794481653676676</v>
      </c>
      <c r="AR49" s="141">
        <f t="shared" si="8"/>
        <v>0.72586396156205468</v>
      </c>
      <c r="AS49" s="141">
        <f t="shared" si="8"/>
        <v>0.63389449962911903</v>
      </c>
      <c r="AT49" s="141">
        <f t="shared" si="8"/>
        <v>0.54207707028050289</v>
      </c>
      <c r="AU49" s="141">
        <f t="shared" si="8"/>
        <v>0.45065476193738163</v>
      </c>
      <c r="AV49" s="141">
        <f t="shared" si="8"/>
        <v>0.35961309977307399</v>
      </c>
      <c r="AW49" s="141">
        <f t="shared" si="8"/>
        <v>0.26883384232843899</v>
      </c>
      <c r="AX49" s="141">
        <f t="shared" si="8"/>
        <v>0.17868137479908958</v>
      </c>
      <c r="BI49" s="141" t="str">
        <f t="shared" si="5"/>
        <v>Updated 28/10: JET and MD</v>
      </c>
    </row>
    <row r="50" spans="1:61" ht="14" x14ac:dyDescent="0.15">
      <c r="A50" s="144" t="s">
        <v>353</v>
      </c>
      <c r="B50" s="145" t="s">
        <v>52</v>
      </c>
      <c r="C50" s="145" t="e">
        <v>#N/A</v>
      </c>
      <c r="D50" s="146" t="s">
        <v>231</v>
      </c>
      <c r="E50" s="145" t="s">
        <v>337</v>
      </c>
      <c r="F50" s="145" t="s">
        <v>431</v>
      </c>
      <c r="G50" s="147" t="s">
        <v>338</v>
      </c>
      <c r="H50" s="148" t="s">
        <v>234</v>
      </c>
      <c r="V50" s="141">
        <f t="shared" si="0"/>
        <v>4.736130766874771</v>
      </c>
      <c r="W50" s="141">
        <f t="shared" si="1"/>
        <v>4.736130766874771</v>
      </c>
      <c r="X50" s="141">
        <f t="shared" si="2"/>
        <v>4.5557919638044879</v>
      </c>
      <c r="Y50" s="141">
        <f t="shared" si="3"/>
        <v>4.5441045594688969</v>
      </c>
      <c r="Z50" s="141">
        <f t="shared" si="8"/>
        <v>4.3914279069508328</v>
      </c>
      <c r="AA50" s="141">
        <f t="shared" si="8"/>
        <v>4.1941510149510339</v>
      </c>
      <c r="AB50" s="141">
        <f t="shared" si="8"/>
        <v>4.0155435533558856</v>
      </c>
      <c r="AC50" s="141">
        <f t="shared" si="8"/>
        <v>3.7531131517189258</v>
      </c>
      <c r="AD50" s="141">
        <f t="shared" si="8"/>
        <v>3.4817673046793138</v>
      </c>
      <c r="AE50" s="141">
        <f t="shared" si="8"/>
        <v>3.1610638435114313</v>
      </c>
      <c r="AF50" s="141">
        <f t="shared" si="8"/>
        <v>2.8411578739508636</v>
      </c>
      <c r="AG50" s="141">
        <f t="shared" si="8"/>
        <v>2.521134546143355</v>
      </c>
      <c r="AH50" s="141">
        <f t="shared" si="8"/>
        <v>2.2544199700357463</v>
      </c>
      <c r="AI50" s="141">
        <f t="shared" si="8"/>
        <v>2.0047796960049422</v>
      </c>
      <c r="AJ50" s="141">
        <f t="shared" si="8"/>
        <v>1.8128026212388277</v>
      </c>
      <c r="AK50" s="141">
        <f t="shared" si="8"/>
        <v>1.6358738136533841</v>
      </c>
      <c r="AL50" s="141">
        <f t="shared" si="8"/>
        <v>1.4682408126151061</v>
      </c>
      <c r="AM50" s="141">
        <f t="shared" si="8"/>
        <v>1.294411682510177</v>
      </c>
      <c r="AN50" s="141">
        <f t="shared" si="8"/>
        <v>1.1362141661037166</v>
      </c>
      <c r="AO50" s="141">
        <f t="shared" si="8"/>
        <v>1.0380663495659317</v>
      </c>
      <c r="AP50" s="141">
        <f t="shared" si="8"/>
        <v>0.94103768467197202</v>
      </c>
      <c r="AQ50" s="141">
        <f t="shared" si="8"/>
        <v>0.84470466757082319</v>
      </c>
      <c r="AR50" s="141">
        <f t="shared" si="8"/>
        <v>0.74896272667950048</v>
      </c>
      <c r="AS50" s="141">
        <f t="shared" si="8"/>
        <v>0.65333754145872569</v>
      </c>
      <c r="AT50" s="141">
        <f t="shared" si="8"/>
        <v>0.5578773754675409</v>
      </c>
      <c r="AU50" s="141">
        <f t="shared" si="8"/>
        <v>0.46283984836638004</v>
      </c>
      <c r="AV50" s="141">
        <f t="shared" si="8"/>
        <v>0.36820895370582668</v>
      </c>
      <c r="AW50" s="141">
        <f t="shared" si="8"/>
        <v>0.27386664850468367</v>
      </c>
      <c r="AX50" s="141">
        <f t="shared" si="8"/>
        <v>0.1801744580197559</v>
      </c>
      <c r="BI50" s="141" t="str">
        <f t="shared" si="5"/>
        <v>Updated 28/10: JET and MD</v>
      </c>
    </row>
    <row r="51" spans="1:61" ht="14" x14ac:dyDescent="0.15">
      <c r="A51" s="139" t="s">
        <v>353</v>
      </c>
      <c r="B51" s="140" t="s">
        <v>52</v>
      </c>
      <c r="C51" s="140" t="e">
        <v>#N/A</v>
      </c>
      <c r="D51" s="141" t="s">
        <v>327</v>
      </c>
      <c r="E51" s="140" t="s">
        <v>337</v>
      </c>
      <c r="F51" s="145" t="s">
        <v>431</v>
      </c>
      <c r="G51" s="142" t="s">
        <v>338</v>
      </c>
      <c r="H51" s="148" t="s">
        <v>234</v>
      </c>
      <c r="V51" s="141">
        <f t="shared" si="0"/>
        <v>4.4034200561769694</v>
      </c>
      <c r="W51" s="141">
        <f t="shared" si="1"/>
        <v>4.4034200561769694</v>
      </c>
      <c r="X51" s="141">
        <f t="shared" si="2"/>
        <v>4.2227207391297163</v>
      </c>
      <c r="Y51" s="141">
        <f t="shared" si="3"/>
        <v>4.1146477038896059</v>
      </c>
      <c r="Z51" s="141">
        <f t="shared" si="8"/>
        <v>3.9319607314719089</v>
      </c>
      <c r="AA51" s="141">
        <f t="shared" si="8"/>
        <v>3.7390899155184414</v>
      </c>
      <c r="AB51" s="141">
        <f t="shared" si="8"/>
        <v>3.5441403782213352</v>
      </c>
      <c r="AC51" s="141">
        <f t="shared" si="8"/>
        <v>3.3448313618473215</v>
      </c>
      <c r="AD51" s="141">
        <f t="shared" si="8"/>
        <v>3.1364125522057624</v>
      </c>
      <c r="AE51" s="141">
        <f t="shared" ref="AE51:AX51" si="9">+IF(AE24&gt;AF24,AE24,AF24)</f>
        <v>2.8685960384987403</v>
      </c>
      <c r="AF51" s="141">
        <f t="shared" si="9"/>
        <v>2.6351037699062623</v>
      </c>
      <c r="AG51" s="141">
        <f t="shared" si="9"/>
        <v>2.393166750403922</v>
      </c>
      <c r="AH51" s="141">
        <f t="shared" si="9"/>
        <v>2.1656987032765707</v>
      </c>
      <c r="AI51" s="141">
        <f t="shared" si="9"/>
        <v>1.9584850569316405</v>
      </c>
      <c r="AJ51" s="141">
        <f t="shared" si="9"/>
        <v>1.7996045071216522</v>
      </c>
      <c r="AK51" s="141">
        <f t="shared" si="9"/>
        <v>1.6530381549252657</v>
      </c>
      <c r="AL51" s="141">
        <f t="shared" si="9"/>
        <v>1.512110232966648</v>
      </c>
      <c r="AM51" s="141">
        <f t="shared" si="9"/>
        <v>1.3578762640586532</v>
      </c>
      <c r="AN51" s="141">
        <f t="shared" si="9"/>
        <v>1.2012343273607504</v>
      </c>
      <c r="AO51" s="141">
        <f t="shared" si="9"/>
        <v>1.1016643598032831</v>
      </c>
      <c r="AP51" s="141">
        <f t="shared" si="9"/>
        <v>1.0021606650134851</v>
      </c>
      <c r="AQ51" s="141">
        <f t="shared" si="9"/>
        <v>0.90278244670883556</v>
      </c>
      <c r="AR51" s="141">
        <f t="shared" si="9"/>
        <v>0.80337248553226615</v>
      </c>
      <c r="AS51" s="141">
        <f t="shared" si="9"/>
        <v>0.70399339567115593</v>
      </c>
      <c r="AT51" s="141">
        <f t="shared" si="9"/>
        <v>0.60468944701922878</v>
      </c>
      <c r="AU51" s="141">
        <f t="shared" si="9"/>
        <v>0.50552487946719293</v>
      </c>
      <c r="AV51" s="141">
        <f t="shared" si="9"/>
        <v>0.40642573985791336</v>
      </c>
      <c r="AW51" s="141">
        <f t="shared" si="9"/>
        <v>0.30745625719326736</v>
      </c>
      <c r="AX51" s="141">
        <f t="shared" si="9"/>
        <v>0.20868651527368068</v>
      </c>
      <c r="BI51" s="141" t="str">
        <f t="shared" si="5"/>
        <v>Updated 28/10: JET and MD</v>
      </c>
    </row>
    <row r="52" spans="1:61" ht="14" x14ac:dyDescent="0.15">
      <c r="A52" s="144" t="s">
        <v>353</v>
      </c>
      <c r="B52" s="145" t="s">
        <v>52</v>
      </c>
      <c r="C52" s="145" t="e">
        <v>#N/A</v>
      </c>
      <c r="D52" s="146" t="s">
        <v>233</v>
      </c>
      <c r="E52" s="145" t="s">
        <v>337</v>
      </c>
      <c r="F52" s="145" t="s">
        <v>431</v>
      </c>
      <c r="G52" s="147" t="s">
        <v>338</v>
      </c>
      <c r="H52" s="148" t="s">
        <v>234</v>
      </c>
      <c r="V52" s="141">
        <f t="shared" si="0"/>
        <v>4.1020739491409435</v>
      </c>
      <c r="W52" s="141">
        <f t="shared" si="1"/>
        <v>4.1020739491409435</v>
      </c>
      <c r="X52" s="141">
        <f t="shared" si="2"/>
        <v>3.930887584245629</v>
      </c>
      <c r="Y52" s="141">
        <f t="shared" si="3"/>
        <v>3.930887584245629</v>
      </c>
      <c r="Z52" s="141">
        <f t="shared" ref="Z52:AX52" si="10">+IF(Z25&gt;AA25,Z25,AA25)</f>
        <v>3.8029126864201244</v>
      </c>
      <c r="AA52" s="141">
        <f t="shared" si="10"/>
        <v>3.6297181179981584</v>
      </c>
      <c r="AB52" s="141">
        <f t="shared" si="10"/>
        <v>3.481735472854731</v>
      </c>
      <c r="AC52" s="141">
        <f t="shared" si="10"/>
        <v>3.2849011462507347</v>
      </c>
      <c r="AD52" s="141">
        <f t="shared" si="10"/>
        <v>3.073380534041152</v>
      </c>
      <c r="AE52" s="141">
        <f t="shared" si="10"/>
        <v>2.8213015699926922</v>
      </c>
      <c r="AF52" s="141">
        <f t="shared" si="10"/>
        <v>2.5849613892504371</v>
      </c>
      <c r="AG52" s="141">
        <f t="shared" si="10"/>
        <v>2.3438808654237788</v>
      </c>
      <c r="AH52" s="141">
        <f t="shared" si="10"/>
        <v>2.1228518877219957</v>
      </c>
      <c r="AI52" s="141">
        <f t="shared" si="10"/>
        <v>1.9118191837991054</v>
      </c>
      <c r="AJ52" s="141">
        <f t="shared" si="10"/>
        <v>1.7451561996012046</v>
      </c>
      <c r="AK52" s="141">
        <f t="shared" si="10"/>
        <v>1.5880504607433665</v>
      </c>
      <c r="AL52" s="141">
        <f t="shared" si="10"/>
        <v>1.437613461584941</v>
      </c>
      <c r="AM52" s="141">
        <f t="shared" si="10"/>
        <v>1.2826522679268313</v>
      </c>
      <c r="AN52" s="141">
        <f t="shared" si="10"/>
        <v>1.1309887827119292</v>
      </c>
      <c r="AO52" s="141">
        <f t="shared" si="10"/>
        <v>1.0343221391604565</v>
      </c>
      <c r="AP52" s="141">
        <f t="shared" si="10"/>
        <v>0.93875451280208766</v>
      </c>
      <c r="AQ52" s="141">
        <f t="shared" si="10"/>
        <v>0.84373223913495343</v>
      </c>
      <c r="AR52" s="141">
        <f t="shared" si="10"/>
        <v>0.74912526995895268</v>
      </c>
      <c r="AS52" s="141">
        <f t="shared" si="10"/>
        <v>0.65463170750111133</v>
      </c>
      <c r="AT52" s="141">
        <f t="shared" si="10"/>
        <v>0.56027431281698192</v>
      </c>
      <c r="AU52" s="141">
        <f t="shared" si="10"/>
        <v>0.46626056899706025</v>
      </c>
      <c r="AV52" s="141">
        <f t="shared" si="10"/>
        <v>0.37255662808085116</v>
      </c>
      <c r="AW52" s="141">
        <f t="shared" si="10"/>
        <v>0.27912022975240347</v>
      </c>
      <c r="AX52" s="141">
        <f t="shared" si="10"/>
        <v>0.18621281393558867</v>
      </c>
      <c r="BI52" s="141" t="str">
        <f t="shared" si="5"/>
        <v>Updated 28/10: JET and MD</v>
      </c>
    </row>
  </sheetData>
  <phoneticPr fontId="45" type="noConversion"/>
  <conditionalFormatting sqref="V2:AD25 V29:AV52">
    <cfRule type="expression" dxfId="34" priority="2">
      <formula>W2&gt;V2</formula>
    </cfRule>
  </conditionalFormatting>
  <conditionalFormatting sqref="AW29:AX52">
    <cfRule type="expression" dxfId="33" priority="408">
      <formula>BI29&gt;AW29</formula>
    </cfRule>
  </conditionalFormatting>
  <conditionalFormatting sqref="BI29:BI52">
    <cfRule type="expression" dxfId="32" priority="407">
      <formula>AY29&gt;BI29</formula>
    </cfRule>
  </conditionalFormatting>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README</vt:lpstr>
      <vt:lpstr>Automakers</vt:lpstr>
      <vt:lpstr>Autoparts</vt:lpstr>
      <vt:lpstr>Automaker target aggregator</vt:lpstr>
      <vt:lpstr>Autoparts target aggregator</vt:lpstr>
      <vt:lpstr>Calculations</vt:lpstr>
      <vt:lpstr>Database</vt:lpstr>
      <vt:lpstr>sector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SBTi Automotive Tool</dc:title>
  <dc:creator>frangel@wwfmex.org;Fernando Rangel Villasana;Smart Freight Centre</dc:creator>
  <cp:lastModifiedBy>Michael Danielson</cp:lastModifiedBy>
  <cp:lastPrinted>2018-06-15T11:54:07Z</cp:lastPrinted>
  <dcterms:created xsi:type="dcterms:W3CDTF">2018-05-29T20:19:30Z</dcterms:created>
  <dcterms:modified xsi:type="dcterms:W3CDTF">2026-02-02T19:58:00Z</dcterms:modified>
</cp:coreProperties>
</file>